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kajoka\Documents\Excel Video Files\Video 6\"/>
    </mc:Choice>
  </mc:AlternateContent>
  <xr:revisionPtr revIDLastSave="0" documentId="13_ncr:1_{F008CA4A-4D5B-4CD6-ABB5-92FC72A25053}" xr6:coauthVersionLast="47" xr6:coauthVersionMax="47" xr10:uidLastSave="{00000000-0000-0000-0000-000000000000}"/>
  <bookViews>
    <workbookView xWindow="-120" yWindow="-120" windowWidth="29040" windowHeight="15840" tabRatio="869" xr2:uid="{7D088579-3D22-4C10-B5E7-8306A8FC680A}"/>
  </bookViews>
  <sheets>
    <sheet name="What to Cover" sheetId="1" r:id="rId1"/>
    <sheet name="Video 5" sheetId="10" r:id="rId2"/>
    <sheet name="Video 5 - SUMIFS" sheetId="58" r:id="rId3"/>
    <sheet name="Notes on Types of Formulas" sheetId="34" r:id="rId4"/>
    <sheet name="Types of Formulas" sheetId="53" r:id="rId5"/>
    <sheet name="Types of Formulas (an)" sheetId="54" r:id="rId6"/>
    <sheet name="CountIFS 1" sheetId="35" r:id="rId7"/>
    <sheet name="CountIFS 1 (an)" sheetId="48" r:id="rId8"/>
    <sheet name="CountIFS 2" sheetId="44" r:id="rId9"/>
    <sheet name="CountIFS 2 (an)" sheetId="49" r:id="rId10"/>
    <sheet name="AverageIFS" sheetId="40" r:id="rId11"/>
    <sheet name="AverageIFS (an)" sheetId="50" r:id="rId12"/>
    <sheet name="SUMIFS" sheetId="42" r:id="rId13"/>
    <sheet name="SUMIFS (an)" sheetId="51" r:id="rId14"/>
    <sheet name="Define Names-Data Validation" sheetId="45" r:id="rId15"/>
    <sheet name="DefineNames-DataValidation (an)" sheetId="52" r:id="rId16"/>
    <sheet name="Homework&gt;&gt;&gt;&gt;&gt;" sheetId="22" r:id="rId17"/>
    <sheet name="HW 1" sheetId="46" r:id="rId18"/>
    <sheet name="HW 1 (an)" sheetId="59" r:id="rId19"/>
    <sheet name="HW 2" sheetId="47" r:id="rId20"/>
    <sheet name="HW 2 (an)" sheetId="60" r:id="rId21"/>
    <sheet name="HW 3" sheetId="56" r:id="rId22"/>
    <sheet name="HW 3 (an)" sheetId="57" r:id="rId23"/>
  </sheets>
  <definedNames>
    <definedName name="DateDN">'Define Names-Data Validation'!$A$11:$A$41</definedName>
    <definedName name="DateDNans">'DefineNames-DataValidation (an)'!$A$11:$A$41</definedName>
    <definedName name="MonthlyRevDN">'Define Names-Data Validation'!$A$11:$E$41</definedName>
    <definedName name="MonthRevDNans">'DefineNames-DataValidation (an)'!$A$11:$E$41</definedName>
    <definedName name="ProductCriteriaDN">'Define Names-Data Validation'!$G$9</definedName>
    <definedName name="ProductCriteriaDNans">'DefineNames-DataValidation (an)'!$G$9</definedName>
    <definedName name="ProductDN">'Define Names-Data Validation'!$D$11:$D$41</definedName>
    <definedName name="ProductDNans">'DefineNames-DataValidation (an)'!$D$11:$D$41</definedName>
    <definedName name="RegionCriteriaDNans">'DefineNames-DataValidation (an)'!#REF!</definedName>
    <definedName name="RegionDN">'Define Names-Data Validation'!$B$11:$B$41</definedName>
    <definedName name="RegionDNans">'DefineNames-DataValidation (an)'!$B$11:$B$41</definedName>
    <definedName name="RegionRevTDFans" localSheetId="18">RegionRev522[]</definedName>
    <definedName name="RegionRevTDFans" localSheetId="20">RegionRev522[]</definedName>
    <definedName name="RegionRevTDFans">RegionRev522[]</definedName>
    <definedName name="RegionRevTDNans" localSheetId="18">RegionRev522[]</definedName>
    <definedName name="RegionRevTDNans" localSheetId="20">RegionRev522[]</definedName>
    <definedName name="RegionRevTDNans">RegionRev522[]</definedName>
    <definedName name="RevenueDN">'Define Names-Data Validation'!$E$11:$E$41</definedName>
    <definedName name="RevenueDNans">'DefineNames-DataValidation (an)'!$E$11:$E$41</definedName>
    <definedName name="SalesRepCriteriaDN">'Define Names-Data Validation'!$H$9</definedName>
    <definedName name="SalesRepCriteriaDNans">'DefineNames-DataValidation (an)'!$H$9</definedName>
    <definedName name="SalesRepDN">'Define Names-Data Validation'!$C$11:$C$41</definedName>
    <definedName name="SalesRepDNans">'DefineNames-DataValidation (an)'!$C$11:$C$41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8" i="58" l="1"/>
  <c r="I44" i="58"/>
  <c r="I45" i="58"/>
  <c r="I46" i="58"/>
  <c r="I47" i="58"/>
  <c r="I43" i="58"/>
  <c r="H48" i="58"/>
  <c r="H43" i="58" a="1"/>
  <c r="H43" i="58" s="1"/>
  <c r="H15" i="60" l="1"/>
  <c r="H16" i="60"/>
  <c r="H17" i="60"/>
  <c r="H18" i="60"/>
  <c r="H10" i="60"/>
  <c r="M6" i="60" a="1"/>
  <c r="M6" i="60" s="1"/>
  <c r="L6" i="60" a="1"/>
  <c r="L6" i="60" s="1"/>
  <c r="M6" i="47" a="1"/>
  <c r="M6" i="47" s="1"/>
  <c r="L6" i="47" a="1"/>
  <c r="L6" i="47" s="1"/>
  <c r="P4" i="59" a="1"/>
  <c r="P4" i="59" s="1"/>
  <c r="O4" i="59" a="1"/>
  <c r="O4" i="59" s="1"/>
  <c r="H16" i="59"/>
  <c r="H15" i="59"/>
  <c r="H14" i="59"/>
  <c r="H13" i="59"/>
  <c r="H7" i="59"/>
  <c r="L9" i="53"/>
  <c r="L10" i="53"/>
  <c r="L11" i="53"/>
  <c r="L12" i="53"/>
  <c r="H15" i="45"/>
  <c r="H16" i="45"/>
  <c r="H17" i="45"/>
  <c r="H18" i="45"/>
  <c r="H10" i="45"/>
  <c r="M6" i="45" a="1"/>
  <c r="M6" i="45" s="1"/>
  <c r="L6" i="45" a="1"/>
  <c r="L6" i="45" s="1"/>
  <c r="H16" i="52"/>
  <c r="N6" i="42" a="1"/>
  <c r="N6" i="42" s="1"/>
  <c r="M6" i="42" a="1"/>
  <c r="M6" i="42" s="1"/>
  <c r="H15" i="42"/>
  <c r="H16" i="42"/>
  <c r="H17" i="42"/>
  <c r="H18" i="42"/>
  <c r="H10" i="42"/>
  <c r="O5" i="40" a="1"/>
  <c r="O5" i="40" s="1"/>
  <c r="H13" i="40"/>
  <c r="H14" i="40"/>
  <c r="H15" i="40"/>
  <c r="H16" i="40"/>
  <c r="H13" i="44"/>
  <c r="H14" i="44"/>
  <c r="H15" i="44"/>
  <c r="H16" i="44"/>
  <c r="H8" i="44"/>
  <c r="H15" i="51"/>
  <c r="J10" i="60"/>
  <c r="J13" i="59"/>
  <c r="J15" i="60"/>
  <c r="J8" i="59"/>
  <c r="P4" i="35" l="1" a="1"/>
  <c r="P4" i="35" s="1"/>
  <c r="O4" i="35" a="1"/>
  <c r="O4" i="35" s="1"/>
  <c r="H13" i="35"/>
  <c r="H14" i="35"/>
  <c r="H15" i="35"/>
  <c r="H16" i="35"/>
  <c r="H8" i="35"/>
  <c r="G9" i="53" a="1"/>
  <c r="G9" i="53" s="1"/>
  <c r="B10" i="53"/>
  <c r="B11" i="53"/>
  <c r="B12" i="53"/>
  <c r="B9" i="53"/>
  <c r="O5" i="50" a="1"/>
  <c r="O5" i="50" s="1"/>
  <c r="Q4" i="48" a="1"/>
  <c r="Q4" i="48" s="1"/>
  <c r="P4" i="48" a="1"/>
  <c r="P4" i="48" s="1"/>
  <c r="O4" i="48" a="1"/>
  <c r="O4" i="48" s="1"/>
  <c r="H38" i="58" l="1"/>
  <c r="P34" i="58" a="1"/>
  <c r="P34" i="58" s="1"/>
  <c r="O34" i="58" a="1"/>
  <c r="O34" i="58" s="1"/>
  <c r="N34" i="58" a="1"/>
  <c r="N34" i="58" s="1"/>
  <c r="I31" i="58"/>
  <c r="I30" i="58"/>
  <c r="I29" i="58"/>
  <c r="I28" i="58"/>
  <c r="I27" i="58"/>
  <c r="I32" i="58" s="1"/>
  <c r="H27" i="58" a="1"/>
  <c r="H27" i="58" s="1"/>
  <c r="H32" i="58" s="1"/>
  <c r="I21" i="58"/>
  <c r="I20" i="58"/>
  <c r="I19" i="58"/>
  <c r="I18" i="58"/>
  <c r="I17" i="58"/>
  <c r="I16" i="58"/>
  <c r="I22" i="58" s="1"/>
  <c r="H16" i="58" a="1"/>
  <c r="H16" i="58" s="1"/>
  <c r="H22" i="58" s="1"/>
  <c r="L9" i="57"/>
  <c r="L10" i="57"/>
  <c r="L11" i="57"/>
  <c r="L12" i="57"/>
  <c r="I12" i="57"/>
  <c r="B12" i="57"/>
  <c r="B11" i="57"/>
  <c r="B10" i="57"/>
  <c r="G9" i="57" a="1"/>
  <c r="G9" i="57" s="1"/>
  <c r="B9" i="57"/>
  <c r="N12" i="56"/>
  <c r="I12" i="56"/>
  <c r="N9" i="56"/>
  <c r="D9" i="56"/>
  <c r="I9" i="56"/>
  <c r="K27" i="58"/>
  <c r="K28" i="58"/>
  <c r="K43" i="58"/>
  <c r="N9" i="57"/>
  <c r="K16" i="58"/>
  <c r="N12" i="57"/>
  <c r="I9" i="57"/>
  <c r="K38" i="58"/>
  <c r="K44" i="58"/>
  <c r="K17" i="58"/>
  <c r="D9" i="57"/>
  <c r="L9" i="54" l="1"/>
  <c r="L10" i="54"/>
  <c r="L11" i="54"/>
  <c r="L12" i="54"/>
  <c r="N9" i="54"/>
  <c r="I9" i="53"/>
  <c r="I12" i="54" l="1"/>
  <c r="B12" i="54"/>
  <c r="B11" i="54"/>
  <c r="B10" i="54"/>
  <c r="G9" i="54" a="1"/>
  <c r="G9" i="54" s="1"/>
  <c r="B9" i="54"/>
  <c r="I12" i="53"/>
  <c r="D9" i="53"/>
  <c r="I9" i="54"/>
  <c r="N12" i="53"/>
  <c r="N9" i="53"/>
  <c r="D9" i="54"/>
  <c r="T9" i="52" l="1" a="1"/>
  <c r="T9" i="52" s="1"/>
  <c r="S9" i="52" a="1"/>
  <c r="S9" i="52" s="1"/>
  <c r="H17" i="52"/>
  <c r="H18" i="52"/>
  <c r="H19" i="52"/>
  <c r="H10" i="52"/>
  <c r="H18" i="51"/>
  <c r="H17" i="51"/>
  <c r="H16" i="51"/>
  <c r="H10" i="51"/>
  <c r="N6" i="51" a="1"/>
  <c r="N6" i="51" s="1"/>
  <c r="M6" i="51" a="1"/>
  <c r="M6" i="51" s="1"/>
  <c r="H16" i="50"/>
  <c r="H15" i="50"/>
  <c r="H14" i="50"/>
  <c r="H13" i="50"/>
  <c r="H16" i="49"/>
  <c r="H15" i="49"/>
  <c r="H14" i="49"/>
  <c r="H13" i="49"/>
  <c r="H8" i="49"/>
  <c r="H16" i="48"/>
  <c r="H15" i="48"/>
  <c r="H14" i="48"/>
  <c r="H13" i="48"/>
  <c r="H8" i="48"/>
  <c r="J8" i="46"/>
  <c r="J10" i="47"/>
  <c r="J13" i="46"/>
  <c r="J15" i="47"/>
  <c r="J13" i="49"/>
  <c r="J8" i="49"/>
  <c r="J10" i="52"/>
  <c r="J15" i="45"/>
  <c r="J16" i="52"/>
  <c r="J10" i="45"/>
  <c r="J13" i="48"/>
  <c r="J10" i="42"/>
  <c r="J8" i="44"/>
  <c r="J13" i="35"/>
  <c r="J8" i="35"/>
  <c r="J15" i="42"/>
  <c r="J13" i="50"/>
  <c r="J13" i="40"/>
  <c r="J15" i="51"/>
  <c r="J13" i="44"/>
  <c r="J10" i="51"/>
  <c r="J8" i="48"/>
  <c r="J14" i="10" l="1"/>
  <c r="I14" i="10"/>
  <c r="H14" i="10"/>
  <c r="G14" i="10"/>
  <c r="H41" i="10"/>
  <c r="H37" i="10"/>
  <c r="H33" i="10"/>
  <c r="I28" i="10" l="1"/>
  <c r="I26" i="10"/>
  <c r="I24" i="10"/>
  <c r="H28" i="10"/>
  <c r="H26" i="10"/>
  <c r="H24" i="10"/>
  <c r="H22" i="10"/>
  <c r="I22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<sst xmlns="http://schemas.openxmlformats.org/spreadsheetml/2006/main" count="3302" uniqueCount="174">
  <si>
    <t xml:space="preserve"> </t>
  </si>
  <si>
    <t>Date</t>
  </si>
  <si>
    <t>Tiana</t>
  </si>
  <si>
    <t>Topics to cover</t>
  </si>
  <si>
    <t>COUNTA</t>
  </si>
  <si>
    <t>COUNTIFS</t>
  </si>
  <si>
    <t>SUM</t>
  </si>
  <si>
    <t>SUMIFS</t>
  </si>
  <si>
    <t>AVERAGE</t>
  </si>
  <si>
    <t>AVERAGEIFS</t>
  </si>
  <si>
    <t>LEARN HOW TO COUNT, SUM AND AVERAGE USING EXCEL FUNCTIONS</t>
  </si>
  <si>
    <t>Counts Matches</t>
  </si>
  <si>
    <t>Adds Numbers</t>
  </si>
  <si>
    <t>Averages Numbers</t>
  </si>
  <si>
    <t>MINIFS</t>
  </si>
  <si>
    <t>Finds the Smallest Number</t>
  </si>
  <si>
    <t>MAXIFS</t>
  </si>
  <si>
    <t>Finds the biggest number</t>
  </si>
  <si>
    <t>Region</t>
  </si>
  <si>
    <t>SalesRep</t>
  </si>
  <si>
    <t>Product</t>
  </si>
  <si>
    <t>Revenue</t>
  </si>
  <si>
    <t>West</t>
  </si>
  <si>
    <t>NorthWest</t>
  </si>
  <si>
    <t>Central</t>
  </si>
  <si>
    <t>South</t>
  </si>
  <si>
    <t>Rainbow High Dolls</t>
  </si>
  <si>
    <t>LOL Surprise</t>
  </si>
  <si>
    <t>LOL OMG Surprise</t>
  </si>
  <si>
    <t>Hot Wheels</t>
  </si>
  <si>
    <t>Monster Trucks</t>
  </si>
  <si>
    <t>Stuffed Animals/Bears</t>
  </si>
  <si>
    <t xml:space="preserve">North </t>
  </si>
  <si>
    <t>COUNT</t>
  </si>
  <si>
    <t>Counts Numbers</t>
  </si>
  <si>
    <t>Counts cells not empty</t>
  </si>
  <si>
    <t>Adds numbers</t>
  </si>
  <si>
    <t>Count ALL Numbers</t>
  </si>
  <si>
    <t>Count ALL Words</t>
  </si>
  <si>
    <t>Sum ALL Numbers</t>
  </si>
  <si>
    <t>Count w/ 1 or more criteria</t>
  </si>
  <si>
    <t>Add w/ 1 or more criteria</t>
  </si>
  <si>
    <t>Criteria</t>
  </si>
  <si>
    <t>Count</t>
  </si>
  <si>
    <t>Sum</t>
  </si>
  <si>
    <t>Cinderelli</t>
  </si>
  <si>
    <t>Carmen</t>
  </si>
  <si>
    <t>Miles</t>
  </si>
  <si>
    <t>Macen</t>
  </si>
  <si>
    <t>calculation on some of the items, and NOT all of the items".</t>
  </si>
  <si>
    <t>***When you specify a "criteria" or "condition" you are saying: "ONLY make the</t>
  </si>
  <si>
    <t>Average ALL Numbers</t>
  </si>
  <si>
    <t>GOAL:</t>
  </si>
  <si>
    <t>Count how many products were sold by which SalesRep</t>
  </si>
  <si>
    <t>Count how many products were sold by which SalesRep in each Region</t>
  </si>
  <si>
    <t>AND Logical Test:</t>
  </si>
  <si>
    <t>The Product Field, SalesRep Field and Region Field must contain the specified fields</t>
  </si>
  <si>
    <t>Arithmetic Mean of numbers</t>
  </si>
  <si>
    <t>Excel Table Feature</t>
  </si>
  <si>
    <t>Naming the Table</t>
  </si>
  <si>
    <t>Advantages of using Excel Tables</t>
  </si>
  <si>
    <t>Calculations</t>
  </si>
  <si>
    <t>Make calculations with two or more criterias</t>
  </si>
  <si>
    <t>Convert Proper Dataset into an Excel Table and Name the Table</t>
  </si>
  <si>
    <t>Total Revenue</t>
  </si>
  <si>
    <t>North</t>
  </si>
  <si>
    <t xml:space="preserve">Average Revenue </t>
  </si>
  <si>
    <t>Average Sales for each Product in each Region</t>
  </si>
  <si>
    <t>Add the Total Revenue for the specified product in each region for a specified SalesRep</t>
  </si>
  <si>
    <t>Add Total Revenue for a product for the Sales Rep Specified</t>
  </si>
  <si>
    <t>Excel Table Formulas</t>
  </si>
  <si>
    <t>Advantages of Excel Table Formulas</t>
  </si>
  <si>
    <t>Formulas will automatically copy down the column</t>
  </si>
  <si>
    <t>Formulas will update automatically</t>
  </si>
  <si>
    <t>Use Excel Tables when you will need to add new records to your Table</t>
  </si>
  <si>
    <t>***When using Excel Tables you still must lock the cell references</t>
  </si>
  <si>
    <t>Dynamic Spilled Array Formulas</t>
  </si>
  <si>
    <t>Editing a formula is easier and faster</t>
  </si>
  <si>
    <t>*** In an example like this, a PivotTable might be easier</t>
  </si>
  <si>
    <t xml:space="preserve">        if source data changes since PivotTables will</t>
  </si>
  <si>
    <t xml:space="preserve">        not update automatically.</t>
  </si>
  <si>
    <t xml:space="preserve">        but you have to remember to "REFRESH"</t>
  </si>
  <si>
    <t>&gt;40000</t>
  </si>
  <si>
    <t>Sales Hurdle</t>
  </si>
  <si>
    <t>Count how many sales are GREATER THAN $40,000</t>
  </si>
  <si>
    <t>Count how many sales are GREATER THAN $40,000 in each Region</t>
  </si>
  <si>
    <t>Add Numbers with one or more criterias/conditions</t>
  </si>
  <si>
    <t>SUMIFS Add Numbers with one or more criterias/conditions</t>
  </si>
  <si>
    <t>AVERAGEIFS averages numbers with one or more conditions/criteria</t>
  </si>
  <si>
    <t>Averages Numbers (Arithmetic Mean of Numbers) with one or more Criterias</t>
  </si>
  <si>
    <t>*** In an example like this, a PivotTable might be harder</t>
  </si>
  <si>
    <t xml:space="preserve">      to create because for our condition "Greater Than"</t>
  </si>
  <si>
    <t xml:space="preserve">      We are using a comparative operator condition</t>
  </si>
  <si>
    <t xml:space="preserve">      for the sales greater than condition/criteria</t>
  </si>
  <si>
    <t>Unique List</t>
  </si>
  <si>
    <t>Products</t>
  </si>
  <si>
    <t>Sorted Unique List</t>
  </si>
  <si>
    <t>Define Names and Data Validation</t>
  </si>
  <si>
    <t>Example  1</t>
  </si>
  <si>
    <t>Example 2</t>
  </si>
  <si>
    <t>Example 3</t>
  </si>
  <si>
    <t>Example 4</t>
  </si>
  <si>
    <t>We will use the Define Names in our formulas.</t>
  </si>
  <si>
    <t>Tax Rate</t>
  </si>
  <si>
    <t>Sales Amount</t>
  </si>
  <si>
    <t>Commission Amount</t>
  </si>
  <si>
    <t>Commision Rate</t>
  </si>
  <si>
    <t>Traditional Formula (Single-Input, Single-Output Formulas)</t>
  </si>
  <si>
    <r>
      <rPr>
        <b/>
        <sz val="12"/>
        <color theme="1"/>
        <rFont val="Calibri"/>
        <family val="2"/>
        <scheme val="minor"/>
      </rPr>
      <t>Goal:</t>
    </r>
    <r>
      <rPr>
        <sz val="12"/>
        <color theme="1"/>
        <rFont val="Calibri"/>
        <family val="2"/>
        <scheme val="minor"/>
      </rPr>
      <t xml:space="preserve"> Calculate the Commission Amount using 3 different Types of Formulas.</t>
    </r>
  </si>
  <si>
    <t>Notes - When to use:</t>
  </si>
  <si>
    <t>You use this formula when you will have to</t>
  </si>
  <si>
    <t>send a solution to someone without</t>
  </si>
  <si>
    <t>Microsoft Office 365 (M365) Excel</t>
  </si>
  <si>
    <t>Do not need to Lock the Cell References</t>
  </si>
  <si>
    <t>Do not need to manually copy the formula</t>
  </si>
  <si>
    <t>Notes - Advantages:</t>
  </si>
  <si>
    <t>You use this formula when you will add new records to your table</t>
  </si>
  <si>
    <t xml:space="preserve">Formulas are automatically copied down the column but you </t>
  </si>
  <si>
    <t>still need to remember to Lock the Cell Reference.</t>
  </si>
  <si>
    <t>Types of Formulas</t>
  </si>
  <si>
    <t>Traditional Formulas (Single-Input, Single-Output Formulas)</t>
  </si>
  <si>
    <r>
      <rPr>
        <b/>
        <sz val="12"/>
        <color theme="1"/>
        <rFont val="Calibri"/>
        <family val="2"/>
        <scheme val="minor"/>
      </rPr>
      <t>Goal:</t>
    </r>
    <r>
      <rPr>
        <sz val="12"/>
        <color theme="1"/>
        <rFont val="Calibri"/>
        <family val="2"/>
        <scheme val="minor"/>
      </rPr>
      <t xml:space="preserve"> Calculate the Tax Amount using 3 different Types of Formulas.</t>
    </r>
  </si>
  <si>
    <t>Tax Amount</t>
  </si>
  <si>
    <t>Sales</t>
  </si>
  <si>
    <t>When would you use the above formula</t>
  </si>
  <si>
    <t>When would you use the above formula/list advantages</t>
  </si>
  <si>
    <t>Now that you understand these 3 types of formula, in your won opinion which one do you prefer to use and why? Explain your answer below:</t>
  </si>
  <si>
    <t>answers will vary depending on what your prefered formula is</t>
  </si>
  <si>
    <t>LEARN HOW TO ADD USING EXCEL FUNCTIONS - SUMIFS</t>
  </si>
  <si>
    <t>CREATE A SORTED UNIQUE LIST AND DATA VALIDATION</t>
  </si>
  <si>
    <t>Add the Total Sales for Each Product</t>
  </si>
  <si>
    <t>Add the Total Sales for each Sales Rep</t>
  </si>
  <si>
    <t>Add the Total Sales for each region</t>
  </si>
  <si>
    <t>Add the Total Sales for each SalesRep in the specified Region</t>
  </si>
  <si>
    <t>SUMIF adds with only one condition or criteria</t>
  </si>
  <si>
    <t>SUMIFS adds with one or more conditions or Criteria</t>
  </si>
  <si>
    <t>**DSF - Dynamic Spill Formula</t>
  </si>
  <si>
    <t>Example 7:</t>
  </si>
  <si>
    <t>Sales (DSF)</t>
  </si>
  <si>
    <t>Total Sales</t>
  </si>
  <si>
    <t>Example 8:</t>
  </si>
  <si>
    <t>Add the Total Sales for each SalesRep</t>
  </si>
  <si>
    <t>Sales Rep</t>
  </si>
  <si>
    <t xml:space="preserve">Sales Rep </t>
  </si>
  <si>
    <t>Example 9:</t>
  </si>
  <si>
    <t>Add the Total Sales for each Sales Rep in the specified Region</t>
  </si>
  <si>
    <t>Example 10:</t>
  </si>
  <si>
    <t>Create a Sorted Unique List for the Products</t>
  </si>
  <si>
    <t>Add Data Validation for the Products on Cell G8 from the Range O5:O7</t>
  </si>
  <si>
    <t>Create a Sorted Unique Lists for the Products and SalesRep</t>
  </si>
  <si>
    <t>Add Data Validation to the Criteria Product and Sales Rep in the cells G7 and H7</t>
  </si>
  <si>
    <t>from the Unique lists that you created.</t>
  </si>
  <si>
    <t>*** Do not use the Dynamic Spilled Array Formulas with the Excel Tables</t>
  </si>
  <si>
    <t>Add Conditional Formatting to the Table to highlight the Criteria Count</t>
  </si>
  <si>
    <t>Create Define Names for each Field</t>
  </si>
  <si>
    <t>Add Data Validation for the Product and SalesRep Criteria in Cell G9 and H9</t>
  </si>
  <si>
    <t>Example 5</t>
  </si>
  <si>
    <t>Add new records to our Table and see if our formulas automatically update</t>
  </si>
  <si>
    <t>Add this new records to our Table</t>
  </si>
  <si>
    <t>COUNTIFS counts with one or more criteria/conditions</t>
  </si>
  <si>
    <t>Create a Sorted Unique List for the Products in the cell O3:O7</t>
  </si>
  <si>
    <t>SUMIFS Add Numbers with one or more criteria/conditions</t>
  </si>
  <si>
    <t>Create Define Names for the Criteria to calculate</t>
  </si>
  <si>
    <t>Create a Unique List for the Products and SalesRep fields</t>
  </si>
  <si>
    <t>Add Numbers with one or more criteria/conditions</t>
  </si>
  <si>
    <t>COUNTIFS counts with two or more criteria/conditions</t>
  </si>
  <si>
    <t>Create a Sorted Unique List for the Products and Sales Rep</t>
  </si>
  <si>
    <t xml:space="preserve">  </t>
  </si>
  <si>
    <t>Add Data Validation on Cell G6 for the Product Criteria and H6 for the SalesRep Criteria</t>
  </si>
  <si>
    <t>Example 1</t>
  </si>
  <si>
    <t>EXample 3</t>
  </si>
  <si>
    <t>HW. 2</t>
  </si>
  <si>
    <t>HW. 1</t>
  </si>
  <si>
    <t>HW.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</si>
</sst>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0"/>
    <numFmt numFmtId="166" formatCode="&quot;$&quot;#,##0.000000000"/>
    <numFmt numFmtId="167" formatCode="&quot;$&quot;#,##0.00"/>
  </numFmts>
  <fonts count="2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 tint="0.34998626667073579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8F8F8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99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</cellStyleXfs>
  <cellXfs count="165">
    <xf numFmtId="0" fontId="0" fillId="0" borderId="0" xfId="0"/>
    <xf numFmtId="0" fontId="0" fillId="0" borderId="1" xfId="0" applyBorder="1"/>
    <xf numFmtId="0" fontId="0" fillId="3" borderId="0" xfId="0" applyFill="1"/>
    <xf numFmtId="0" fontId="1" fillId="3" borderId="0" xfId="0" applyFont="1" applyFill="1"/>
    <xf numFmtId="0" fontId="4" fillId="3" borderId="0" xfId="0" applyFont="1" applyFill="1"/>
    <xf numFmtId="0" fontId="6" fillId="3" borderId="0" xfId="0" applyFont="1" applyFill="1"/>
    <xf numFmtId="0" fontId="0" fillId="4" borderId="0" xfId="0" applyFill="1"/>
    <xf numFmtId="0" fontId="7" fillId="4" borderId="0" xfId="0" applyFont="1" applyFill="1"/>
    <xf numFmtId="14" fontId="0" fillId="0" borderId="0" xfId="0" applyNumberFormat="1"/>
    <xf numFmtId="0" fontId="5" fillId="3" borderId="0" xfId="0" applyFont="1" applyFill="1" applyAlignment="1">
      <alignment horizontal="left"/>
    </xf>
    <xf numFmtId="0" fontId="2" fillId="0" borderId="0" xfId="0" applyFont="1"/>
    <xf numFmtId="0" fontId="5" fillId="2" borderId="1" xfId="0" applyFont="1" applyFill="1" applyBorder="1"/>
    <xf numFmtId="14" fontId="0" fillId="0" borderId="1" xfId="0" applyNumberFormat="1" applyBorder="1"/>
    <xf numFmtId="0" fontId="0" fillId="5" borderId="1" xfId="0" applyFill="1" applyBorder="1" applyAlignment="1">
      <alignment wrapText="1"/>
    </xf>
    <xf numFmtId="0" fontId="0" fillId="6" borderId="1" xfId="0" applyFill="1" applyBorder="1"/>
    <xf numFmtId="164" fontId="0" fillId="6" borderId="1" xfId="0" applyNumberFormat="1" applyFill="1" applyBorder="1"/>
    <xf numFmtId="0" fontId="8" fillId="2" borderId="1" xfId="0" applyFont="1" applyFill="1" applyBorder="1"/>
    <xf numFmtId="0" fontId="3" fillId="7" borderId="3" xfId="0" applyFont="1" applyFill="1" applyBorder="1"/>
    <xf numFmtId="0" fontId="1" fillId="0" borderId="0" xfId="0" applyFont="1"/>
    <xf numFmtId="0" fontId="6" fillId="0" borderId="0" xfId="0" applyFont="1"/>
    <xf numFmtId="0" fontId="3" fillId="7" borderId="2" xfId="0" applyFont="1" applyFill="1" applyBorder="1"/>
    <xf numFmtId="165" fontId="0" fillId="6" borderId="1" xfId="0" applyNumberFormat="1" applyFill="1" applyBorder="1"/>
    <xf numFmtId="166" fontId="0" fillId="6" borderId="1" xfId="0" applyNumberFormat="1" applyFill="1" applyBorder="1"/>
    <xf numFmtId="0" fontId="4" fillId="0" borderId="0" xfId="0" applyFont="1"/>
    <xf numFmtId="0" fontId="9" fillId="3" borderId="0" xfId="0" applyFont="1" applyFill="1"/>
    <xf numFmtId="0" fontId="0" fillId="5" borderId="2" xfId="0" applyFill="1" applyBorder="1" applyAlignment="1">
      <alignment wrapText="1"/>
    </xf>
    <xf numFmtId="0" fontId="0" fillId="9" borderId="0" xfId="0" applyFill="1"/>
    <xf numFmtId="0" fontId="2" fillId="10" borderId="0" xfId="0" applyFont="1" applyFill="1"/>
    <xf numFmtId="0" fontId="0" fillId="10" borderId="0" xfId="0" applyFill="1"/>
    <xf numFmtId="0" fontId="5" fillId="10" borderId="0" xfId="0" applyFont="1" applyFill="1"/>
    <xf numFmtId="0" fontId="12" fillId="10" borderId="0" xfId="0" applyFont="1" applyFill="1"/>
    <xf numFmtId="14" fontId="0" fillId="0" borderId="5" xfId="0" applyNumberFormat="1" applyBorder="1"/>
    <xf numFmtId="14" fontId="0" fillId="0" borderId="8" xfId="0" applyNumberFormat="1" applyBorder="1"/>
    <xf numFmtId="0" fontId="0" fillId="0" borderId="9" xfId="0" applyBorder="1"/>
    <xf numFmtId="0" fontId="0" fillId="0" borderId="8" xfId="0" applyBorder="1"/>
    <xf numFmtId="0" fontId="5" fillId="0" borderId="6" xfId="0" applyFont="1" applyBorder="1"/>
    <xf numFmtId="0" fontId="5" fillId="0" borderId="3" xfId="0" applyFont="1" applyBorder="1"/>
    <xf numFmtId="0" fontId="5" fillId="0" borderId="7" xfId="0" applyFont="1" applyBorder="1"/>
    <xf numFmtId="0" fontId="13" fillId="11" borderId="1" xfId="0" applyFont="1" applyFill="1" applyBorder="1"/>
    <xf numFmtId="0" fontId="2" fillId="10" borderId="1" xfId="0" applyFont="1" applyFill="1" applyBorder="1"/>
    <xf numFmtId="0" fontId="3" fillId="7" borderId="1" xfId="0" applyFont="1" applyFill="1" applyBorder="1"/>
    <xf numFmtId="2" fontId="0" fillId="0" borderId="0" xfId="0" applyNumberFormat="1"/>
    <xf numFmtId="167" fontId="0" fillId="0" borderId="4" xfId="0" applyNumberFormat="1" applyBorder="1"/>
    <xf numFmtId="167" fontId="0" fillId="0" borderId="10" xfId="0" applyNumberFormat="1" applyBorder="1"/>
    <xf numFmtId="14" fontId="12" fillId="0" borderId="0" xfId="0" applyNumberFormat="1" applyFont="1"/>
    <xf numFmtId="0" fontId="12" fillId="0" borderId="0" xfId="0" applyFont="1"/>
    <xf numFmtId="0" fontId="5" fillId="0" borderId="0" xfId="0" applyFont="1"/>
    <xf numFmtId="0" fontId="12" fillId="0" borderId="0" xfId="0" applyFont="1" applyAlignment="1">
      <alignment wrapText="1"/>
    </xf>
    <xf numFmtId="167" fontId="0" fillId="6" borderId="1" xfId="0" applyNumberFormat="1" applyFill="1" applyBorder="1"/>
    <xf numFmtId="0" fontId="3" fillId="7" borderId="6" xfId="0" applyFont="1" applyFill="1" applyBorder="1"/>
    <xf numFmtId="0" fontId="0" fillId="0" borderId="5" xfId="0" applyBorder="1"/>
    <xf numFmtId="0" fontId="3" fillId="7" borderId="7" xfId="0" applyFont="1" applyFill="1" applyBorder="1"/>
    <xf numFmtId="167" fontId="0" fillId="6" borderId="4" xfId="0" applyNumberFormat="1" applyFill="1" applyBorder="1"/>
    <xf numFmtId="167" fontId="0" fillId="6" borderId="10" xfId="0" applyNumberFormat="1" applyFill="1" applyBorder="1"/>
    <xf numFmtId="0" fontId="0" fillId="6" borderId="4" xfId="0" applyFill="1" applyBorder="1"/>
    <xf numFmtId="0" fontId="0" fillId="6" borderId="10" xfId="0" applyFill="1" applyBorder="1"/>
    <xf numFmtId="167" fontId="0" fillId="6" borderId="4" xfId="1" applyNumberFormat="1" applyFont="1" applyFill="1" applyBorder="1"/>
    <xf numFmtId="0" fontId="11" fillId="12" borderId="6" xfId="0" applyFont="1" applyFill="1" applyBorder="1"/>
    <xf numFmtId="0" fontId="11" fillId="12" borderId="7" xfId="0" applyFont="1" applyFill="1" applyBorder="1"/>
    <xf numFmtId="167" fontId="0" fillId="6" borderId="10" xfId="1" applyNumberFormat="1" applyFont="1" applyFill="1" applyBorder="1"/>
    <xf numFmtId="0" fontId="14" fillId="0" borderId="0" xfId="0" applyFont="1"/>
    <xf numFmtId="0" fontId="0" fillId="6" borderId="9" xfId="0" applyFill="1" applyBorder="1"/>
    <xf numFmtId="167" fontId="0" fillId="6" borderId="9" xfId="0" applyNumberFormat="1" applyFill="1" applyBorder="1"/>
    <xf numFmtId="0" fontId="15" fillId="9" borderId="0" xfId="0" applyFont="1" applyFill="1"/>
    <xf numFmtId="0" fontId="12" fillId="0" borderId="1" xfId="0" applyFont="1" applyBorder="1"/>
    <xf numFmtId="0" fontId="16" fillId="13" borderId="11" xfId="0" applyFont="1" applyFill="1" applyBorder="1"/>
    <xf numFmtId="0" fontId="16" fillId="13" borderId="13" xfId="0" applyFont="1" applyFill="1" applyBorder="1"/>
    <xf numFmtId="0" fontId="16" fillId="13" borderId="14" xfId="0" applyFont="1" applyFill="1" applyBorder="1"/>
    <xf numFmtId="14" fontId="0" fillId="14" borderId="15" xfId="0" applyNumberFormat="1" applyFill="1" applyBorder="1"/>
    <xf numFmtId="0" fontId="0" fillId="14" borderId="10" xfId="0" applyFill="1" applyBorder="1"/>
    <xf numFmtId="167" fontId="0" fillId="14" borderId="16" xfId="0" applyNumberFormat="1" applyFill="1" applyBorder="1"/>
    <xf numFmtId="14" fontId="0" fillId="0" borderId="15" xfId="0" applyNumberFormat="1" applyBorder="1"/>
    <xf numFmtId="0" fontId="0" fillId="0" borderId="10" xfId="0" applyBorder="1"/>
    <xf numFmtId="167" fontId="0" fillId="0" borderId="16" xfId="0" applyNumberFormat="1" applyBorder="1"/>
    <xf numFmtId="14" fontId="0" fillId="0" borderId="17" xfId="0" applyNumberFormat="1" applyBorder="1"/>
    <xf numFmtId="0" fontId="0" fillId="0" borderId="18" xfId="0" applyBorder="1"/>
    <xf numFmtId="167" fontId="0" fillId="0" borderId="12" xfId="0" applyNumberFormat="1" applyBorder="1"/>
    <xf numFmtId="0" fontId="2" fillId="0" borderId="1" xfId="0" applyFont="1" applyBorder="1" applyAlignment="1">
      <alignment horizontal="centerContinuous"/>
    </xf>
    <xf numFmtId="0" fontId="2" fillId="0" borderId="1" xfId="0" applyFont="1" applyBorder="1"/>
    <xf numFmtId="0" fontId="2" fillId="0" borderId="21" xfId="0" applyFont="1" applyBorder="1"/>
    <xf numFmtId="0" fontId="2" fillId="0" borderId="22" xfId="0" applyFont="1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15" borderId="1" xfId="0" applyFill="1" applyBorder="1"/>
    <xf numFmtId="14" fontId="2" fillId="0" borderId="0" xfId="0" applyNumberFormat="1" applyFont="1"/>
    <xf numFmtId="0" fontId="2" fillId="0" borderId="29" xfId="0" applyFont="1" applyBorder="1"/>
    <xf numFmtId="0" fontId="5" fillId="16" borderId="1" xfId="0" applyFont="1" applyFill="1" applyBorder="1"/>
    <xf numFmtId="0" fontId="5" fillId="16" borderId="1" xfId="0" applyFont="1" applyFill="1" applyBorder="1" applyAlignment="1">
      <alignment wrapText="1"/>
    </xf>
    <xf numFmtId="8" fontId="0" fillId="0" borderId="1" xfId="0" applyNumberFormat="1" applyBorder="1"/>
    <xf numFmtId="8" fontId="0" fillId="6" borderId="1" xfId="2" applyNumberFormat="1" applyFont="1" applyFill="1" applyBorder="1"/>
    <xf numFmtId="0" fontId="0" fillId="10" borderId="1" xfId="0" applyFill="1" applyBorder="1"/>
    <xf numFmtId="8" fontId="0" fillId="0" borderId="5" xfId="0" applyNumberFormat="1" applyBorder="1"/>
    <xf numFmtId="8" fontId="0" fillId="6" borderId="4" xfId="2" applyNumberFormat="1" applyFont="1" applyFill="1" applyBorder="1"/>
    <xf numFmtId="8" fontId="0" fillId="0" borderId="8" xfId="0" applyNumberFormat="1" applyBorder="1"/>
    <xf numFmtId="8" fontId="0" fillId="6" borderId="10" xfId="2" applyNumberFormat="1" applyFont="1" applyFill="1" applyBorder="1"/>
    <xf numFmtId="0" fontId="5" fillId="4" borderId="6" xfId="0" applyFont="1" applyFill="1" applyBorder="1"/>
    <xf numFmtId="0" fontId="5" fillId="4" borderId="7" xfId="0" applyFont="1" applyFill="1" applyBorder="1" applyAlignment="1">
      <alignment wrapText="1"/>
    </xf>
    <xf numFmtId="0" fontId="16" fillId="4" borderId="1" xfId="0" applyFont="1" applyFill="1" applyBorder="1"/>
    <xf numFmtId="0" fontId="16" fillId="4" borderId="1" xfId="0" applyFont="1" applyFill="1" applyBorder="1" applyAlignment="1">
      <alignment wrapText="1"/>
    </xf>
    <xf numFmtId="0" fontId="12" fillId="2" borderId="0" xfId="0" applyFont="1" applyFill="1"/>
    <xf numFmtId="0" fontId="0" fillId="2" borderId="0" xfId="0" applyFill="1"/>
    <xf numFmtId="0" fontId="17" fillId="0" borderId="0" xfId="0" applyFont="1"/>
    <xf numFmtId="0" fontId="0" fillId="8" borderId="0" xfId="0" applyFill="1"/>
    <xf numFmtId="0" fontId="5" fillId="3" borderId="0" xfId="0" applyFont="1" applyFill="1"/>
    <xf numFmtId="8" fontId="0" fillId="0" borderId="0" xfId="0" applyNumberFormat="1"/>
    <xf numFmtId="0" fontId="18" fillId="0" borderId="0" xfId="0" applyFont="1"/>
    <xf numFmtId="0" fontId="16" fillId="17" borderId="1" xfId="0" applyFont="1" applyFill="1" applyBorder="1"/>
    <xf numFmtId="0" fontId="16" fillId="17" borderId="1" xfId="0" applyFont="1" applyFill="1" applyBorder="1" applyAlignment="1">
      <alignment wrapText="1"/>
    </xf>
    <xf numFmtId="0" fontId="16" fillId="17" borderId="6" xfId="0" applyFont="1" applyFill="1" applyBorder="1"/>
    <xf numFmtId="0" fontId="16" fillId="17" borderId="7" xfId="0" applyFont="1" applyFill="1" applyBorder="1" applyAlignment="1">
      <alignment wrapText="1"/>
    </xf>
    <xf numFmtId="0" fontId="0" fillId="8" borderId="10" xfId="0" applyFill="1" applyBorder="1"/>
    <xf numFmtId="0" fontId="0" fillId="8" borderId="25" xfId="0" applyFill="1" applyBorder="1"/>
    <xf numFmtId="0" fontId="0" fillId="8" borderId="8" xfId="0" applyFill="1" applyBorder="1"/>
    <xf numFmtId="0" fontId="0" fillId="8" borderId="26" xfId="0" applyFill="1" applyBorder="1"/>
    <xf numFmtId="0" fontId="0" fillId="8" borderId="27" xfId="0" applyFill="1" applyBorder="1"/>
    <xf numFmtId="0" fontId="0" fillId="8" borderId="7" xfId="0" applyFill="1" applyBorder="1"/>
    <xf numFmtId="0" fontId="0" fillId="8" borderId="28" xfId="0" applyFill="1" applyBorder="1"/>
    <xf numFmtId="0" fontId="0" fillId="8" borderId="6" xfId="0" applyFill="1" applyBorder="1"/>
    <xf numFmtId="167" fontId="0" fillId="0" borderId="1" xfId="0" applyNumberFormat="1" applyBorder="1"/>
    <xf numFmtId="0" fontId="19" fillId="0" borderId="0" xfId="0" applyFont="1"/>
    <xf numFmtId="0" fontId="0" fillId="18" borderId="1" xfId="0" applyFill="1" applyBorder="1"/>
    <xf numFmtId="0" fontId="2" fillId="6" borderId="30" xfId="0" applyFont="1" applyFill="1" applyBorder="1"/>
    <xf numFmtId="0" fontId="5" fillId="2" borderId="26" xfId="0" applyFont="1" applyFill="1" applyBorder="1"/>
    <xf numFmtId="0" fontId="5" fillId="2" borderId="9" xfId="0" applyFont="1" applyFill="1" applyBorder="1"/>
    <xf numFmtId="167" fontId="2" fillId="6" borderId="30" xfId="0" applyNumberFormat="1" applyFont="1" applyFill="1" applyBorder="1"/>
    <xf numFmtId="0" fontId="2" fillId="18" borderId="1" xfId="0" applyFont="1" applyFill="1" applyBorder="1"/>
    <xf numFmtId="0" fontId="2" fillId="8" borderId="0" xfId="0" applyFont="1" applyFill="1"/>
    <xf numFmtId="0" fontId="0" fillId="0" borderId="26" xfId="0" applyBorder="1"/>
    <xf numFmtId="0" fontId="0" fillId="0" borderId="27" xfId="0" applyBorder="1"/>
    <xf numFmtId="0" fontId="0" fillId="0" borderId="7" xfId="0" applyBorder="1"/>
    <xf numFmtId="0" fontId="0" fillId="0" borderId="6" xfId="0" applyBorder="1"/>
    <xf numFmtId="0" fontId="2" fillId="0" borderId="28" xfId="0" applyFont="1" applyBorder="1"/>
    <xf numFmtId="0" fontId="20" fillId="0" borderId="28" xfId="0" applyFont="1" applyBorder="1"/>
    <xf numFmtId="0" fontId="12" fillId="10" borderId="0" xfId="0" applyFont="1" applyFill="1" applyAlignment="1">
      <alignment wrapText="1"/>
    </xf>
    <xf numFmtId="8" fontId="0" fillId="0" borderId="9" xfId="0" applyNumberFormat="1" applyBorder="1"/>
    <xf numFmtId="8" fontId="0" fillId="6" borderId="9" xfId="2" applyNumberFormat="1" applyFont="1" applyFill="1" applyBorder="1"/>
    <xf numFmtId="0" fontId="21" fillId="8" borderId="6" xfId="0" applyFont="1" applyFill="1" applyBorder="1"/>
    <xf numFmtId="0" fontId="21" fillId="8" borderId="3" xfId="0" applyFont="1" applyFill="1" applyBorder="1"/>
    <xf numFmtId="0" fontId="21" fillId="8" borderId="7" xfId="0" applyFont="1" applyFill="1" applyBorder="1"/>
    <xf numFmtId="0" fontId="0" fillId="0" borderId="28" xfId="0" applyBorder="1" applyAlignment="1">
      <alignment horizontal="centerContinuous"/>
    </xf>
    <xf numFmtId="0" fontId="2" fillId="0" borderId="28" xfId="0" applyFont="1" applyBorder="1" applyAlignment="1">
      <alignment horizontal="centerContinuous"/>
    </xf>
    <xf numFmtId="0" fontId="2" fillId="0" borderId="31" xfId="0" applyFont="1" applyBorder="1"/>
    <xf numFmtId="167" fontId="0" fillId="0" borderId="0" xfId="0" applyNumberFormat="1"/>
    <xf numFmtId="0" fontId="2" fillId="0" borderId="6" xfId="0" applyFont="1" applyBorder="1"/>
    <xf numFmtId="0" fontId="2" fillId="0" borderId="3" xfId="0" applyFont="1" applyBorder="1"/>
    <xf numFmtId="0" fontId="2" fillId="0" borderId="7" xfId="0" applyFont="1" applyBorder="1"/>
    <xf numFmtId="0" fontId="11" fillId="4" borderId="6" xfId="0" applyFont="1" applyFill="1" applyBorder="1"/>
    <xf numFmtId="0" fontId="11" fillId="4" borderId="3" xfId="0" applyFont="1" applyFill="1" applyBorder="1"/>
    <xf numFmtId="0" fontId="11" fillId="4" borderId="7" xfId="0" applyFont="1" applyFill="1" applyBorder="1"/>
    <xf numFmtId="14" fontId="0" fillId="14" borderId="25" xfId="0" applyNumberFormat="1" applyFill="1" applyBorder="1"/>
    <xf numFmtId="14" fontId="0" fillId="0" borderId="25" xfId="0" applyNumberFormat="1" applyBorder="1"/>
    <xf numFmtId="167" fontId="0" fillId="14" borderId="10" xfId="0" applyNumberFormat="1" applyFill="1" applyBorder="1"/>
    <xf numFmtId="0" fontId="16" fillId="13" borderId="0" xfId="0" applyFont="1" applyFill="1"/>
    <xf numFmtId="0" fontId="16" fillId="13" borderId="26" xfId="0" applyFont="1" applyFill="1" applyBorder="1"/>
    <xf numFmtId="0" fontId="2" fillId="0" borderId="28" xfId="0" applyFont="1" applyBorder="1" applyAlignment="1">
      <alignment horizontal="center"/>
    </xf>
    <xf numFmtId="0" fontId="2" fillId="0" borderId="19" xfId="0" applyFont="1" applyBorder="1"/>
    <xf numFmtId="0" fontId="2" fillId="0" borderId="20" xfId="0" applyFont="1" applyBorder="1"/>
    <xf numFmtId="0" fontId="2" fillId="0" borderId="19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2" fillId="10" borderId="4" xfId="0" applyFont="1" applyFill="1" applyBorder="1"/>
    <xf numFmtId="0" fontId="2" fillId="10" borderId="5" xfId="0" applyFont="1" applyFill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20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2" formatCode="&quot;$&quot;#,##0.00_);[Red]\(&quot;$&quot;#,##0.00\)"/>
      <fill>
        <patternFill patternType="solid">
          <fgColor indexed="64"/>
          <bgColor rgb="FFCCFFCC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2" formatCode="&quot;$&quot;#,##0.00_);[Red]\(&quot;$&quot;#,##0.00\)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7" formatCode="&quot;$&quot;#,##0.0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19" formatCode="m/d/yyyy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</dxf>
    <dxf>
      <numFmt numFmtId="167" formatCode="&quot;$&quot;#,##0.00"/>
      <fill>
        <patternFill patternType="solid">
          <fgColor indexed="64"/>
          <bgColor rgb="FFCCFFCC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7" formatCode="&quot;$&quot;#,##0.00"/>
      <fill>
        <patternFill patternType="solid">
          <fgColor indexed="64"/>
          <bgColor rgb="FFCCFFCC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solid">
          <fgColor indexed="64"/>
          <bgColor rgb="FFCCFFCC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7" formatCode="&quot;$&quot;#,##0.0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m/d/yyyy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solid">
          <fgColor indexed="64"/>
          <bgColor rgb="FFCCFFCC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7" formatCode="&quot;$&quot;#,##0.00"/>
      <fill>
        <patternFill patternType="solid">
          <fgColor indexed="64"/>
          <bgColor rgb="FFCCFFCC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7" formatCode="&quot;$&quot;#,##0.00"/>
      <fill>
        <patternFill patternType="solid">
          <fgColor indexed="64"/>
          <bgColor rgb="FFCCFFCC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7" formatCode="&quot;$&quot;#,##0.00"/>
      <fill>
        <patternFill patternType="solid">
          <fgColor indexed="64"/>
          <bgColor rgb="FFCCFFCC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7" formatCode="&quot;$&quot;#,##0.0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m/d/yyyy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7" formatCode="&quot;$&quot;#,##0.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m/d/yyyy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70C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7" formatCode="&quot;$&quot;#,##0.00"/>
      <fill>
        <patternFill patternType="solid">
          <fgColor indexed="64"/>
          <bgColor rgb="FFCCFFCC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&quot;$&quot;#,##0.00"/>
      <fill>
        <patternFill patternType="solid">
          <fgColor indexed="64"/>
          <bgColor rgb="FFCCFFCC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7" formatCode="&quot;$&quot;#,##0.0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m/d/yyyy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7" formatCode="&quot;$&quot;#,##0.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m/d/yyyy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70C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&quot;$&quot;#,##0.00"/>
      <fill>
        <patternFill patternType="solid">
          <fgColor indexed="64"/>
          <bgColor rgb="FFCCFFCC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solid">
          <fgColor indexed="64"/>
          <bgColor rgb="FFCCFFCC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7" formatCode="&quot;$&quot;#,##0.0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m/d/yyyy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7" formatCode="&quot;$&quot;#,##0.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m/d/yyyy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solid">
          <fgColor indexed="64"/>
          <bgColor rgb="FFCCFFCC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solid">
          <fgColor indexed="64"/>
          <bgColor rgb="FFCCFFCC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7" formatCode="&quot;$&quot;#,##0.0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m/d/yyyy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7" formatCode="&quot;$&quot;#,##0.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m/d/yyyy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solid">
          <fgColor indexed="64"/>
          <bgColor rgb="FFCCFFCC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2" formatCode="&quot;$&quot;#,##0.00_);[Red]\(&quot;$&quot;#,##0.00\)"/>
      <fill>
        <patternFill patternType="solid">
          <fgColor indexed="64"/>
          <bgColor rgb="FFCCFFCC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2" formatCode="&quot;$&quot;#,##0.00_);[Red]\(&quot;$&quot;#,##0.00\)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rgb="FF0070C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2" formatCode="&quot;$&quot;#,##0.00_);[Red]\(&quot;$&quot;#,##0.00\)"/>
      <fill>
        <patternFill patternType="solid">
          <fgColor indexed="64"/>
          <bgColor rgb="FFCCFFCC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2" formatCode="&quot;$&quot;#,##0.00_);[Red]\(&quot;$&quot;#,##0.00\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F8F8F8"/>
      <color rgb="FFCCFFCC"/>
      <color rgb="FFCCFF33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34</xdr:row>
      <xdr:rowOff>0</xdr:rowOff>
    </xdr:from>
    <xdr:to>
      <xdr:col>10</xdr:col>
      <xdr:colOff>542925</xdr:colOff>
      <xdr:row>53</xdr:row>
      <xdr:rowOff>38100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73CA30E-07F9-A58A-80B1-D41A29D22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7610475"/>
          <a:ext cx="5953125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10</xdr:col>
      <xdr:colOff>542925</xdr:colOff>
      <xdr:row>32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BD7466-8214-3743-8B7D-E6CE6A126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190500"/>
          <a:ext cx="5953125" cy="7134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3049A00-0AE5-41D2-A836-776764C6DF77}" name="SalesCommission" displayName="SalesCommission" ref="K8:L12" totalsRowShown="0" headerRowBorderDxfId="199" tableBorderDxfId="198" totalsRowBorderDxfId="197">
  <autoFilter ref="K8:L12" xr:uid="{33049A00-0AE5-41D2-A836-776764C6DF77}"/>
  <tableColumns count="2">
    <tableColumn id="1" xr3:uid="{B378CCA5-225D-4B28-9465-FC69FFAD9545}" name="Sales Amount" dataDxfId="196"/>
    <tableColumn id="2" xr3:uid="{D8C003F1-124D-466F-A9E5-987EC016DD96}" name="Commission Amount" dataDxfId="195" dataCellStyle="Currency">
      <calculatedColumnFormula>ROUND(SalesCommission[[#This Row],[Sales Amount]]*$L$6,2)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4C25DAF5-6C15-478C-BB57-72308D7943A2}" name="RegionCount1417" displayName="RegionCount1417" ref="G12:H16" totalsRowShown="0" headerRowDxfId="134" headerRowBorderDxfId="133" tableBorderDxfId="132" totalsRowBorderDxfId="131">
  <autoFilter ref="G12:H16" xr:uid="{33BDED31-E4F2-4AB7-9867-C4B8A3D1E78F}"/>
  <tableColumns count="2">
    <tableColumn id="1" xr3:uid="{0546BBAB-C782-4AB2-B6E3-B65593A53B6A}" name="Region" dataDxfId="130"/>
    <tableColumn id="2" xr3:uid="{921D88D2-C34B-4A3F-A3C7-D01EBCF7D30C}" name="Count" dataDxfId="129">
      <calculatedColumnFormula>COUNTIFS(RegionSalesCntans[Revenue],$H$7,RegionSalesCntans[Region],RegionCount1417[[#This Row],[Region]])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6B091F3-18DC-45C2-9D8D-6795B5C02EA5}" name="RegionAvgRev" displayName="RegionAvgRev" ref="G12:H16" totalsRowShown="0" headerRowDxfId="128" headerRowBorderDxfId="127" tableBorderDxfId="126" totalsRowBorderDxfId="125">
  <autoFilter ref="G12:H16" xr:uid="{36B091F3-18DC-45C2-9D8D-6795B5C02EA5}"/>
  <tableColumns count="2">
    <tableColumn id="1" xr3:uid="{0A7C4806-D739-4A2A-B154-8E4310FFBF70}" name="Region" dataDxfId="124"/>
    <tableColumn id="2" xr3:uid="{85B590B0-779C-4CDE-916B-707A4DB8AFB9}" name="Average Revenue " dataDxfId="123" dataCellStyle="Comma">
      <calculatedColumnFormula>AVERAGEIFS(RegionAvg[Revenue],RegionAvg[Region],RegionAvgRev[[#This Row],[Region]],RegionAvg[Product],$G$8)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7509750-754E-4989-A171-D5E77C95CDA8}" name="RegionAvg" displayName="RegionAvg" ref="A11:E41" totalsRowShown="0" headerRowDxfId="122" headerRowBorderDxfId="121" tableBorderDxfId="120" totalsRowBorderDxfId="119">
  <autoFilter ref="A11:E41" xr:uid="{67509750-754E-4989-A171-D5E77C95CDA8}"/>
  <tableColumns count="5">
    <tableColumn id="1" xr3:uid="{6E16B335-2CA9-4194-BFE0-BA00A71C8A5D}" name="Date" dataDxfId="118"/>
    <tableColumn id="2" xr3:uid="{F676A87B-20CA-4E4B-B1C3-493CD7480163}" name="Region" dataDxfId="117"/>
    <tableColumn id="3" xr3:uid="{13B6A3FA-3DD3-4B92-96DC-0669F2AB6139}" name="SalesRep" dataDxfId="116"/>
    <tableColumn id="4" xr3:uid="{D8BA8AC0-600D-4A0E-B9B1-73801A4FF63A}" name="Product" dataDxfId="115"/>
    <tableColumn id="5" xr3:uid="{0597B14B-3296-4832-84EA-375EC3AB5248}" name="Revenue" dataDxfId="114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CC7BAAB1-38B9-4DF5-A08A-63E744A75EB5}" name="RegionAvgans" displayName="RegionAvgans" ref="A11:E41" totalsRowShown="0" headerRowDxfId="113" headerRowBorderDxfId="112" tableBorderDxfId="111" totalsRowBorderDxfId="110">
  <autoFilter ref="A11:E41" xr:uid="{1B03EF5D-C305-4AE2-9D63-834AE9594D4D}"/>
  <tableColumns count="5">
    <tableColumn id="1" xr3:uid="{29F5BEC8-69E4-48B1-8DB0-AAED01F67377}" name="Date" dataDxfId="109"/>
    <tableColumn id="2" xr3:uid="{52675C57-718B-4682-829C-7E57BD37F95B}" name="Region" dataDxfId="108"/>
    <tableColumn id="3" xr3:uid="{2B445ED5-AC38-4F63-95FD-B1DE5FF8C380}" name="SalesRep" dataDxfId="107"/>
    <tableColumn id="4" xr3:uid="{61E49B21-96B8-4D05-A4DE-0B1C9026F9E4}" name="Product" dataDxfId="106"/>
    <tableColumn id="5" xr3:uid="{6AB3D76F-1C1A-458B-95C5-3DDC2B420F7D}" name="Revenue" dataDxfId="105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4D4A1651-F519-401D-95BC-9E6FC68576D3}" name="RegionAvgRevans" displayName="RegionAvgRevans" ref="G12:H16" totalsRowShown="0" headerRowDxfId="104" headerRowBorderDxfId="103" tableBorderDxfId="102" totalsRowBorderDxfId="101">
  <autoFilter ref="G12:H16" xr:uid="{36B091F3-18DC-45C2-9D8D-6795B5C02EA5}"/>
  <tableColumns count="2">
    <tableColumn id="1" xr3:uid="{BB61D524-195D-4265-87C1-62CB03B3C3E9}" name="Region" dataDxfId="100"/>
    <tableColumn id="2" xr3:uid="{77E8181F-4730-4BD0-8F6B-FF8D55FE24E9}" name="Average Revenue " dataDxfId="99" dataCellStyle="Comma">
      <calculatedColumnFormula>AVERAGEIFS(RegionAvgans[Revenue],RegionAvgans[Product],$G$8,RegionAvgans[Region],RegionAvgRevans[[#This Row],[Region]])</calculatedColumnFormula>
    </tableColumn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687A60F-3681-41B2-891C-A64E3D9843CF}" name="RegionRev" displayName="RegionRev" ref="G14:H18" totalsRowShown="0" headerRowDxfId="98" headerRowBorderDxfId="97" tableBorderDxfId="96" totalsRowBorderDxfId="95">
  <autoFilter ref="G14:H18" xr:uid="{C687A60F-3681-41B2-891C-A64E3D9843CF}"/>
  <tableColumns count="2">
    <tableColumn id="1" xr3:uid="{D0B84C39-7124-4E06-ACE1-F8DAFB82F905}" name="Region" dataDxfId="94"/>
    <tableColumn id="2" xr3:uid="{919FAC78-F08A-4E81-A2A2-E6CE40116FC5}" name="Total Revenue" dataDxfId="93">
      <calculatedColumnFormula>SUMIFS(MonthlyRev[Revenue],MonthlyRev[Region],RegionRev[[#This Row],[Region]],MonthlyRev[Product],$G$9,MonthlyRev[SalesRep],$H$9)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B58F793B-4235-4A7D-99C4-383C5A54605E}" name="MonthlyRev" displayName="MonthlyRev" ref="A12:E58" totalsRowShown="0" headerRowDxfId="92" headerRowBorderDxfId="91" tableBorderDxfId="90" totalsRowBorderDxfId="89">
  <autoFilter ref="A12:E58" xr:uid="{B58F793B-4235-4A7D-99C4-383C5A54605E}"/>
  <tableColumns count="5">
    <tableColumn id="1" xr3:uid="{CBA0EFDF-C98D-464B-96B5-D6C036A8F37C}" name="Date" dataDxfId="88"/>
    <tableColumn id="2" xr3:uid="{15DBDC1A-919E-46C9-B8DA-B3F96DD85181}" name="Region" dataDxfId="87"/>
    <tableColumn id="3" xr3:uid="{063854AA-FB66-418D-B3B3-17473D2CF9BD}" name="SalesRep" dataDxfId="86"/>
    <tableColumn id="4" xr3:uid="{56A2B748-17DB-4127-8C1E-32B7F42182D0}" name="Product" dataDxfId="85"/>
    <tableColumn id="5" xr3:uid="{D740985D-E6B8-4310-9C45-ED5219E47960}" name="Revenue" dataDxfId="84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76C2696-BDC5-4892-B036-199D757DBCBE}" name="MonthlyRevnans" displayName="MonthlyRevnans" ref="A12:E58" totalsRowShown="0" headerRowDxfId="83" headerRowBorderDxfId="82" tableBorderDxfId="81" totalsRowBorderDxfId="80">
  <autoFilter ref="A12:E58" xr:uid="{1B03EF5D-C305-4AE2-9D63-834AE9594D4D}"/>
  <tableColumns count="5">
    <tableColumn id="1" xr3:uid="{EC04355D-CDE1-47DB-9CCA-60F8F7A9F95F}" name="Date" dataDxfId="79"/>
    <tableColumn id="2" xr3:uid="{401A61F4-F844-4C53-9133-31F34B537F64}" name="Region" dataDxfId="78"/>
    <tableColumn id="3" xr3:uid="{2127F6C0-FB26-4317-9D07-C0ACACA298CF}" name="SalesRep" dataDxfId="77"/>
    <tableColumn id="4" xr3:uid="{56B179EC-B52C-43E2-9FB9-34E7E847C353}" name="Product" dataDxfId="76"/>
    <tableColumn id="5" xr3:uid="{6991E332-6D5A-40EF-9400-FF345CF4C567}" name="Revenue" dataDxfId="75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D48816D2-87D9-42CD-9D75-00EC2A6FCED8}" name="RegionRevans" displayName="RegionRevans" ref="G14:H18" totalsRowShown="0" headerRowDxfId="74" headerRowBorderDxfId="73" tableBorderDxfId="72" totalsRowBorderDxfId="71">
  <autoFilter ref="G14:H18" xr:uid="{C687A60F-3681-41B2-891C-A64E3D9843CF}"/>
  <tableColumns count="2">
    <tableColumn id="1" xr3:uid="{5C63BB4E-074D-44B6-A67C-7EA007390C46}" name="Region" dataDxfId="70"/>
    <tableColumn id="2" xr3:uid="{F0D5F3F1-9638-4521-8A44-9AF3438C67CD}" name="Total Revenue" dataDxfId="69">
      <calculatedColumnFormula>SUMIFS(MonthlyRevnans[Revenue],MonthlyRevnans[Region],RegionRevans[[#This Row],[Region]],MonthlyRevnans[Product],$G$9,MonthlyRevnans[SalesRep],$H$9)</calculatedColumnFormula>
    </tableColumn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8B72CD6-E7A3-4555-8922-35B9DFA2B6B9}" name="RegionRev5" displayName="RegionRev5" ref="G14:H18" totalsRowShown="0" headerRowDxfId="68" headerRowBorderDxfId="67" tableBorderDxfId="66" totalsRowBorderDxfId="65">
  <autoFilter ref="G14:H18" xr:uid="{C687A60F-3681-41B2-891C-A64E3D9843CF}"/>
  <tableColumns count="2">
    <tableColumn id="1" xr3:uid="{7AB51229-C52A-4E7A-804B-4CC1AE5F11EC}" name="Region" dataDxfId="64"/>
    <tableColumn id="2" xr3:uid="{13649EA3-8A31-475C-9152-11A839E405C4}" name="Total Revenue" dataDxfId="63">
      <calculatedColumnFormula>SUMIFS(RevenueDN,ProductDN,ProductCriteriaDN,SalesRepDN,SalesRepCriteriaDN,RegionDN,RegionRev5[[#This Row],[Region]])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7BC0533C-D3CA-4F82-92E0-6AD05D33582C}" name="SalesCommissionans" displayName="SalesCommissionans" ref="K8:L12" totalsRowShown="0" headerRowDxfId="194" headerRowBorderDxfId="193" tableBorderDxfId="192" totalsRowBorderDxfId="191">
  <autoFilter ref="K8:L12" xr:uid="{7BC0533C-D3CA-4F82-92E0-6AD05D33582C}"/>
  <tableColumns count="2">
    <tableColumn id="1" xr3:uid="{EB09F4AC-DFCA-4BC5-8222-53E232F0E7EF}" name="Sales Amount" dataDxfId="190"/>
    <tableColumn id="2" xr3:uid="{A8794E62-470F-4A84-A2A7-FBD0DBF3B082}" name="Commission Amount" dataDxfId="189" dataCellStyle="Currency">
      <calculatedColumnFormula>ROUND(SalesCommissionans[[#This Row],[Sales Amount]]*$L$6,2)</calculatedColumnFormula>
    </tableColumn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49243B6D-F554-4CBB-82D5-492B9BC038B1}" name="RegionRev522" displayName="RegionRev522" ref="G15:H19" totalsRowShown="0" headerRowDxfId="62" headerRowBorderDxfId="61" tableBorderDxfId="60" totalsRowBorderDxfId="59">
  <autoFilter ref="G15:H19" xr:uid="{C687A60F-3681-41B2-891C-A64E3D9843CF}"/>
  <tableColumns count="2">
    <tableColumn id="1" xr3:uid="{1511E702-3DB9-4B93-985F-862BC397F6A5}" name="Region" dataDxfId="58"/>
    <tableColumn id="2" xr3:uid="{6CF03B63-F03C-451B-AFD5-BC534D4D8D51}" name="Total Revenue" dataDxfId="57">
      <calculatedColumnFormula>SUMIFS(RevenueDNans,ProductDNans,ProductCriteriaDNans,SalesRepDNans,SalesRepCriteriaDNans,RegionDNans,RegionRev522[[#This Row],[Region]])</calculatedColumnFormula>
    </tableColumn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5B34DDB-F394-4AF2-999D-88D86BFF1669}" name="RegionCount10" displayName="RegionCount10" ref="G12:H16" totalsRowShown="0" headerRowDxfId="56" headerRowBorderDxfId="55" tableBorderDxfId="54" totalsRowBorderDxfId="53">
  <autoFilter ref="G12:H16" xr:uid="{33BDED31-E4F2-4AB7-9867-C4B8A3D1E78F}"/>
  <tableColumns count="2">
    <tableColumn id="1" xr3:uid="{C98DEE92-BAD0-409F-A57A-3F742235FF03}" name="Region" dataDxfId="52"/>
    <tableColumn id="2" xr3:uid="{2A3CF97F-B7B8-410B-88BC-6DE24DB31613}" name="Count" dataDxfId="51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213DE811-3765-49AE-B60B-4A59A69D5B13}" name="MonthlyRevenueCntHWan" displayName="MonthlyRevenueCntHWan" ref="A11:E62" totalsRowShown="0" headerRowDxfId="50" headerRowBorderDxfId="49" tableBorderDxfId="48" totalsRowBorderDxfId="47">
  <autoFilter ref="A11:E62" xr:uid="{1B03EF5D-C305-4AE2-9D63-834AE9594D4D}"/>
  <tableColumns count="5">
    <tableColumn id="1" xr3:uid="{A5565720-22DD-471F-9D0F-20940DC73315}" name="Date" dataDxfId="46"/>
    <tableColumn id="2" xr3:uid="{7301771E-8D24-43FF-9BB5-5464E2BE1971}" name="Region" dataDxfId="45"/>
    <tableColumn id="3" xr3:uid="{2BB3C2A1-248B-482E-BCA9-5CE1A9F384B3}" name="SalesRep" dataDxfId="44"/>
    <tableColumn id="4" xr3:uid="{D9A5588B-A75F-4660-AF65-5508EFF59BF6}" name="Product" dataDxfId="43"/>
    <tableColumn id="5" xr3:uid="{3A72D416-B90B-4D1E-B303-0FA0805E7020}" name="Revenue" dataDxfId="42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F6CD83C4-82E5-443C-9B19-3C5D672AE799}" name="RegionCount1027" displayName="RegionCount1027" ref="G12:H16" totalsRowShown="0" headerRowDxfId="41" headerRowBorderDxfId="40" tableBorderDxfId="39" totalsRowBorderDxfId="38">
  <autoFilter ref="G12:H16" xr:uid="{33BDED31-E4F2-4AB7-9867-C4B8A3D1E78F}"/>
  <tableColumns count="2">
    <tableColumn id="1" xr3:uid="{4EE52518-781E-4CCB-9B69-B52F23573964}" name="Region" dataDxfId="37"/>
    <tableColumn id="2" xr3:uid="{9E1DE815-4EAB-48E1-96B0-ED670B96A750}" name="Count" dataDxfId="36">
      <calculatedColumnFormula>COUNTIFS(MonthlyRevenueCntHWan[Region],RegionCount1027[[#This Row],[Region]],MonthlyRevenueCntHWan[Product],$G$6,MonthlyRevenueCntHWan[SalesRep],$H$6)</calculatedColumnFormula>
    </tableColumn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A995B90-3EA4-4316-9B09-1293DEA631FA}" name="RegionRev511" displayName="RegionRev511" ref="G14:H18" totalsRowShown="0" headerRowDxfId="35" headerRowBorderDxfId="34" tableBorderDxfId="33" totalsRowBorderDxfId="32">
  <autoFilter ref="G14:H18" xr:uid="{C687A60F-3681-41B2-891C-A64E3D9843CF}"/>
  <tableColumns count="2">
    <tableColumn id="1" xr3:uid="{6CC6E6C0-4481-4FF9-A3AC-9F764ED73081}" name="Region" dataDxfId="31"/>
    <tableColumn id="2" xr3:uid="{6BB35D6E-81A3-4F95-9F9E-E0EB7D9FD840}" name="Total Revenue" dataDxfId="30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67D649BA-CC8A-44EC-8437-3CCFFF6FAB4B}" name="RegionRev51128" displayName="RegionRev51128" ref="G14:H18" totalsRowShown="0" headerRowDxfId="29" headerRowBorderDxfId="28" tableBorderDxfId="27" totalsRowBorderDxfId="26">
  <autoFilter ref="G14:H18" xr:uid="{C687A60F-3681-41B2-891C-A64E3D9843CF}"/>
  <tableColumns count="2">
    <tableColumn id="1" xr3:uid="{A697104B-0634-488D-A4E6-100FEC96E0FD}" name="Region" dataDxfId="25"/>
    <tableColumn id="2" xr3:uid="{7101B12A-385A-4F7D-97BE-2EC2A70B7FC3}" name="Total Revenue" dataDxfId="24">
      <calculatedColumnFormula>SUMIFS(RevenueTotalAn[Revenue],RevenueTotalAn[Region],RegionRev51128[[#This Row],[Region]],RevenueTotalAn[SalesRep],$H$9,RevenueTotalAn[Product],$G$9)</calculatedColumnFormula>
    </tableColumn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714044D0-2CBF-49CA-B683-565CBBCF9C7F}" name="RevenueTotalAn" displayName="RevenueTotalAn" ref="A11:E41" totalsRowShown="0" headerRowDxfId="23" tableBorderDxfId="22">
  <autoFilter ref="A11:E41" xr:uid="{714044D0-2CBF-49CA-B683-565CBBCF9C7F}"/>
  <tableColumns count="5">
    <tableColumn id="1" xr3:uid="{8D8E8747-DFC2-41BE-B243-EAC926596528}" name="Date" dataDxfId="21"/>
    <tableColumn id="2" xr3:uid="{B919ED7F-950C-475E-9926-3108EE795D7A}" name="Region" dataDxfId="20"/>
    <tableColumn id="3" xr3:uid="{AE833BBF-5822-425E-B0F4-BE0016EA54B8}" name="SalesRep" dataDxfId="19"/>
    <tableColumn id="4" xr3:uid="{52D361E9-F433-44CF-94E5-45BCC62F0BE0}" name="Product" dataDxfId="18"/>
    <tableColumn id="5" xr3:uid="{AFC533EB-E571-47A8-9516-78A2544DF3BD}" name="Revenue" dataDxfId="17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8DA4A23A-0524-4023-9CDD-12DDB2954ED4}" name="SalesTax" displayName="SalesTax" ref="K8:L12" totalsRowShown="0" headerRowDxfId="16" headerRowBorderDxfId="15" tableBorderDxfId="14" totalsRowBorderDxfId="13">
  <autoFilter ref="K8:L12" xr:uid="{8DA4A23A-0524-4023-9CDD-12DDB2954ED4}"/>
  <tableColumns count="2">
    <tableColumn id="1" xr3:uid="{23A10515-8A3C-4677-9FDC-23E5F36D78AF}" name="Sales" dataDxfId="12"/>
    <tableColumn id="2" xr3:uid="{9D62CE78-9F89-44B5-BA60-455F30850783}" name="Tax Amount" dataDxfId="11" dataCellStyle="Currency">
      <calculatedColumnFormula>ROUND(SalesTax[[#This Row],[Sales]]*$L$6,2)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3BDED31-E4F2-4AB7-9867-C4B8A3D1E78F}" name="RegionCount" displayName="RegionCount" ref="G12:H16" totalsRowShown="0" headerRowDxfId="188" headerRowBorderDxfId="187" tableBorderDxfId="186" totalsRowBorderDxfId="185">
  <autoFilter ref="G12:H16" xr:uid="{33BDED31-E4F2-4AB7-9867-C4B8A3D1E78F}"/>
  <tableColumns count="2">
    <tableColumn id="1" xr3:uid="{EE8DD937-DC95-4BB1-A771-0C21C681D97A}" name="Region" dataDxfId="184"/>
    <tableColumn id="2" xr3:uid="{C16B6188-6D80-4A02-B05F-B26759CCB92B}" name="Count" dataDxfId="183">
      <calculatedColumnFormula>COUNTIFS(ProductCnt[Product],$G$7,ProductCnt[SalesRep],$H$7,ProductCnt[Region],RegionCount[[#This Row],[Region]])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3700023-F984-4522-8319-1F2701DB2CA1}" name="ProductCnt" displayName="ProductCnt" ref="A11:E41" totalsRowShown="0" headerRowDxfId="182" headerRowBorderDxfId="181" tableBorderDxfId="180" totalsRowBorderDxfId="179">
  <autoFilter ref="A11:E41" xr:uid="{E3700023-F984-4522-8319-1F2701DB2CA1}"/>
  <tableColumns count="5">
    <tableColumn id="1" xr3:uid="{45082E71-9BDD-47A4-80E7-336FC30070CA}" name="Date" dataDxfId="178"/>
    <tableColumn id="2" xr3:uid="{02282AE8-8D45-4A00-9DAF-53AC5E77DB76}" name="Region" dataDxfId="177"/>
    <tableColumn id="3" xr3:uid="{4C250FE5-0833-435F-94DB-ED6C266B1852}" name="SalesRep" dataDxfId="176"/>
    <tableColumn id="4" xr3:uid="{147F7346-4BC4-4773-8D20-A6701E12BE2E}" name="Product" dataDxfId="175"/>
    <tableColumn id="5" xr3:uid="{69AED817-74F5-4687-B5F2-6E70246AA287}" name="Revenue" dataDxfId="174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C234E7D-4408-4AD4-80BB-4549C0E3D019}" name="ProductCntans" displayName="ProductCntans" ref="A11:E41" totalsRowShown="0" headerRowDxfId="173" headerRowBorderDxfId="172" tableBorderDxfId="171" totalsRowBorderDxfId="170">
  <autoFilter ref="A11:E41" xr:uid="{1B03EF5D-C305-4AE2-9D63-834AE9594D4D}"/>
  <tableColumns count="5">
    <tableColumn id="1" xr3:uid="{B8F80F26-BE25-44B1-A552-24DE2D6BFA6C}" name="Date" dataDxfId="169"/>
    <tableColumn id="2" xr3:uid="{372834F1-839D-4EE6-A791-5F86C69B3163}" name="Region" dataDxfId="168"/>
    <tableColumn id="3" xr3:uid="{9EDD2194-B092-4EE9-A47E-69B873B26925}" name="SalesRep" dataDxfId="167"/>
    <tableColumn id="4" xr3:uid="{17B2AC51-B2E3-44F6-9446-EF8E5FAD12EA}" name="Product" dataDxfId="166"/>
    <tableColumn id="5" xr3:uid="{CDA0932A-5194-47D3-976C-6A75704786FC}" name="Revenue" dataDxfId="165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F222E221-5F50-4CD5-8F6D-15FB6398E7CB}" name="RegionCount15" displayName="RegionCount15" ref="G12:H16" totalsRowShown="0" headerRowDxfId="164" headerRowBorderDxfId="163" tableBorderDxfId="162" totalsRowBorderDxfId="161">
  <autoFilter ref="G12:H16" xr:uid="{33BDED31-E4F2-4AB7-9867-C4B8A3D1E78F}"/>
  <tableColumns count="2">
    <tableColumn id="1" xr3:uid="{72625CFC-CE7E-436F-9509-CE9108A88186}" name="Region" dataDxfId="160"/>
    <tableColumn id="2" xr3:uid="{CD4ABB94-71DE-43BF-A946-8D7A1C10C1AD}" name="Count" dataDxfId="159">
      <calculatedColumnFormula>COUNTIFS(ProductCntans[Region],RegionCount15[[#This Row],[Region]],ProductCntans[Product],$G$7,ProductCntans[SalesRep],$H$7)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44870C3D-BFFF-49D7-920A-A1095F1D11B1}" name="RegionCnt" displayName="RegionCnt" ref="G12:H16" totalsRowShown="0" headerRowDxfId="158" headerRowBorderDxfId="157" tableBorderDxfId="156" totalsRowBorderDxfId="155">
  <autoFilter ref="G12:H16" xr:uid="{33BDED31-E4F2-4AB7-9867-C4B8A3D1E78F}"/>
  <tableColumns count="2">
    <tableColumn id="1" xr3:uid="{73B059D4-F71B-4141-B562-CCFCBB3156B5}" name="Region" dataDxfId="154"/>
    <tableColumn id="2" xr3:uid="{23C1AD67-825F-4601-AF4F-8722864E9402}" name="Count" dataDxfId="153">
      <calculatedColumnFormula>COUNTIFS(RegionSalesCnt[Region],RegionCnt[[#This Row],[Region]],RegionSalesCnt[Revenue],$H$7)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003BE1B-C601-47A5-B501-87529C606361}" name="RegionSalesCnt" displayName="RegionSalesCnt" ref="A11:E41" totalsRowShown="0" headerRowDxfId="152" headerRowBorderDxfId="151" tableBorderDxfId="150" totalsRowBorderDxfId="149">
  <autoFilter ref="A11:E41" xr:uid="{9003BE1B-C601-47A5-B501-87529C606361}"/>
  <tableColumns count="5">
    <tableColumn id="1" xr3:uid="{68EB3CB9-09B8-4F9E-85B0-1F131CC26673}" name="Date" dataDxfId="148"/>
    <tableColumn id="2" xr3:uid="{C6C20A50-5AC4-48E8-BD60-BD95999E4E6B}" name="Region" dataDxfId="147"/>
    <tableColumn id="3" xr3:uid="{65C2F3D8-D1C9-44CE-86E2-0CE46E6C3828}" name="SalesRep" dataDxfId="146"/>
    <tableColumn id="4" xr3:uid="{37328B8A-AC15-4B81-A628-2AFD48406393}" name="Product" dataDxfId="145"/>
    <tableColumn id="5" xr3:uid="{A5A72476-FADA-499E-B701-E49F8FB44996}" name="Revenue" dataDxfId="144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8CFCDE21-738D-41BB-A389-15568C8EE271}" name="RegionSalesCntans" displayName="RegionSalesCntans" ref="A11:E41" totalsRowShown="0" headerRowDxfId="143" headerRowBorderDxfId="142" tableBorderDxfId="141" totalsRowBorderDxfId="140">
  <autoFilter ref="A11:E41" xr:uid="{1B03EF5D-C305-4AE2-9D63-834AE9594D4D}"/>
  <tableColumns count="5">
    <tableColumn id="1" xr3:uid="{9ADD4647-7D6F-4FA0-98E1-E43E2DF27CF5}" name="Date" dataDxfId="139"/>
    <tableColumn id="2" xr3:uid="{09AF0E12-FD7A-4DE7-AD6E-813275DFC203}" name="Region" dataDxfId="138"/>
    <tableColumn id="3" xr3:uid="{39FCD711-F0E6-44E6-865C-16D91ECDFECF}" name="SalesRep" dataDxfId="137"/>
    <tableColumn id="4" xr3:uid="{D8A11421-76F3-496A-9695-783BA36F2347}" name="Product" dataDxfId="136"/>
    <tableColumn id="5" xr3:uid="{F964F1EE-29C1-4ECE-B81D-49B706FC93AC}" name="Revenue" dataDxfId="13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table" Target="../tables/table13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table" Target="../tables/table15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table" Target="../tables/table17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3.xml"/><Relationship Id="rId1" Type="http://schemas.openxmlformats.org/officeDocument/2006/relationships/table" Target="../tables/table2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6.xml"/><Relationship Id="rId1" Type="http://schemas.openxmlformats.org/officeDocument/2006/relationships/table" Target="../tables/table25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7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2C5CC-89E7-405A-BCBD-FA76D22481ED}">
  <dimension ref="A1:W43"/>
  <sheetViews>
    <sheetView showGridLines="0" tabSelected="1" zoomScale="120" zoomScaleNormal="120" workbookViewId="0">
      <selection activeCell="B1" sqref="B1"/>
    </sheetView>
  </sheetViews>
  <sheetFormatPr defaultRowHeight="15" x14ac:dyDescent="0.25"/>
  <cols>
    <col min="2" max="2" width="11.5703125" bestFit="1" customWidth="1"/>
    <col min="3" max="3" width="9.7109375" customWidth="1"/>
    <col min="4" max="4" width="15.140625" customWidth="1"/>
    <col min="5" max="5" width="21.7109375" customWidth="1"/>
    <col min="7" max="7" width="15.28515625" bestFit="1" customWidth="1"/>
    <col min="8" max="8" width="17.7109375" customWidth="1"/>
  </cols>
  <sheetData>
    <row r="1" spans="1:23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28.5" x14ac:dyDescent="0.45">
      <c r="A3" s="2"/>
      <c r="B3" s="2"/>
      <c r="C3" s="4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18.75" x14ac:dyDescent="0.3">
      <c r="A4" s="2"/>
      <c r="B4" s="2"/>
      <c r="C4" s="24" t="s">
        <v>119</v>
      </c>
      <c r="D4" s="2"/>
      <c r="E4" s="3"/>
      <c r="F4" s="3"/>
      <c r="G4" s="3"/>
      <c r="H4" s="3"/>
      <c r="I4" s="3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18.75" x14ac:dyDescent="0.3">
      <c r="A5" s="2"/>
      <c r="B5" s="2"/>
      <c r="C5" s="2"/>
      <c r="D5" s="105" t="s">
        <v>120</v>
      </c>
      <c r="E5" s="105"/>
      <c r="F5" s="2"/>
      <c r="G5" s="3"/>
      <c r="H5" s="3"/>
      <c r="I5" s="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18.75" x14ac:dyDescent="0.3">
      <c r="A6" s="2"/>
      <c r="B6" s="2"/>
      <c r="C6" s="2"/>
      <c r="D6" s="105" t="s">
        <v>76</v>
      </c>
      <c r="E6" s="105"/>
      <c r="F6" s="2"/>
      <c r="G6" s="3"/>
      <c r="H6" s="3"/>
      <c r="I6" s="3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8.75" x14ac:dyDescent="0.3">
      <c r="A7" s="2"/>
      <c r="B7" s="2"/>
      <c r="C7" s="2"/>
      <c r="D7" s="105" t="s">
        <v>70</v>
      </c>
      <c r="E7" s="105"/>
      <c r="F7" s="2"/>
      <c r="G7" s="3"/>
      <c r="H7" s="3"/>
      <c r="I7" s="3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18.75" x14ac:dyDescent="0.3">
      <c r="A8" s="2"/>
      <c r="B8" s="2"/>
      <c r="C8" s="24" t="s">
        <v>58</v>
      </c>
      <c r="D8" s="2"/>
      <c r="E8" s="3"/>
      <c r="F8" s="3"/>
      <c r="G8" s="3"/>
      <c r="H8" s="3"/>
      <c r="I8" s="3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18.75" x14ac:dyDescent="0.3">
      <c r="A9" s="2"/>
      <c r="B9" s="2"/>
      <c r="C9" s="9"/>
      <c r="D9" s="9" t="s">
        <v>59</v>
      </c>
      <c r="E9" s="3"/>
      <c r="F9" s="3"/>
      <c r="G9" s="3"/>
      <c r="H9" s="3"/>
      <c r="I9" s="3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18.75" x14ac:dyDescent="0.3">
      <c r="A10" s="2"/>
      <c r="B10" s="2"/>
      <c r="C10" s="9"/>
      <c r="D10" s="9" t="s">
        <v>60</v>
      </c>
      <c r="E10" s="3"/>
      <c r="F10" s="3"/>
      <c r="G10" s="3"/>
      <c r="H10" s="3"/>
      <c r="I10" s="3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8.75" x14ac:dyDescent="0.3">
      <c r="A11" s="2"/>
      <c r="B11" s="2"/>
      <c r="C11" s="9"/>
      <c r="D11" s="9" t="s">
        <v>97</v>
      </c>
      <c r="E11" s="3"/>
      <c r="F11" s="3"/>
      <c r="G11" s="3"/>
      <c r="H11" s="3"/>
      <c r="I11" s="3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18.75" x14ac:dyDescent="0.3">
      <c r="A12" s="2"/>
      <c r="B12" s="2"/>
      <c r="C12" s="24" t="s">
        <v>61</v>
      </c>
      <c r="D12" s="9"/>
      <c r="E12" s="3"/>
      <c r="F12" s="3"/>
      <c r="G12" s="3"/>
      <c r="H12" s="3"/>
      <c r="I12" s="3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21" x14ac:dyDescent="0.35">
      <c r="A13" s="2"/>
      <c r="B13" s="2"/>
      <c r="C13" s="9"/>
      <c r="D13" s="9" t="s">
        <v>62</v>
      </c>
      <c r="E13" s="3"/>
      <c r="F13" s="3"/>
      <c r="G13" s="5"/>
      <c r="H13" s="5"/>
      <c r="I13" s="3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18.75" x14ac:dyDescent="0.3">
      <c r="A14" s="2"/>
      <c r="B14" s="2"/>
      <c r="C14" s="9"/>
      <c r="D14" s="9" t="s">
        <v>7</v>
      </c>
      <c r="E14" s="3"/>
      <c r="F14" s="3"/>
      <c r="G14" s="3"/>
      <c r="H14" s="3"/>
      <c r="I14" s="3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18.75" x14ac:dyDescent="0.3">
      <c r="A15" s="2"/>
      <c r="B15" s="2"/>
      <c r="C15" s="2"/>
      <c r="D15" s="9" t="s">
        <v>9</v>
      </c>
      <c r="E15" s="2"/>
      <c r="F15" s="3"/>
      <c r="G15" s="3"/>
      <c r="H15" s="3"/>
      <c r="I15" s="3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18.75" x14ac:dyDescent="0.3">
      <c r="A16" s="2"/>
      <c r="B16" s="2"/>
      <c r="C16" s="2"/>
      <c r="D16" s="9" t="s">
        <v>5</v>
      </c>
      <c r="E16" s="3"/>
      <c r="F16" s="3"/>
      <c r="G16" s="3"/>
      <c r="H16" s="3"/>
      <c r="I16" s="3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18.75" x14ac:dyDescent="0.3">
      <c r="A17" s="2"/>
      <c r="B17" s="2"/>
      <c r="C17" s="2"/>
      <c r="D17" s="3"/>
      <c r="E17" s="3"/>
      <c r="F17" s="3"/>
      <c r="G17" s="3"/>
      <c r="H17" s="3"/>
      <c r="I17" s="3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18.75" x14ac:dyDescent="0.3">
      <c r="A18" s="2"/>
      <c r="B18" s="2"/>
      <c r="C18" s="2"/>
      <c r="D18" s="3"/>
      <c r="E18" s="3"/>
      <c r="F18" s="3"/>
      <c r="G18" s="3"/>
      <c r="H18" s="3"/>
      <c r="I18" s="3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18.75" x14ac:dyDescent="0.3">
      <c r="A19" s="2"/>
      <c r="B19" s="2"/>
      <c r="C19" s="2"/>
      <c r="D19" s="3"/>
      <c r="E19" s="3"/>
      <c r="F19" s="3"/>
      <c r="G19" s="3"/>
      <c r="H19" s="3"/>
      <c r="I19" s="3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ht="18.75" x14ac:dyDescent="0.3">
      <c r="A20" s="2"/>
      <c r="B20" s="2"/>
      <c r="C20" s="2"/>
      <c r="D20" s="3"/>
      <c r="E20" s="3"/>
      <c r="F20" s="3"/>
      <c r="G20" s="3"/>
      <c r="H20" s="3"/>
      <c r="I20" s="3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 ht="18.75" x14ac:dyDescent="0.3">
      <c r="A21" s="2"/>
      <c r="B21" s="2"/>
      <c r="C21" s="2"/>
      <c r="D21" s="3"/>
      <c r="E21" s="3"/>
      <c r="F21" s="3"/>
      <c r="G21" s="3"/>
      <c r="H21" s="3"/>
      <c r="I21" s="3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 ht="18.75" x14ac:dyDescent="0.3">
      <c r="A22" s="2"/>
      <c r="B22" s="2"/>
      <c r="C22" s="2"/>
      <c r="D22" s="3"/>
      <c r="E22" s="3"/>
      <c r="F22" s="3"/>
      <c r="G22" s="3"/>
      <c r="H22" s="3"/>
      <c r="I22" s="3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 ht="18.75" x14ac:dyDescent="0.3">
      <c r="A23" s="2"/>
      <c r="B23" s="2"/>
      <c r="C23" s="2"/>
      <c r="D23" s="3"/>
      <c r="E23" s="3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 x14ac:dyDescent="0.25">
      <c r="A30" s="2"/>
      <c r="D30" s="2"/>
      <c r="E30" s="2"/>
    </row>
    <row r="39" spans="1:3" x14ac:dyDescent="0.25">
      <c r="B39" t="s">
        <v>5</v>
      </c>
      <c r="C39" t="s">
        <v>11</v>
      </c>
    </row>
    <row r="40" spans="1:3" x14ac:dyDescent="0.25">
      <c r="A40" t="s">
        <v>0</v>
      </c>
      <c r="B40" t="s">
        <v>7</v>
      </c>
      <c r="C40" t="s">
        <v>12</v>
      </c>
    </row>
    <row r="41" spans="1:3" x14ac:dyDescent="0.25">
      <c r="B41" t="s">
        <v>9</v>
      </c>
      <c r="C41" t="s">
        <v>13</v>
      </c>
    </row>
    <row r="42" spans="1:3" x14ac:dyDescent="0.25">
      <c r="B42" t="s">
        <v>14</v>
      </c>
      <c r="C42" t="s">
        <v>15</v>
      </c>
    </row>
    <row r="43" spans="1:3" x14ac:dyDescent="0.25">
      <c r="B43" t="s">
        <v>16</v>
      </c>
      <c r="C43" t="s">
        <v>17</v>
      </c>
    </row>
  </sheetData>
  <pageMargins left="0.7" right="0.7" top="0.75" bottom="0.75" header="0.3" footer="0.3"/>
  <pageSetup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11A24-E253-4444-865A-01BF544D3F1F}">
  <sheetPr>
    <tabColor rgb="FFFFFF00"/>
  </sheetPr>
  <dimension ref="A1:M43"/>
  <sheetViews>
    <sheetView workbookViewId="0"/>
  </sheetViews>
  <sheetFormatPr defaultRowHeight="15" x14ac:dyDescent="0.25"/>
  <cols>
    <col min="1" max="1" width="12.7109375" customWidth="1"/>
    <col min="2" max="2" width="11.7109375" customWidth="1"/>
    <col min="3" max="3" width="17" customWidth="1"/>
    <col min="4" max="4" width="19.5703125" customWidth="1"/>
    <col min="5" max="5" width="16.42578125" customWidth="1"/>
    <col min="6" max="6" width="4.7109375" customWidth="1"/>
    <col min="7" max="7" width="18.28515625" customWidth="1"/>
    <col min="8" max="8" width="25.28515625" customWidth="1"/>
    <col min="9" max="9" width="3.85546875" customWidth="1"/>
    <col min="10" max="10" width="25.28515625" customWidth="1"/>
    <col min="11" max="11" width="20.5703125" customWidth="1"/>
    <col min="12" max="12" width="14" customWidth="1"/>
    <col min="13" max="13" width="15.42578125" customWidth="1"/>
    <col min="17" max="17" width="9.5703125" bestFit="1" customWidth="1"/>
    <col min="18" max="18" width="11.5703125" customWidth="1"/>
  </cols>
  <sheetData>
    <row r="1" spans="1:12" ht="21" x14ac:dyDescent="0.35">
      <c r="A1" s="7" t="s">
        <v>99</v>
      </c>
      <c r="B1" s="6"/>
      <c r="C1" s="6"/>
      <c r="D1" s="6"/>
      <c r="E1" s="6"/>
      <c r="F1" s="6"/>
      <c r="G1" s="6"/>
      <c r="H1" s="6"/>
    </row>
    <row r="2" spans="1:12" ht="15.75" x14ac:dyDescent="0.25">
      <c r="A2" s="29" t="s">
        <v>52</v>
      </c>
      <c r="B2" s="30"/>
      <c r="C2" s="30"/>
      <c r="D2" s="30"/>
      <c r="E2" s="28"/>
    </row>
    <row r="3" spans="1:12" ht="15.75" x14ac:dyDescent="0.25">
      <c r="A3" s="30" t="s">
        <v>63</v>
      </c>
      <c r="B3" s="30"/>
      <c r="C3" s="30"/>
      <c r="D3" s="30"/>
      <c r="E3" s="28"/>
      <c r="G3" s="46" t="s">
        <v>55</v>
      </c>
      <c r="H3" s="45" t="s">
        <v>56</v>
      </c>
    </row>
    <row r="4" spans="1:12" ht="15.75" x14ac:dyDescent="0.25">
      <c r="A4" s="30" t="s">
        <v>84</v>
      </c>
      <c r="B4" s="30"/>
      <c r="C4" s="30"/>
      <c r="D4" s="30"/>
      <c r="E4" s="27"/>
      <c r="G4" s="10" t="s">
        <v>5</v>
      </c>
      <c r="H4" t="s">
        <v>11</v>
      </c>
    </row>
    <row r="5" spans="1:12" ht="15.75" x14ac:dyDescent="0.25">
      <c r="A5" s="30" t="s">
        <v>85</v>
      </c>
      <c r="B5" s="29"/>
      <c r="C5" s="30"/>
      <c r="D5" s="30"/>
      <c r="E5" s="27"/>
    </row>
    <row r="6" spans="1:12" x14ac:dyDescent="0.25">
      <c r="B6" s="10"/>
    </row>
    <row r="7" spans="1:12" ht="15.75" x14ac:dyDescent="0.25">
      <c r="G7" s="64" t="s">
        <v>83</v>
      </c>
      <c r="H7" s="64" t="s">
        <v>82</v>
      </c>
    </row>
    <row r="8" spans="1:12" ht="15.75" x14ac:dyDescent="0.25">
      <c r="B8" s="10"/>
      <c r="G8" s="40" t="s">
        <v>43</v>
      </c>
      <c r="H8" s="14">
        <f>COUNTIFS(RegionSalesCntans[Revenue],H7)</f>
        <v>9</v>
      </c>
      <c r="J8" s="44" t="str">
        <f ca="1">IF(_xlfn.ISFORMULA(H8),_xlfn.FORMULATEXT(H8),"")</f>
        <v>=COUNTIFS(RegionSalesCntans[Revenue],H7)</v>
      </c>
    </row>
    <row r="9" spans="1:12" ht="22.15" customHeight="1" x14ac:dyDescent="0.25">
      <c r="A9" s="46"/>
      <c r="B9" s="47"/>
      <c r="C9" s="47"/>
      <c r="D9" s="47"/>
      <c r="E9" s="47"/>
    </row>
    <row r="10" spans="1:12" ht="21" x14ac:dyDescent="0.35">
      <c r="G10" s="60" t="s">
        <v>70</v>
      </c>
      <c r="H10" s="60"/>
      <c r="K10" s="8"/>
    </row>
    <row r="11" spans="1:12" ht="15.75" x14ac:dyDescent="0.25">
      <c r="A11" s="35" t="s">
        <v>1</v>
      </c>
      <c r="B11" s="36" t="s">
        <v>18</v>
      </c>
      <c r="C11" s="36" t="s">
        <v>19</v>
      </c>
      <c r="D11" s="36" t="s">
        <v>20</v>
      </c>
      <c r="E11" s="37" t="s">
        <v>21</v>
      </c>
    </row>
    <row r="12" spans="1:12" x14ac:dyDescent="0.25">
      <c r="A12" s="31">
        <v>45162</v>
      </c>
      <c r="B12" s="1" t="s">
        <v>24</v>
      </c>
      <c r="C12" s="1" t="s">
        <v>47</v>
      </c>
      <c r="D12" s="1" t="s">
        <v>29</v>
      </c>
      <c r="E12" s="42">
        <v>23935.3</v>
      </c>
      <c r="G12" s="49" t="s">
        <v>18</v>
      </c>
      <c r="H12" s="51" t="s">
        <v>43</v>
      </c>
    </row>
    <row r="13" spans="1:12" ht="15.75" x14ac:dyDescent="0.25">
      <c r="A13" s="31">
        <v>45161</v>
      </c>
      <c r="B13" s="1" t="s">
        <v>24</v>
      </c>
      <c r="C13" s="1" t="s">
        <v>45</v>
      </c>
      <c r="D13" s="1" t="s">
        <v>27</v>
      </c>
      <c r="E13" s="42">
        <v>46241.84</v>
      </c>
      <c r="G13" s="50" t="s">
        <v>24</v>
      </c>
      <c r="H13" s="54">
        <f>COUNTIFS(RegionSalesCntans[Revenue],$H$7,RegionSalesCntans[Region],RegionCount1417[[#This Row],[Region]])</f>
        <v>4</v>
      </c>
      <c r="J13" s="44" t="str">
        <f ca="1">IF(_xlfn.ISFORMULA(H13),_xlfn.FORMULATEXT(H13),"")</f>
        <v>=COUNTIFS(RegionSalesCntans[Revenue],$H$7,RegionSalesCntans[Region],[@Region])</v>
      </c>
    </row>
    <row r="14" spans="1:12" ht="15.75" x14ac:dyDescent="0.25">
      <c r="A14" s="31">
        <v>45145</v>
      </c>
      <c r="B14" s="1" t="s">
        <v>25</v>
      </c>
      <c r="C14" s="1" t="s">
        <v>2</v>
      </c>
      <c r="D14" s="1" t="s">
        <v>27</v>
      </c>
      <c r="E14" s="42">
        <v>20003.13</v>
      </c>
      <c r="G14" s="50" t="s">
        <v>65</v>
      </c>
      <c r="H14" s="54">
        <f>COUNTIFS(RegionSalesCntans[Revenue],$H$7,RegionSalesCntans[Region],RegionCount1417[[#This Row],[Region]])</f>
        <v>1</v>
      </c>
      <c r="J14" s="30" t="s">
        <v>159</v>
      </c>
      <c r="K14" s="28"/>
      <c r="L14" s="28"/>
    </row>
    <row r="15" spans="1:12" x14ac:dyDescent="0.25">
      <c r="A15" s="31">
        <v>45149</v>
      </c>
      <c r="B15" s="1" t="s">
        <v>25</v>
      </c>
      <c r="C15" s="1" t="s">
        <v>2</v>
      </c>
      <c r="D15" s="1" t="s">
        <v>29</v>
      </c>
      <c r="E15" s="42">
        <v>24148.61</v>
      </c>
      <c r="G15" s="50" t="s">
        <v>23</v>
      </c>
      <c r="H15" s="54">
        <f>COUNTIFS(RegionSalesCntans[Revenue],$H$7,RegionSalesCntans[Region],RegionCount1417[[#This Row],[Region]])</f>
        <v>1</v>
      </c>
    </row>
    <row r="16" spans="1:12" x14ac:dyDescent="0.25">
      <c r="A16" s="31">
        <v>45164</v>
      </c>
      <c r="B16" s="1" t="s">
        <v>24</v>
      </c>
      <c r="C16" s="1" t="s">
        <v>47</v>
      </c>
      <c r="D16" s="1" t="s">
        <v>29</v>
      </c>
      <c r="E16" s="42">
        <v>43173.32</v>
      </c>
      <c r="G16" s="34" t="s">
        <v>25</v>
      </c>
      <c r="H16" s="55">
        <f>COUNTIFS(RegionSalesCntans[Revenue],$H$7,RegionSalesCntans[Region],RegionCount1417[[#This Row],[Region]])</f>
        <v>3</v>
      </c>
    </row>
    <row r="17" spans="1:13" x14ac:dyDescent="0.25">
      <c r="A17" s="31">
        <v>45160</v>
      </c>
      <c r="B17" s="1" t="s">
        <v>23</v>
      </c>
      <c r="C17" s="1" t="s">
        <v>47</v>
      </c>
      <c r="D17" s="1" t="s">
        <v>28</v>
      </c>
      <c r="E17" s="42">
        <v>23553.65</v>
      </c>
    </row>
    <row r="18" spans="1:13" x14ac:dyDescent="0.25">
      <c r="A18" s="31">
        <v>45164</v>
      </c>
      <c r="B18" s="1" t="s">
        <v>25</v>
      </c>
      <c r="C18" s="1" t="s">
        <v>2</v>
      </c>
      <c r="D18" s="1" t="s">
        <v>29</v>
      </c>
      <c r="E18" s="42">
        <v>26863.98</v>
      </c>
      <c r="G18" s="10" t="s">
        <v>71</v>
      </c>
      <c r="K18" s="63" t="s">
        <v>90</v>
      </c>
      <c r="L18" s="26"/>
      <c r="M18" s="26"/>
    </row>
    <row r="19" spans="1:13" x14ac:dyDescent="0.25">
      <c r="A19" s="31">
        <v>45153</v>
      </c>
      <c r="B19" s="1" t="s">
        <v>65</v>
      </c>
      <c r="C19" s="1" t="s">
        <v>47</v>
      </c>
      <c r="D19" s="1" t="s">
        <v>28</v>
      </c>
      <c r="E19" s="42">
        <v>35320.76</v>
      </c>
      <c r="G19" t="s">
        <v>72</v>
      </c>
      <c r="K19" s="63" t="s">
        <v>91</v>
      </c>
      <c r="L19" s="26"/>
      <c r="M19" s="26"/>
    </row>
    <row r="20" spans="1:13" x14ac:dyDescent="0.25">
      <c r="A20" s="31">
        <v>45144</v>
      </c>
      <c r="B20" s="1" t="s">
        <v>25</v>
      </c>
      <c r="C20" s="1" t="s">
        <v>45</v>
      </c>
      <c r="D20" s="1" t="s">
        <v>29</v>
      </c>
      <c r="E20" s="42">
        <v>15196.59</v>
      </c>
      <c r="G20" t="s">
        <v>73</v>
      </c>
      <c r="K20" s="63" t="s">
        <v>92</v>
      </c>
      <c r="L20" s="26"/>
      <c r="M20" s="26"/>
    </row>
    <row r="21" spans="1:13" x14ac:dyDescent="0.25">
      <c r="A21" s="31">
        <v>45149</v>
      </c>
      <c r="B21" s="1" t="s">
        <v>25</v>
      </c>
      <c r="C21" s="1" t="s">
        <v>2</v>
      </c>
      <c r="D21" s="1" t="s">
        <v>27</v>
      </c>
      <c r="E21" s="42">
        <v>48533.17</v>
      </c>
      <c r="G21" t="s">
        <v>74</v>
      </c>
      <c r="K21" s="63" t="s">
        <v>93</v>
      </c>
      <c r="L21" s="26"/>
      <c r="M21" s="26"/>
    </row>
    <row r="22" spans="1:13" x14ac:dyDescent="0.25">
      <c r="A22" s="31">
        <v>45157</v>
      </c>
      <c r="B22" s="1" t="s">
        <v>23</v>
      </c>
      <c r="C22" s="1" t="s">
        <v>45</v>
      </c>
      <c r="D22" s="1" t="s">
        <v>27</v>
      </c>
      <c r="E22" s="42">
        <v>30517.67</v>
      </c>
    </row>
    <row r="23" spans="1:13" x14ac:dyDescent="0.25">
      <c r="A23" s="31">
        <v>45148</v>
      </c>
      <c r="B23" s="1" t="s">
        <v>23</v>
      </c>
      <c r="C23" s="1" t="s">
        <v>2</v>
      </c>
      <c r="D23" s="1" t="s">
        <v>28</v>
      </c>
      <c r="E23" s="42">
        <v>22962.38</v>
      </c>
      <c r="G23" t="s">
        <v>75</v>
      </c>
    </row>
    <row r="24" spans="1:13" x14ac:dyDescent="0.25">
      <c r="A24" s="31">
        <v>45143</v>
      </c>
      <c r="B24" s="1" t="s">
        <v>25</v>
      </c>
      <c r="C24" s="1" t="s">
        <v>45</v>
      </c>
      <c r="D24" s="1" t="s">
        <v>28</v>
      </c>
      <c r="E24" s="42">
        <v>26230.06</v>
      </c>
    </row>
    <row r="25" spans="1:13" x14ac:dyDescent="0.25">
      <c r="A25" s="31">
        <v>45149</v>
      </c>
      <c r="B25" s="1" t="s">
        <v>65</v>
      </c>
      <c r="C25" s="1" t="s">
        <v>45</v>
      </c>
      <c r="D25" s="1" t="s">
        <v>27</v>
      </c>
      <c r="E25" s="42">
        <v>34445.910000000003</v>
      </c>
    </row>
    <row r="26" spans="1:13" x14ac:dyDescent="0.25">
      <c r="A26" s="31">
        <v>45148</v>
      </c>
      <c r="B26" s="1" t="s">
        <v>65</v>
      </c>
      <c r="C26" s="1" t="s">
        <v>45</v>
      </c>
      <c r="D26" s="1" t="s">
        <v>28</v>
      </c>
      <c r="E26" s="42">
        <v>41175.589999999997</v>
      </c>
    </row>
    <row r="27" spans="1:13" x14ac:dyDescent="0.25">
      <c r="A27" s="31">
        <v>45156</v>
      </c>
      <c r="B27" s="1" t="s">
        <v>25</v>
      </c>
      <c r="C27" s="1" t="s">
        <v>2</v>
      </c>
      <c r="D27" s="1" t="s">
        <v>28</v>
      </c>
      <c r="E27" s="42">
        <v>28456.15</v>
      </c>
    </row>
    <row r="28" spans="1:13" x14ac:dyDescent="0.25">
      <c r="A28" s="31">
        <v>45168</v>
      </c>
      <c r="B28" s="1" t="s">
        <v>24</v>
      </c>
      <c r="C28" s="1" t="s">
        <v>47</v>
      </c>
      <c r="D28" s="1" t="s">
        <v>29</v>
      </c>
      <c r="E28" s="42">
        <v>46883.49</v>
      </c>
    </row>
    <row r="29" spans="1:13" x14ac:dyDescent="0.25">
      <c r="A29" s="31">
        <v>45152</v>
      </c>
      <c r="B29" s="1" t="s">
        <v>25</v>
      </c>
      <c r="C29" s="1" t="s">
        <v>47</v>
      </c>
      <c r="D29" s="1" t="s">
        <v>29</v>
      </c>
      <c r="E29" s="42">
        <v>48675.77</v>
      </c>
    </row>
    <row r="30" spans="1:13" x14ac:dyDescent="0.25">
      <c r="A30" s="31">
        <v>45144</v>
      </c>
      <c r="B30" s="1" t="s">
        <v>23</v>
      </c>
      <c r="C30" s="1" t="s">
        <v>2</v>
      </c>
      <c r="D30" s="1" t="s">
        <v>27</v>
      </c>
      <c r="E30" s="42">
        <v>19604.95</v>
      </c>
    </row>
    <row r="31" spans="1:13" x14ac:dyDescent="0.25">
      <c r="A31" s="31">
        <v>45158</v>
      </c>
      <c r="B31" s="1" t="s">
        <v>23</v>
      </c>
      <c r="C31" s="1" t="s">
        <v>47</v>
      </c>
      <c r="D31" s="1" t="s">
        <v>27</v>
      </c>
      <c r="E31" s="42">
        <v>48922.29</v>
      </c>
    </row>
    <row r="32" spans="1:13" x14ac:dyDescent="0.25">
      <c r="A32" s="31">
        <v>45169</v>
      </c>
      <c r="B32" s="1" t="s">
        <v>25</v>
      </c>
      <c r="C32" s="1" t="s">
        <v>2</v>
      </c>
      <c r="D32" s="1" t="s">
        <v>29</v>
      </c>
      <c r="E32" s="42">
        <v>42727.99</v>
      </c>
    </row>
    <row r="33" spans="1:8" x14ac:dyDescent="0.25">
      <c r="A33" s="31">
        <v>45140</v>
      </c>
      <c r="B33" s="1" t="s">
        <v>24</v>
      </c>
      <c r="C33" s="1" t="s">
        <v>45</v>
      </c>
      <c r="D33" s="1" t="s">
        <v>28</v>
      </c>
      <c r="E33" s="42">
        <v>21408.69</v>
      </c>
    </row>
    <row r="34" spans="1:8" x14ac:dyDescent="0.25">
      <c r="A34" s="31">
        <v>45141</v>
      </c>
      <c r="B34" s="1" t="s">
        <v>24</v>
      </c>
      <c r="C34" s="1" t="s">
        <v>45</v>
      </c>
      <c r="D34" s="1" t="s">
        <v>27</v>
      </c>
      <c r="E34" s="42">
        <v>24455.63</v>
      </c>
    </row>
    <row r="35" spans="1:8" x14ac:dyDescent="0.25">
      <c r="A35" s="31">
        <v>45146</v>
      </c>
      <c r="B35" s="1" t="s">
        <v>65</v>
      </c>
      <c r="C35" s="1" t="s">
        <v>2</v>
      </c>
      <c r="D35" s="1" t="s">
        <v>29</v>
      </c>
      <c r="E35" s="42">
        <v>28107.26</v>
      </c>
    </row>
    <row r="36" spans="1:8" x14ac:dyDescent="0.25">
      <c r="A36" s="31">
        <v>45164</v>
      </c>
      <c r="B36" s="1" t="s">
        <v>24</v>
      </c>
      <c r="C36" s="1" t="s">
        <v>45</v>
      </c>
      <c r="D36" s="1" t="s">
        <v>29</v>
      </c>
      <c r="E36" s="42">
        <v>45728.49</v>
      </c>
    </row>
    <row r="37" spans="1:8" x14ac:dyDescent="0.25">
      <c r="A37" s="31">
        <v>45146</v>
      </c>
      <c r="B37" s="1" t="s">
        <v>65</v>
      </c>
      <c r="C37" s="1" t="s">
        <v>47</v>
      </c>
      <c r="D37" s="1" t="s">
        <v>29</v>
      </c>
      <c r="E37" s="42">
        <v>34664.89</v>
      </c>
    </row>
    <row r="38" spans="1:8" x14ac:dyDescent="0.25">
      <c r="A38" s="31">
        <v>45166</v>
      </c>
      <c r="B38" s="1" t="s">
        <v>23</v>
      </c>
      <c r="C38" s="1" t="s">
        <v>47</v>
      </c>
      <c r="D38" s="1" t="s">
        <v>29</v>
      </c>
      <c r="E38" s="42">
        <v>19825.72</v>
      </c>
    </row>
    <row r="39" spans="1:8" x14ac:dyDescent="0.25">
      <c r="A39" s="31">
        <v>45140</v>
      </c>
      <c r="B39" s="1" t="s">
        <v>25</v>
      </c>
      <c r="C39" s="1" t="s">
        <v>47</v>
      </c>
      <c r="D39" s="1" t="s">
        <v>27</v>
      </c>
      <c r="E39" s="42">
        <v>38828.720000000001</v>
      </c>
    </row>
    <row r="40" spans="1:8" x14ac:dyDescent="0.25">
      <c r="A40" s="31">
        <v>45166</v>
      </c>
      <c r="B40" s="1" t="s">
        <v>24</v>
      </c>
      <c r="C40" s="1" t="s">
        <v>2</v>
      </c>
      <c r="D40" s="1" t="s">
        <v>27</v>
      </c>
      <c r="E40" s="42">
        <v>33850.26</v>
      </c>
    </row>
    <row r="41" spans="1:8" x14ac:dyDescent="0.25">
      <c r="A41" s="32">
        <v>45164</v>
      </c>
      <c r="B41" s="33" t="s">
        <v>25</v>
      </c>
      <c r="C41" s="33" t="s">
        <v>47</v>
      </c>
      <c r="D41" s="33" t="s">
        <v>29</v>
      </c>
      <c r="E41" s="43">
        <v>19003.09</v>
      </c>
    </row>
    <row r="43" spans="1:8" x14ac:dyDescent="0.25">
      <c r="H43" s="8"/>
    </row>
  </sheetData>
  <conditionalFormatting sqref="A12:E41">
    <cfRule type="expression" dxfId="2" priority="1">
      <formula>AND($D12=$G$7,$C12=$H$7)</formula>
    </cfRule>
  </conditionalFormatting>
  <pageMargins left="0.7" right="0.7" top="0.75" bottom="0.75" header="0.3" footer="0.3"/>
  <tableParts count="2">
    <tablePart r:id="rId1"/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0C51F-F1B5-4CE4-A1CA-51805C9B09CE}">
  <sheetPr>
    <tabColor rgb="FF0070C0"/>
  </sheetPr>
  <dimension ref="A1:O51"/>
  <sheetViews>
    <sheetView workbookViewId="0"/>
  </sheetViews>
  <sheetFormatPr defaultRowHeight="15" x14ac:dyDescent="0.25"/>
  <cols>
    <col min="1" max="1" width="13.7109375" customWidth="1"/>
    <col min="2" max="2" width="11.7109375" customWidth="1"/>
    <col min="3" max="3" width="20.140625" customWidth="1"/>
    <col min="4" max="4" width="24.28515625" customWidth="1"/>
    <col min="5" max="5" width="12.28515625" customWidth="1"/>
    <col min="6" max="6" width="4" customWidth="1"/>
    <col min="7" max="8" width="25.28515625" customWidth="1"/>
    <col min="9" max="9" width="3.28515625" customWidth="1"/>
    <col min="10" max="10" width="20.5703125" customWidth="1"/>
    <col min="11" max="11" width="14" customWidth="1"/>
    <col min="12" max="12" width="15.42578125" customWidth="1"/>
    <col min="15" max="15" width="19.42578125" customWidth="1"/>
    <col min="16" max="16" width="9.5703125" bestFit="1" customWidth="1"/>
    <col min="17" max="17" width="11.5703125" customWidth="1"/>
  </cols>
  <sheetData>
    <row r="1" spans="1:15" ht="21" x14ac:dyDescent="0.35">
      <c r="A1" s="7" t="s">
        <v>100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5" ht="15.75" x14ac:dyDescent="0.25">
      <c r="A2" s="29" t="s">
        <v>52</v>
      </c>
      <c r="B2" s="30"/>
      <c r="C2" s="30"/>
      <c r="D2" s="30"/>
    </row>
    <row r="3" spans="1:15" ht="15.75" x14ac:dyDescent="0.25">
      <c r="A3" s="30" t="s">
        <v>63</v>
      </c>
      <c r="B3" s="30"/>
      <c r="C3" s="30"/>
      <c r="D3" s="30"/>
      <c r="O3" s="133" t="s">
        <v>96</v>
      </c>
    </row>
    <row r="4" spans="1:15" ht="15.75" x14ac:dyDescent="0.25">
      <c r="A4" s="30" t="s">
        <v>67</v>
      </c>
      <c r="B4" s="30"/>
      <c r="C4" s="30"/>
      <c r="D4" s="30"/>
      <c r="E4" s="10"/>
      <c r="O4" s="143" t="s">
        <v>95</v>
      </c>
    </row>
    <row r="5" spans="1:15" ht="15.75" x14ac:dyDescent="0.25">
      <c r="A5" s="30" t="s">
        <v>160</v>
      </c>
      <c r="B5" s="29"/>
      <c r="C5" s="30"/>
      <c r="D5" s="30"/>
      <c r="E5" s="10"/>
      <c r="O5" t="str" cm="1">
        <f t="array" ref="O5:O7">_xlfn._xlws.SORT(_xlfn.UNIQUE(RegionAvg[Product]))</f>
        <v>Hot Wheels</v>
      </c>
    </row>
    <row r="6" spans="1:15" ht="15.75" x14ac:dyDescent="0.25">
      <c r="A6" s="30" t="s">
        <v>148</v>
      </c>
      <c r="B6" s="27"/>
      <c r="C6" s="28"/>
      <c r="D6" s="28"/>
      <c r="O6" t="str">
        <v>LOL OMG Surprise</v>
      </c>
    </row>
    <row r="7" spans="1:15" ht="22.15" customHeight="1" x14ac:dyDescent="0.25">
      <c r="G7" s="38" t="s">
        <v>20</v>
      </c>
      <c r="O7" t="str">
        <v>LOL Surprise</v>
      </c>
    </row>
    <row r="8" spans="1:15" x14ac:dyDescent="0.25">
      <c r="A8" s="10" t="s">
        <v>9</v>
      </c>
      <c r="B8" t="s">
        <v>89</v>
      </c>
      <c r="G8" s="1" t="s">
        <v>29</v>
      </c>
    </row>
    <row r="9" spans="1:15" ht="20.45" customHeight="1" x14ac:dyDescent="0.25"/>
    <row r="10" spans="1:15" ht="21" x14ac:dyDescent="0.35">
      <c r="G10" s="60" t="s">
        <v>70</v>
      </c>
      <c r="I10" s="8"/>
      <c r="J10" s="41"/>
    </row>
    <row r="11" spans="1:15" x14ac:dyDescent="0.25">
      <c r="A11" s="148" t="s">
        <v>1</v>
      </c>
      <c r="B11" s="149" t="s">
        <v>18</v>
      </c>
      <c r="C11" s="149" t="s">
        <v>19</v>
      </c>
      <c r="D11" s="149" t="s">
        <v>20</v>
      </c>
      <c r="E11" s="150" t="s">
        <v>21</v>
      </c>
    </row>
    <row r="12" spans="1:15" x14ac:dyDescent="0.25">
      <c r="A12" s="31">
        <v>45162</v>
      </c>
      <c r="B12" s="1" t="s">
        <v>24</v>
      </c>
      <c r="C12" s="1" t="s">
        <v>47</v>
      </c>
      <c r="D12" s="1" t="s">
        <v>29</v>
      </c>
      <c r="E12" s="42">
        <v>23935.3</v>
      </c>
      <c r="G12" s="57" t="s">
        <v>18</v>
      </c>
      <c r="H12" s="58" t="s">
        <v>66</v>
      </c>
    </row>
    <row r="13" spans="1:15" ht="15.75" x14ac:dyDescent="0.25">
      <c r="A13" s="31">
        <v>45161</v>
      </c>
      <c r="B13" s="1" t="s">
        <v>24</v>
      </c>
      <c r="C13" s="1" t="s">
        <v>45</v>
      </c>
      <c r="D13" s="1" t="s">
        <v>27</v>
      </c>
      <c r="E13" s="42">
        <v>46241.84</v>
      </c>
      <c r="G13" s="50" t="s">
        <v>24</v>
      </c>
      <c r="H13" s="56">
        <f>AVERAGEIFS(RegionAvg[Revenue],RegionAvg[Region],RegionAvgRev[[#This Row],[Region]],RegionAvg[Product],$G$8)</f>
        <v>39930.149999999994</v>
      </c>
      <c r="J13" s="45" t="str">
        <f ca="1">IF(_xlfn.ISFORMULA(H13),_xlfn.FORMULATEXT(H13),"")</f>
        <v>=AVERAGEIFS(RegionAvg[Revenue],RegionAvg[Region],[@Region],RegionAvg[Product],$G$8)</v>
      </c>
    </row>
    <row r="14" spans="1:15" ht="15.75" x14ac:dyDescent="0.25">
      <c r="A14" s="31">
        <v>45145</v>
      </c>
      <c r="B14" s="1" t="s">
        <v>25</v>
      </c>
      <c r="C14" s="1" t="s">
        <v>2</v>
      </c>
      <c r="D14" s="1" t="s">
        <v>27</v>
      </c>
      <c r="E14" s="42">
        <v>20003.13</v>
      </c>
      <c r="G14" s="50" t="s">
        <v>65</v>
      </c>
      <c r="H14" s="56">
        <f>AVERAGEIFS(RegionAvg[Revenue],RegionAvg[Region],RegionAvgRev[[#This Row],[Region]],RegionAvg[Product],$G$8)</f>
        <v>31386.074999999997</v>
      </c>
      <c r="J14" s="30" t="s">
        <v>88</v>
      </c>
      <c r="K14" s="28"/>
      <c r="L14" s="28"/>
      <c r="M14" s="28"/>
      <c r="N14" s="28"/>
    </row>
    <row r="15" spans="1:15" x14ac:dyDescent="0.25">
      <c r="A15" s="31">
        <v>45149</v>
      </c>
      <c r="B15" s="1" t="s">
        <v>25</v>
      </c>
      <c r="C15" s="1" t="s">
        <v>2</v>
      </c>
      <c r="D15" s="1" t="s">
        <v>29</v>
      </c>
      <c r="E15" s="42">
        <v>24148.61</v>
      </c>
      <c r="G15" s="50" t="s">
        <v>23</v>
      </c>
      <c r="H15" s="56">
        <f>AVERAGEIFS(RegionAvg[Revenue],RegionAvg[Region],RegionAvgRev[[#This Row],[Region]],RegionAvg[Product],$G$8)</f>
        <v>19825.72</v>
      </c>
    </row>
    <row r="16" spans="1:15" x14ac:dyDescent="0.25">
      <c r="A16" s="31">
        <v>45164</v>
      </c>
      <c r="B16" s="1" t="s">
        <v>24</v>
      </c>
      <c r="C16" s="1" t="s">
        <v>47</v>
      </c>
      <c r="D16" s="1" t="s">
        <v>29</v>
      </c>
      <c r="E16" s="42">
        <v>43173.32</v>
      </c>
      <c r="G16" s="34" t="s">
        <v>25</v>
      </c>
      <c r="H16" s="59">
        <f>AVERAGEIFS(RegionAvg[Revenue],RegionAvg[Region],RegionAvgRev[[#This Row],[Region]],RegionAvg[Product],$G$8)</f>
        <v>29436.004999999994</v>
      </c>
    </row>
    <row r="17" spans="1:7" x14ac:dyDescent="0.25">
      <c r="A17" s="31">
        <v>45160</v>
      </c>
      <c r="B17" s="1" t="s">
        <v>23</v>
      </c>
      <c r="C17" s="1" t="s">
        <v>47</v>
      </c>
      <c r="D17" s="1" t="s">
        <v>28</v>
      </c>
      <c r="E17" s="42">
        <v>23553.65</v>
      </c>
    </row>
    <row r="18" spans="1:7" x14ac:dyDescent="0.25">
      <c r="A18" s="31">
        <v>45164</v>
      </c>
      <c r="B18" s="1" t="s">
        <v>25</v>
      </c>
      <c r="C18" s="1" t="s">
        <v>2</v>
      </c>
      <c r="D18" s="1" t="s">
        <v>29</v>
      </c>
      <c r="E18" s="42">
        <v>26863.98</v>
      </c>
      <c r="G18" s="10" t="s">
        <v>71</v>
      </c>
    </row>
    <row r="19" spans="1:7" x14ac:dyDescent="0.25">
      <c r="A19" s="31">
        <v>45153</v>
      </c>
      <c r="B19" s="1" t="s">
        <v>65</v>
      </c>
      <c r="C19" s="1" t="s">
        <v>47</v>
      </c>
      <c r="D19" s="1" t="s">
        <v>28</v>
      </c>
      <c r="E19" s="42">
        <v>35320.76</v>
      </c>
      <c r="G19" t="s">
        <v>72</v>
      </c>
    </row>
    <row r="20" spans="1:7" x14ac:dyDescent="0.25">
      <c r="A20" s="31">
        <v>45144</v>
      </c>
      <c r="B20" s="1" t="s">
        <v>25</v>
      </c>
      <c r="C20" s="1" t="s">
        <v>45</v>
      </c>
      <c r="D20" s="1" t="s">
        <v>29</v>
      </c>
      <c r="E20" s="42">
        <v>15196.59</v>
      </c>
      <c r="G20" t="s">
        <v>73</v>
      </c>
    </row>
    <row r="21" spans="1:7" x14ac:dyDescent="0.25">
      <c r="A21" s="31">
        <v>45149</v>
      </c>
      <c r="B21" s="1" t="s">
        <v>25</v>
      </c>
      <c r="C21" s="1" t="s">
        <v>2</v>
      </c>
      <c r="D21" s="1" t="s">
        <v>27</v>
      </c>
      <c r="E21" s="42">
        <v>48533.17</v>
      </c>
      <c r="G21" t="s">
        <v>74</v>
      </c>
    </row>
    <row r="22" spans="1:7" x14ac:dyDescent="0.25">
      <c r="A22" s="31">
        <v>45157</v>
      </c>
      <c r="B22" s="1" t="s">
        <v>23</v>
      </c>
      <c r="C22" s="1" t="s">
        <v>45</v>
      </c>
      <c r="D22" s="1" t="s">
        <v>27</v>
      </c>
      <c r="E22" s="42">
        <v>30517.67</v>
      </c>
    </row>
    <row r="23" spans="1:7" x14ac:dyDescent="0.25">
      <c r="A23" s="31">
        <v>45148</v>
      </c>
      <c r="B23" s="1" t="s">
        <v>23</v>
      </c>
      <c r="C23" s="1" t="s">
        <v>2</v>
      </c>
      <c r="D23" s="1" t="s">
        <v>28</v>
      </c>
      <c r="E23" s="42">
        <v>22962.38</v>
      </c>
      <c r="G23" t="s">
        <v>75</v>
      </c>
    </row>
    <row r="24" spans="1:7" x14ac:dyDescent="0.25">
      <c r="A24" s="31">
        <v>45143</v>
      </c>
      <c r="B24" s="1" t="s">
        <v>25</v>
      </c>
      <c r="C24" s="1" t="s">
        <v>45</v>
      </c>
      <c r="D24" s="1" t="s">
        <v>28</v>
      </c>
      <c r="E24" s="42">
        <v>26230.06</v>
      </c>
    </row>
    <row r="25" spans="1:7" x14ac:dyDescent="0.25">
      <c r="A25" s="31">
        <v>45149</v>
      </c>
      <c r="B25" s="1" t="s">
        <v>65</v>
      </c>
      <c r="C25" s="1" t="s">
        <v>45</v>
      </c>
      <c r="D25" s="1" t="s">
        <v>27</v>
      </c>
      <c r="E25" s="42">
        <v>34445.910000000003</v>
      </c>
    </row>
    <row r="26" spans="1:7" x14ac:dyDescent="0.25">
      <c r="A26" s="31">
        <v>45148</v>
      </c>
      <c r="B26" s="1" t="s">
        <v>65</v>
      </c>
      <c r="C26" s="1" t="s">
        <v>45</v>
      </c>
      <c r="D26" s="1" t="s">
        <v>28</v>
      </c>
      <c r="E26" s="42">
        <v>41175.589999999997</v>
      </c>
    </row>
    <row r="27" spans="1:7" x14ac:dyDescent="0.25">
      <c r="A27" s="31">
        <v>45156</v>
      </c>
      <c r="B27" s="1" t="s">
        <v>25</v>
      </c>
      <c r="C27" s="1" t="s">
        <v>2</v>
      </c>
      <c r="D27" s="1" t="s">
        <v>28</v>
      </c>
      <c r="E27" s="42">
        <v>28456.15</v>
      </c>
    </row>
    <row r="28" spans="1:7" x14ac:dyDescent="0.25">
      <c r="A28" s="31">
        <v>45168</v>
      </c>
      <c r="B28" s="1" t="s">
        <v>24</v>
      </c>
      <c r="C28" s="1" t="s">
        <v>47</v>
      </c>
      <c r="D28" s="1" t="s">
        <v>29</v>
      </c>
      <c r="E28" s="42">
        <v>46883.49</v>
      </c>
    </row>
    <row r="29" spans="1:7" x14ac:dyDescent="0.25">
      <c r="A29" s="31">
        <v>45152</v>
      </c>
      <c r="B29" s="1" t="s">
        <v>25</v>
      </c>
      <c r="C29" s="1" t="s">
        <v>47</v>
      </c>
      <c r="D29" s="1" t="s">
        <v>29</v>
      </c>
      <c r="E29" s="42">
        <v>48675.77</v>
      </c>
    </row>
    <row r="30" spans="1:7" x14ac:dyDescent="0.25">
      <c r="A30" s="31">
        <v>45144</v>
      </c>
      <c r="B30" s="1" t="s">
        <v>23</v>
      </c>
      <c r="C30" s="1" t="s">
        <v>2</v>
      </c>
      <c r="D30" s="1" t="s">
        <v>27</v>
      </c>
      <c r="E30" s="42">
        <v>19604.95</v>
      </c>
    </row>
    <row r="31" spans="1:7" x14ac:dyDescent="0.25">
      <c r="A31" s="31">
        <v>45158</v>
      </c>
      <c r="B31" s="1" t="s">
        <v>23</v>
      </c>
      <c r="C31" s="1" t="s">
        <v>47</v>
      </c>
      <c r="D31" s="1" t="s">
        <v>27</v>
      </c>
      <c r="E31" s="42">
        <v>48922.29</v>
      </c>
    </row>
    <row r="32" spans="1:7" x14ac:dyDescent="0.25">
      <c r="A32" s="31">
        <v>45169</v>
      </c>
      <c r="B32" s="1" t="s">
        <v>25</v>
      </c>
      <c r="C32" s="1" t="s">
        <v>2</v>
      </c>
      <c r="D32" s="1" t="s">
        <v>29</v>
      </c>
      <c r="E32" s="42">
        <v>42727.99</v>
      </c>
    </row>
    <row r="33" spans="1:9" x14ac:dyDescent="0.25">
      <c r="A33" s="31">
        <v>45140</v>
      </c>
      <c r="B33" s="1" t="s">
        <v>24</v>
      </c>
      <c r="C33" s="1" t="s">
        <v>45</v>
      </c>
      <c r="D33" s="1" t="s">
        <v>28</v>
      </c>
      <c r="E33" s="42">
        <v>21408.69</v>
      </c>
    </row>
    <row r="34" spans="1:9" x14ac:dyDescent="0.25">
      <c r="A34" s="31">
        <v>45141</v>
      </c>
      <c r="B34" s="1" t="s">
        <v>24</v>
      </c>
      <c r="C34" s="1" t="s">
        <v>45</v>
      </c>
      <c r="D34" s="1" t="s">
        <v>27</v>
      </c>
      <c r="E34" s="42">
        <v>24455.63</v>
      </c>
    </row>
    <row r="35" spans="1:9" x14ac:dyDescent="0.25">
      <c r="A35" s="31">
        <v>45146</v>
      </c>
      <c r="B35" s="1" t="s">
        <v>65</v>
      </c>
      <c r="C35" s="1" t="s">
        <v>2</v>
      </c>
      <c r="D35" s="1" t="s">
        <v>29</v>
      </c>
      <c r="E35" s="42">
        <v>28107.26</v>
      </c>
    </row>
    <row r="36" spans="1:9" x14ac:dyDescent="0.25">
      <c r="A36" s="31">
        <v>45164</v>
      </c>
      <c r="B36" s="1" t="s">
        <v>24</v>
      </c>
      <c r="C36" s="1" t="s">
        <v>45</v>
      </c>
      <c r="D36" s="1" t="s">
        <v>29</v>
      </c>
      <c r="E36" s="42">
        <v>45728.49</v>
      </c>
    </row>
    <row r="37" spans="1:9" x14ac:dyDescent="0.25">
      <c r="A37" s="31">
        <v>45146</v>
      </c>
      <c r="B37" s="1" t="s">
        <v>65</v>
      </c>
      <c r="C37" s="1" t="s">
        <v>47</v>
      </c>
      <c r="D37" s="1" t="s">
        <v>29</v>
      </c>
      <c r="E37" s="42">
        <v>34664.89</v>
      </c>
    </row>
    <row r="38" spans="1:9" x14ac:dyDescent="0.25">
      <c r="A38" s="31">
        <v>45166</v>
      </c>
      <c r="B38" s="1" t="s">
        <v>23</v>
      </c>
      <c r="C38" s="1" t="s">
        <v>47</v>
      </c>
      <c r="D38" s="1" t="s">
        <v>29</v>
      </c>
      <c r="E38" s="42">
        <v>19825.72</v>
      </c>
    </row>
    <row r="39" spans="1:9" x14ac:dyDescent="0.25">
      <c r="A39" s="31">
        <v>45140</v>
      </c>
      <c r="B39" s="1" t="s">
        <v>25</v>
      </c>
      <c r="C39" s="1" t="s">
        <v>47</v>
      </c>
      <c r="D39" s="1" t="s">
        <v>27</v>
      </c>
      <c r="E39" s="42">
        <v>38828.720000000001</v>
      </c>
    </row>
    <row r="40" spans="1:9" x14ac:dyDescent="0.25">
      <c r="A40" s="31">
        <v>45166</v>
      </c>
      <c r="B40" s="1" t="s">
        <v>24</v>
      </c>
      <c r="C40" s="1" t="s">
        <v>2</v>
      </c>
      <c r="D40" s="1" t="s">
        <v>27</v>
      </c>
      <c r="E40" s="42">
        <v>33850.26</v>
      </c>
    </row>
    <row r="41" spans="1:9" x14ac:dyDescent="0.25">
      <c r="A41" s="32">
        <v>45164</v>
      </c>
      <c r="B41" s="33" t="s">
        <v>25</v>
      </c>
      <c r="C41" s="33" t="s">
        <v>47</v>
      </c>
      <c r="D41" s="33" t="s">
        <v>29</v>
      </c>
      <c r="E41" s="43">
        <v>19003.09</v>
      </c>
      <c r="H41" s="8"/>
      <c r="I41" s="8"/>
    </row>
    <row r="42" spans="1:9" x14ac:dyDescent="0.25">
      <c r="H42" s="8"/>
      <c r="I42" s="8"/>
    </row>
    <row r="43" spans="1:9" x14ac:dyDescent="0.25">
      <c r="H43" s="8"/>
      <c r="I43" s="8"/>
    </row>
    <row r="44" spans="1:9" x14ac:dyDescent="0.25">
      <c r="H44" s="8"/>
      <c r="I44" s="8"/>
    </row>
    <row r="45" spans="1:9" x14ac:dyDescent="0.25">
      <c r="H45" s="8"/>
      <c r="I45" s="8"/>
    </row>
    <row r="46" spans="1:9" x14ac:dyDescent="0.25">
      <c r="H46" s="8"/>
      <c r="I46" s="8"/>
    </row>
    <row r="47" spans="1:9" x14ac:dyDescent="0.25">
      <c r="H47" s="8"/>
      <c r="I47" s="8"/>
    </row>
    <row r="48" spans="1:9" x14ac:dyDescent="0.25">
      <c r="H48" s="8"/>
      <c r="I48" s="8"/>
    </row>
    <row r="49" spans="8:9" x14ac:dyDescent="0.25">
      <c r="H49" s="8"/>
      <c r="I49" s="8"/>
    </row>
    <row r="50" spans="8:9" x14ac:dyDescent="0.25">
      <c r="H50" s="8"/>
    </row>
    <row r="51" spans="8:9" x14ac:dyDescent="0.25">
      <c r="H51" s="8"/>
    </row>
  </sheetData>
  <dataValidations count="1">
    <dataValidation type="list" allowBlank="1" showInputMessage="1" showErrorMessage="1" sqref="G8" xr:uid="{8E59E506-FBE1-4C06-A8EA-E0E22AA28B78}">
      <formula1>$O$5:$O$7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7B7F2-EA7E-48DF-A643-CB8D328A0D5D}">
  <sheetPr>
    <tabColor rgb="FFFFFF00"/>
  </sheetPr>
  <dimension ref="A1:O51"/>
  <sheetViews>
    <sheetView workbookViewId="0"/>
  </sheetViews>
  <sheetFormatPr defaultRowHeight="15" x14ac:dyDescent="0.25"/>
  <cols>
    <col min="1" max="1" width="13.7109375" customWidth="1"/>
    <col min="2" max="2" width="11.7109375" customWidth="1"/>
    <col min="3" max="3" width="20.140625" customWidth="1"/>
    <col min="4" max="4" width="24.28515625" customWidth="1"/>
    <col min="5" max="5" width="12.7109375" customWidth="1"/>
    <col min="6" max="6" width="4" customWidth="1"/>
    <col min="7" max="8" width="25.28515625" customWidth="1"/>
    <col min="9" max="9" width="3.28515625" customWidth="1"/>
    <col min="10" max="10" width="20.5703125" customWidth="1"/>
    <col min="11" max="11" width="14" customWidth="1"/>
    <col min="12" max="12" width="15.42578125" customWidth="1"/>
    <col min="15" max="15" width="18.42578125" customWidth="1"/>
    <col min="16" max="16" width="9.5703125" bestFit="1" customWidth="1"/>
    <col min="17" max="17" width="11.5703125" customWidth="1"/>
  </cols>
  <sheetData>
    <row r="1" spans="1:15" ht="21" x14ac:dyDescent="0.35">
      <c r="A1" s="7" t="s">
        <v>170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5" ht="15.75" x14ac:dyDescent="0.25">
      <c r="A2" s="29" t="s">
        <v>52</v>
      </c>
      <c r="B2" s="30"/>
      <c r="C2" s="30"/>
      <c r="D2" s="30"/>
    </row>
    <row r="3" spans="1:15" ht="15.75" x14ac:dyDescent="0.25">
      <c r="A3" s="30" t="s">
        <v>63</v>
      </c>
      <c r="B3" s="30"/>
      <c r="C3" s="30"/>
      <c r="D3" s="30"/>
      <c r="O3" s="134" t="s">
        <v>96</v>
      </c>
    </row>
    <row r="4" spans="1:15" ht="15.75" x14ac:dyDescent="0.25">
      <c r="A4" s="30" t="s">
        <v>67</v>
      </c>
      <c r="B4" s="30"/>
      <c r="C4" s="30"/>
      <c r="D4" s="30"/>
      <c r="E4" s="10"/>
      <c r="O4" s="133" t="s">
        <v>20</v>
      </c>
    </row>
    <row r="5" spans="1:15" ht="15.75" x14ac:dyDescent="0.25">
      <c r="A5" s="30" t="s">
        <v>147</v>
      </c>
      <c r="B5" s="29"/>
      <c r="C5" s="30"/>
      <c r="D5" s="30"/>
      <c r="E5" s="10"/>
      <c r="O5" t="str" cm="1">
        <f t="array" ref="O5:O7">_xlfn._xlws.SORT(_xlfn.UNIQUE(RegionAvgans[Product]))</f>
        <v>Hot Wheels</v>
      </c>
    </row>
    <row r="6" spans="1:15" ht="15.75" x14ac:dyDescent="0.25">
      <c r="A6" s="30" t="s">
        <v>148</v>
      </c>
      <c r="B6" s="27"/>
      <c r="C6" s="28"/>
      <c r="D6" s="28"/>
      <c r="O6" t="str">
        <v>LOL OMG Surprise</v>
      </c>
    </row>
    <row r="7" spans="1:15" ht="22.15" customHeight="1" x14ac:dyDescent="0.25">
      <c r="G7" s="38" t="s">
        <v>20</v>
      </c>
      <c r="O7" t="str">
        <v>LOL Surprise</v>
      </c>
    </row>
    <row r="8" spans="1:15" x14ac:dyDescent="0.25">
      <c r="A8" s="10" t="s">
        <v>9</v>
      </c>
      <c r="B8" t="s">
        <v>89</v>
      </c>
      <c r="G8" s="1" t="s">
        <v>29</v>
      </c>
    </row>
    <row r="9" spans="1:15" ht="20.45" customHeight="1" x14ac:dyDescent="0.25"/>
    <row r="10" spans="1:15" ht="21" x14ac:dyDescent="0.35">
      <c r="G10" s="60" t="s">
        <v>70</v>
      </c>
      <c r="I10" s="8"/>
      <c r="J10" s="41"/>
    </row>
    <row r="11" spans="1:15" ht="15.75" x14ac:dyDescent="0.25">
      <c r="A11" s="35" t="s">
        <v>1</v>
      </c>
      <c r="B11" s="36" t="s">
        <v>18</v>
      </c>
      <c r="C11" s="36" t="s">
        <v>19</v>
      </c>
      <c r="D11" s="36" t="s">
        <v>20</v>
      </c>
      <c r="E11" s="37" t="s">
        <v>21</v>
      </c>
    </row>
    <row r="12" spans="1:15" x14ac:dyDescent="0.25">
      <c r="A12" s="31">
        <v>45162</v>
      </c>
      <c r="B12" s="1" t="s">
        <v>24</v>
      </c>
      <c r="C12" s="1" t="s">
        <v>47</v>
      </c>
      <c r="D12" s="1" t="s">
        <v>29</v>
      </c>
      <c r="E12" s="42">
        <v>23935.3</v>
      </c>
      <c r="G12" s="57" t="s">
        <v>18</v>
      </c>
      <c r="H12" s="58" t="s">
        <v>66</v>
      </c>
    </row>
    <row r="13" spans="1:15" ht="15.75" x14ac:dyDescent="0.25">
      <c r="A13" s="31">
        <v>45161</v>
      </c>
      <c r="B13" s="1" t="s">
        <v>24</v>
      </c>
      <c r="C13" s="1" t="s">
        <v>45</v>
      </c>
      <c r="D13" s="1" t="s">
        <v>27</v>
      </c>
      <c r="E13" s="42">
        <v>46241.84</v>
      </c>
      <c r="G13" s="50" t="s">
        <v>24</v>
      </c>
      <c r="H13" s="56">
        <f>AVERAGEIFS(RegionAvgans[Revenue],RegionAvgans[Product],$G$8,RegionAvgans[Region],RegionAvgRevans[[#This Row],[Region]])</f>
        <v>39930.149999999994</v>
      </c>
      <c r="J13" s="45" t="str">
        <f ca="1">IF(_xlfn.ISFORMULA(H13),_xlfn.FORMULATEXT(H13),"")</f>
        <v>=AVERAGEIFS(RegionAvgans[Revenue],RegionAvgans[Product],$G$8,RegionAvgans[Region],[@Region])</v>
      </c>
    </row>
    <row r="14" spans="1:15" ht="15.75" x14ac:dyDescent="0.25">
      <c r="A14" s="31">
        <v>45145</v>
      </c>
      <c r="B14" s="1" t="s">
        <v>25</v>
      </c>
      <c r="C14" s="1" t="s">
        <v>2</v>
      </c>
      <c r="D14" s="1" t="s">
        <v>27</v>
      </c>
      <c r="E14" s="42">
        <v>20003.13</v>
      </c>
      <c r="G14" s="50" t="s">
        <v>65</v>
      </c>
      <c r="H14" s="56">
        <f>AVERAGEIFS(RegionAvgans[Revenue],RegionAvgans[Product],$G$8,RegionAvgans[Region],RegionAvgRevans[[#This Row],[Region]])</f>
        <v>31386.074999999997</v>
      </c>
      <c r="J14" s="30" t="s">
        <v>88</v>
      </c>
      <c r="K14" s="28"/>
      <c r="L14" s="28"/>
      <c r="M14" s="28"/>
      <c r="N14" s="28"/>
    </row>
    <row r="15" spans="1:15" x14ac:dyDescent="0.25">
      <c r="A15" s="31">
        <v>45149</v>
      </c>
      <c r="B15" s="1" t="s">
        <v>25</v>
      </c>
      <c r="C15" s="1" t="s">
        <v>2</v>
      </c>
      <c r="D15" s="1" t="s">
        <v>29</v>
      </c>
      <c r="E15" s="42">
        <v>24148.61</v>
      </c>
      <c r="G15" s="50" t="s">
        <v>23</v>
      </c>
      <c r="H15" s="56">
        <f>AVERAGEIFS(RegionAvgans[Revenue],RegionAvgans[Product],$G$8,RegionAvgans[Region],RegionAvgRevans[[#This Row],[Region]])</f>
        <v>19825.72</v>
      </c>
    </row>
    <row r="16" spans="1:15" x14ac:dyDescent="0.25">
      <c r="A16" s="31">
        <v>45164</v>
      </c>
      <c r="B16" s="1" t="s">
        <v>24</v>
      </c>
      <c r="C16" s="1" t="s">
        <v>47</v>
      </c>
      <c r="D16" s="1" t="s">
        <v>29</v>
      </c>
      <c r="E16" s="42">
        <v>43173.32</v>
      </c>
      <c r="G16" s="34" t="s">
        <v>25</v>
      </c>
      <c r="H16" s="59">
        <f>AVERAGEIFS(RegionAvgans[Revenue],RegionAvgans[Product],$G$8,RegionAvgans[Region],RegionAvgRevans[[#This Row],[Region]])</f>
        <v>29436.004999999994</v>
      </c>
    </row>
    <row r="17" spans="1:7" x14ac:dyDescent="0.25">
      <c r="A17" s="31">
        <v>45160</v>
      </c>
      <c r="B17" s="1" t="s">
        <v>23</v>
      </c>
      <c r="C17" s="1" t="s">
        <v>47</v>
      </c>
      <c r="D17" s="1" t="s">
        <v>28</v>
      </c>
      <c r="E17" s="42">
        <v>23553.65</v>
      </c>
    </row>
    <row r="18" spans="1:7" x14ac:dyDescent="0.25">
      <c r="A18" s="31">
        <v>45164</v>
      </c>
      <c r="B18" s="1" t="s">
        <v>25</v>
      </c>
      <c r="C18" s="1" t="s">
        <v>2</v>
      </c>
      <c r="D18" s="1" t="s">
        <v>29</v>
      </c>
      <c r="E18" s="42">
        <v>26863.98</v>
      </c>
      <c r="G18" s="10" t="s">
        <v>71</v>
      </c>
    </row>
    <row r="19" spans="1:7" x14ac:dyDescent="0.25">
      <c r="A19" s="31">
        <v>45153</v>
      </c>
      <c r="B19" s="1" t="s">
        <v>65</v>
      </c>
      <c r="C19" s="1" t="s">
        <v>47</v>
      </c>
      <c r="D19" s="1" t="s">
        <v>28</v>
      </c>
      <c r="E19" s="42">
        <v>35320.76</v>
      </c>
      <c r="G19" t="s">
        <v>72</v>
      </c>
    </row>
    <row r="20" spans="1:7" x14ac:dyDescent="0.25">
      <c r="A20" s="31">
        <v>45144</v>
      </c>
      <c r="B20" s="1" t="s">
        <v>25</v>
      </c>
      <c r="C20" s="1" t="s">
        <v>45</v>
      </c>
      <c r="D20" s="1" t="s">
        <v>29</v>
      </c>
      <c r="E20" s="42">
        <v>15196.59</v>
      </c>
      <c r="G20" t="s">
        <v>73</v>
      </c>
    </row>
    <row r="21" spans="1:7" x14ac:dyDescent="0.25">
      <c r="A21" s="31">
        <v>45149</v>
      </c>
      <c r="B21" s="1" t="s">
        <v>25</v>
      </c>
      <c r="C21" s="1" t="s">
        <v>2</v>
      </c>
      <c r="D21" s="1" t="s">
        <v>27</v>
      </c>
      <c r="E21" s="42">
        <v>48533.17</v>
      </c>
      <c r="G21" t="s">
        <v>74</v>
      </c>
    </row>
    <row r="22" spans="1:7" x14ac:dyDescent="0.25">
      <c r="A22" s="31">
        <v>45157</v>
      </c>
      <c r="B22" s="1" t="s">
        <v>23</v>
      </c>
      <c r="C22" s="1" t="s">
        <v>45</v>
      </c>
      <c r="D22" s="1" t="s">
        <v>27</v>
      </c>
      <c r="E22" s="42">
        <v>30517.67</v>
      </c>
    </row>
    <row r="23" spans="1:7" x14ac:dyDescent="0.25">
      <c r="A23" s="31">
        <v>45148</v>
      </c>
      <c r="B23" s="1" t="s">
        <v>23</v>
      </c>
      <c r="C23" s="1" t="s">
        <v>2</v>
      </c>
      <c r="D23" s="1" t="s">
        <v>28</v>
      </c>
      <c r="E23" s="42">
        <v>22962.38</v>
      </c>
      <c r="G23" t="s">
        <v>75</v>
      </c>
    </row>
    <row r="24" spans="1:7" x14ac:dyDescent="0.25">
      <c r="A24" s="31">
        <v>45143</v>
      </c>
      <c r="B24" s="1" t="s">
        <v>25</v>
      </c>
      <c r="C24" s="1" t="s">
        <v>45</v>
      </c>
      <c r="D24" s="1" t="s">
        <v>28</v>
      </c>
      <c r="E24" s="42">
        <v>26230.06</v>
      </c>
    </row>
    <row r="25" spans="1:7" x14ac:dyDescent="0.25">
      <c r="A25" s="31">
        <v>45149</v>
      </c>
      <c r="B25" s="1" t="s">
        <v>65</v>
      </c>
      <c r="C25" s="1" t="s">
        <v>45</v>
      </c>
      <c r="D25" s="1" t="s">
        <v>27</v>
      </c>
      <c r="E25" s="42">
        <v>34445.910000000003</v>
      </c>
    </row>
    <row r="26" spans="1:7" x14ac:dyDescent="0.25">
      <c r="A26" s="31">
        <v>45148</v>
      </c>
      <c r="B26" s="1" t="s">
        <v>65</v>
      </c>
      <c r="C26" s="1" t="s">
        <v>45</v>
      </c>
      <c r="D26" s="1" t="s">
        <v>28</v>
      </c>
      <c r="E26" s="42">
        <v>41175.589999999997</v>
      </c>
    </row>
    <row r="27" spans="1:7" x14ac:dyDescent="0.25">
      <c r="A27" s="31">
        <v>45156</v>
      </c>
      <c r="B27" s="1" t="s">
        <v>25</v>
      </c>
      <c r="C27" s="1" t="s">
        <v>2</v>
      </c>
      <c r="D27" s="1" t="s">
        <v>28</v>
      </c>
      <c r="E27" s="42">
        <v>28456.15</v>
      </c>
    </row>
    <row r="28" spans="1:7" x14ac:dyDescent="0.25">
      <c r="A28" s="31">
        <v>45168</v>
      </c>
      <c r="B28" s="1" t="s">
        <v>24</v>
      </c>
      <c r="C28" s="1" t="s">
        <v>47</v>
      </c>
      <c r="D28" s="1" t="s">
        <v>29</v>
      </c>
      <c r="E28" s="42">
        <v>46883.49</v>
      </c>
    </row>
    <row r="29" spans="1:7" x14ac:dyDescent="0.25">
      <c r="A29" s="31">
        <v>45152</v>
      </c>
      <c r="B29" s="1" t="s">
        <v>25</v>
      </c>
      <c r="C29" s="1" t="s">
        <v>47</v>
      </c>
      <c r="D29" s="1" t="s">
        <v>29</v>
      </c>
      <c r="E29" s="42">
        <v>48675.77</v>
      </c>
    </row>
    <row r="30" spans="1:7" x14ac:dyDescent="0.25">
      <c r="A30" s="31">
        <v>45144</v>
      </c>
      <c r="B30" s="1" t="s">
        <v>23</v>
      </c>
      <c r="C30" s="1" t="s">
        <v>2</v>
      </c>
      <c r="D30" s="1" t="s">
        <v>27</v>
      </c>
      <c r="E30" s="42">
        <v>19604.95</v>
      </c>
    </row>
    <row r="31" spans="1:7" x14ac:dyDescent="0.25">
      <c r="A31" s="31">
        <v>45158</v>
      </c>
      <c r="B31" s="1" t="s">
        <v>23</v>
      </c>
      <c r="C31" s="1" t="s">
        <v>47</v>
      </c>
      <c r="D31" s="1" t="s">
        <v>27</v>
      </c>
      <c r="E31" s="42">
        <v>48922.29</v>
      </c>
    </row>
    <row r="32" spans="1:7" x14ac:dyDescent="0.25">
      <c r="A32" s="31">
        <v>45169</v>
      </c>
      <c r="B32" s="1" t="s">
        <v>25</v>
      </c>
      <c r="C32" s="1" t="s">
        <v>2</v>
      </c>
      <c r="D32" s="1" t="s">
        <v>29</v>
      </c>
      <c r="E32" s="42">
        <v>42727.99</v>
      </c>
    </row>
    <row r="33" spans="1:9" x14ac:dyDescent="0.25">
      <c r="A33" s="31">
        <v>45140</v>
      </c>
      <c r="B33" s="1" t="s">
        <v>24</v>
      </c>
      <c r="C33" s="1" t="s">
        <v>45</v>
      </c>
      <c r="D33" s="1" t="s">
        <v>28</v>
      </c>
      <c r="E33" s="42">
        <v>21408.69</v>
      </c>
    </row>
    <row r="34" spans="1:9" x14ac:dyDescent="0.25">
      <c r="A34" s="31">
        <v>45141</v>
      </c>
      <c r="B34" s="1" t="s">
        <v>24</v>
      </c>
      <c r="C34" s="1" t="s">
        <v>45</v>
      </c>
      <c r="D34" s="1" t="s">
        <v>27</v>
      </c>
      <c r="E34" s="42">
        <v>24455.63</v>
      </c>
    </row>
    <row r="35" spans="1:9" x14ac:dyDescent="0.25">
      <c r="A35" s="31">
        <v>45146</v>
      </c>
      <c r="B35" s="1" t="s">
        <v>65</v>
      </c>
      <c r="C35" s="1" t="s">
        <v>2</v>
      </c>
      <c r="D35" s="1" t="s">
        <v>29</v>
      </c>
      <c r="E35" s="42">
        <v>28107.26</v>
      </c>
    </row>
    <row r="36" spans="1:9" x14ac:dyDescent="0.25">
      <c r="A36" s="31">
        <v>45164</v>
      </c>
      <c r="B36" s="1" t="s">
        <v>24</v>
      </c>
      <c r="C36" s="1" t="s">
        <v>45</v>
      </c>
      <c r="D36" s="1" t="s">
        <v>29</v>
      </c>
      <c r="E36" s="42">
        <v>45728.49</v>
      </c>
    </row>
    <row r="37" spans="1:9" x14ac:dyDescent="0.25">
      <c r="A37" s="31">
        <v>45146</v>
      </c>
      <c r="B37" s="1" t="s">
        <v>65</v>
      </c>
      <c r="C37" s="1" t="s">
        <v>47</v>
      </c>
      <c r="D37" s="1" t="s">
        <v>29</v>
      </c>
      <c r="E37" s="42">
        <v>34664.89</v>
      </c>
    </row>
    <row r="38" spans="1:9" x14ac:dyDescent="0.25">
      <c r="A38" s="31">
        <v>45166</v>
      </c>
      <c r="B38" s="1" t="s">
        <v>23</v>
      </c>
      <c r="C38" s="1" t="s">
        <v>47</v>
      </c>
      <c r="D38" s="1" t="s">
        <v>29</v>
      </c>
      <c r="E38" s="42">
        <v>19825.72</v>
      </c>
    </row>
    <row r="39" spans="1:9" x14ac:dyDescent="0.25">
      <c r="A39" s="31">
        <v>45140</v>
      </c>
      <c r="B39" s="1" t="s">
        <v>25</v>
      </c>
      <c r="C39" s="1" t="s">
        <v>47</v>
      </c>
      <c r="D39" s="1" t="s">
        <v>27</v>
      </c>
      <c r="E39" s="42">
        <v>38828.720000000001</v>
      </c>
    </row>
    <row r="40" spans="1:9" x14ac:dyDescent="0.25">
      <c r="A40" s="31">
        <v>45166</v>
      </c>
      <c r="B40" s="1" t="s">
        <v>24</v>
      </c>
      <c r="C40" s="1" t="s">
        <v>2</v>
      </c>
      <c r="D40" s="1" t="s">
        <v>27</v>
      </c>
      <c r="E40" s="42">
        <v>33850.26</v>
      </c>
    </row>
    <row r="41" spans="1:9" x14ac:dyDescent="0.25">
      <c r="A41" s="32">
        <v>45164</v>
      </c>
      <c r="B41" s="33" t="s">
        <v>25</v>
      </c>
      <c r="C41" s="33" t="s">
        <v>47</v>
      </c>
      <c r="D41" s="33" t="s">
        <v>29</v>
      </c>
      <c r="E41" s="43">
        <v>19003.09</v>
      </c>
    </row>
    <row r="46" spans="1:9" x14ac:dyDescent="0.25">
      <c r="H46" s="8"/>
      <c r="I46" s="8"/>
    </row>
    <row r="47" spans="1:9" x14ac:dyDescent="0.25">
      <c r="H47" s="8"/>
      <c r="I47" s="8"/>
    </row>
    <row r="48" spans="1:9" x14ac:dyDescent="0.25">
      <c r="H48" s="8"/>
      <c r="I48" s="8"/>
    </row>
    <row r="49" spans="8:9" x14ac:dyDescent="0.25">
      <c r="H49" s="8"/>
      <c r="I49" s="8"/>
    </row>
    <row r="50" spans="8:9" x14ac:dyDescent="0.25">
      <c r="H50" s="8"/>
    </row>
    <row r="51" spans="8:9" x14ac:dyDescent="0.25">
      <c r="H51" s="8"/>
    </row>
  </sheetData>
  <dataValidations count="1">
    <dataValidation type="list" allowBlank="1" showInputMessage="1" showErrorMessage="1" sqref="G8" xr:uid="{0665BEC0-2469-463A-868C-9C31989599FB}">
      <formula1>$O$5:$O$7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6CC46-30DD-4B91-886C-F76DCA21C09E}">
  <sheetPr>
    <tabColor rgb="FF0070C0"/>
  </sheetPr>
  <dimension ref="A1:O70"/>
  <sheetViews>
    <sheetView zoomScale="115" zoomScaleNormal="115" workbookViewId="0"/>
  </sheetViews>
  <sheetFormatPr defaultRowHeight="15" x14ac:dyDescent="0.25"/>
  <cols>
    <col min="1" max="1" width="17" customWidth="1"/>
    <col min="2" max="2" width="11.7109375" customWidth="1"/>
    <col min="3" max="3" width="17" customWidth="1"/>
    <col min="4" max="4" width="19.5703125" customWidth="1"/>
    <col min="5" max="5" width="16.42578125" customWidth="1"/>
    <col min="6" max="6" width="5.85546875" customWidth="1"/>
    <col min="7" max="7" width="17.28515625" customWidth="1"/>
    <col min="8" max="8" width="25.28515625" customWidth="1"/>
    <col min="9" max="9" width="3.85546875" customWidth="1"/>
    <col min="10" max="10" width="25.28515625" customWidth="1"/>
    <col min="11" max="11" width="20.5703125" customWidth="1"/>
    <col min="12" max="12" width="14" customWidth="1"/>
    <col min="13" max="14" width="16.85546875" customWidth="1"/>
    <col min="15" max="15" width="11.42578125" customWidth="1"/>
    <col min="17" max="17" width="9.5703125" bestFit="1" customWidth="1"/>
    <col min="18" max="18" width="11.5703125" customWidth="1"/>
  </cols>
  <sheetData>
    <row r="1" spans="1:14" ht="21" x14ac:dyDescent="0.35">
      <c r="A1" s="7" t="s">
        <v>101</v>
      </c>
      <c r="B1" s="6"/>
      <c r="C1" s="6"/>
      <c r="D1" s="6"/>
      <c r="E1" s="6"/>
      <c r="F1" s="6"/>
      <c r="G1" s="6"/>
      <c r="H1" s="6"/>
    </row>
    <row r="2" spans="1:14" ht="15.75" x14ac:dyDescent="0.25">
      <c r="A2" s="29" t="s">
        <v>52</v>
      </c>
      <c r="B2" s="30"/>
      <c r="C2" s="30"/>
      <c r="D2" s="30"/>
      <c r="E2" s="28"/>
    </row>
    <row r="3" spans="1:14" ht="16.5" thickBot="1" x14ac:dyDescent="0.3">
      <c r="A3" s="30" t="s">
        <v>63</v>
      </c>
      <c r="B3" s="30"/>
      <c r="C3" s="30"/>
      <c r="D3" s="30"/>
      <c r="E3" s="28"/>
      <c r="G3" s="46"/>
      <c r="H3" s="45"/>
    </row>
    <row r="4" spans="1:14" ht="15.75" x14ac:dyDescent="0.25">
      <c r="A4" s="30" t="s">
        <v>69</v>
      </c>
      <c r="B4" s="30"/>
      <c r="C4" s="30"/>
      <c r="D4" s="30"/>
      <c r="E4" s="27"/>
      <c r="M4" s="157" t="s">
        <v>96</v>
      </c>
      <c r="N4" s="158"/>
    </row>
    <row r="5" spans="1:14" ht="15.75" x14ac:dyDescent="0.25">
      <c r="A5" s="30" t="s">
        <v>68</v>
      </c>
      <c r="B5" s="29"/>
      <c r="C5" s="30"/>
      <c r="D5" s="30"/>
      <c r="E5" s="27"/>
      <c r="M5" s="79" t="s">
        <v>95</v>
      </c>
      <c r="N5" s="80" t="s">
        <v>19</v>
      </c>
    </row>
    <row r="6" spans="1:14" ht="15.75" x14ac:dyDescent="0.25">
      <c r="A6" s="30" t="s">
        <v>157</v>
      </c>
      <c r="B6" s="27"/>
      <c r="C6" s="28"/>
      <c r="D6" s="28"/>
      <c r="E6" s="28"/>
      <c r="M6" s="81" t="str" cm="1">
        <f t="array" ref="M6:M8">_xlfn._xlws.SORT(_xlfn.UNIQUE(SUMIFS!$D$13:$D$58))</f>
        <v>Hot Wheels</v>
      </c>
      <c r="N6" s="82" t="str" cm="1">
        <f t="array" ref="N6:N8">_xlfn._xlws.SORT(_xlfn.UNIQUE(SUMIFS!$C$13:$C$58))</f>
        <v>Cinderelli</v>
      </c>
    </row>
    <row r="7" spans="1:14" x14ac:dyDescent="0.25">
      <c r="G7" s="39" t="s">
        <v>42</v>
      </c>
      <c r="H7" s="39"/>
      <c r="M7" s="81" t="str">
        <v>LOL OMG Surprise</v>
      </c>
      <c r="N7" s="82" t="str">
        <v>Miles</v>
      </c>
    </row>
    <row r="8" spans="1:14" ht="16.5" thickBot="1" x14ac:dyDescent="0.3">
      <c r="A8" s="10" t="s">
        <v>7</v>
      </c>
      <c r="B8" t="s">
        <v>86</v>
      </c>
      <c r="G8" s="38" t="s">
        <v>20</v>
      </c>
      <c r="H8" s="38" t="s">
        <v>19</v>
      </c>
      <c r="M8" s="83" t="str">
        <v>LOL Surprise</v>
      </c>
      <c r="N8" s="84" t="str">
        <v>Tiana</v>
      </c>
    </row>
    <row r="9" spans="1:14" ht="22.15" customHeight="1" x14ac:dyDescent="0.25">
      <c r="A9" s="46"/>
      <c r="B9" s="47"/>
      <c r="C9" s="47"/>
      <c r="D9" s="47"/>
      <c r="E9" s="47"/>
      <c r="G9" s="1" t="s">
        <v>29</v>
      </c>
      <c r="H9" s="1" t="s">
        <v>47</v>
      </c>
    </row>
    <row r="10" spans="1:14" ht="15.75" x14ac:dyDescent="0.25">
      <c r="G10" s="40" t="s">
        <v>64</v>
      </c>
      <c r="H10" s="48">
        <f>SUMIFS(MonthlyRev[Revenue],MonthlyRev[Product],G9,MonthlyRev[SalesRep],H9)</f>
        <v>248117.18999999994</v>
      </c>
      <c r="J10" s="44" t="str">
        <f ca="1">IF(_xlfn.ISFORMULA(H10),_xlfn.FORMULATEXT(H10),"")</f>
        <v>=SUMIFS(MonthlyRev[Revenue],MonthlyRev[Product],G9,MonthlyRev[SalesRep],H9)</v>
      </c>
      <c r="K10" s="8"/>
    </row>
    <row r="12" spans="1:14" ht="21" x14ac:dyDescent="0.35">
      <c r="A12" s="148" t="s">
        <v>1</v>
      </c>
      <c r="B12" s="149" t="s">
        <v>18</v>
      </c>
      <c r="C12" s="149" t="s">
        <v>19</v>
      </c>
      <c r="D12" s="149" t="s">
        <v>20</v>
      </c>
      <c r="E12" s="150" t="s">
        <v>21</v>
      </c>
      <c r="G12" s="60" t="s">
        <v>70</v>
      </c>
    </row>
    <row r="13" spans="1:14" x14ac:dyDescent="0.25">
      <c r="A13" s="31">
        <v>45162</v>
      </c>
      <c r="B13" s="1" t="s">
        <v>24</v>
      </c>
      <c r="C13" s="1" t="s">
        <v>47</v>
      </c>
      <c r="D13" s="1" t="s">
        <v>29</v>
      </c>
      <c r="E13" s="42">
        <v>23935.3</v>
      </c>
    </row>
    <row r="14" spans="1:14" x14ac:dyDescent="0.25">
      <c r="A14" s="31">
        <v>45161</v>
      </c>
      <c r="B14" s="1" t="s">
        <v>24</v>
      </c>
      <c r="C14" s="1" t="s">
        <v>45</v>
      </c>
      <c r="D14" s="1" t="s">
        <v>27</v>
      </c>
      <c r="E14" s="42">
        <v>46241.84</v>
      </c>
      <c r="G14" s="49" t="s">
        <v>18</v>
      </c>
      <c r="H14" s="51" t="s">
        <v>64</v>
      </c>
    </row>
    <row r="15" spans="1:14" ht="15.75" x14ac:dyDescent="0.25">
      <c r="A15" s="31">
        <v>45145</v>
      </c>
      <c r="B15" s="1" t="s">
        <v>25</v>
      </c>
      <c r="C15" s="1" t="s">
        <v>2</v>
      </c>
      <c r="D15" s="1" t="s">
        <v>27</v>
      </c>
      <c r="E15" s="42">
        <v>20003.13</v>
      </c>
      <c r="G15" s="50" t="s">
        <v>24</v>
      </c>
      <c r="H15" s="52">
        <f>SUMIFS(MonthlyRev[Revenue],MonthlyRev[Region],RegionRev[[#This Row],[Region]],MonthlyRev[Product],$G$9,MonthlyRev[SalesRep],$H$9)</f>
        <v>117036.82999999999</v>
      </c>
      <c r="J15" s="44" t="str">
        <f ca="1">IF(_xlfn.ISFORMULA(H15),_xlfn.FORMULATEXT(H15),"")</f>
        <v>=SUMIFS(MonthlyRev[Revenue],MonthlyRev[Region],[@Region],MonthlyRev[Product],$G$9,MonthlyRev[SalesRep],$H$9)</v>
      </c>
    </row>
    <row r="16" spans="1:14" ht="15.75" x14ac:dyDescent="0.25">
      <c r="A16" s="31">
        <v>45149</v>
      </c>
      <c r="B16" s="1" t="s">
        <v>25</v>
      </c>
      <c r="C16" s="1" t="s">
        <v>2</v>
      </c>
      <c r="D16" s="1" t="s">
        <v>29</v>
      </c>
      <c r="E16" s="42">
        <v>24148.61</v>
      </c>
      <c r="G16" s="50" t="s">
        <v>65</v>
      </c>
      <c r="H16" s="52">
        <f>SUMIFS(MonthlyRev[Revenue],MonthlyRev[Region],RegionRev[[#This Row],[Region]],MonthlyRev[Product],$G$9,MonthlyRev[SalesRep],$H$9)</f>
        <v>34664.89</v>
      </c>
      <c r="J16" s="30" t="s">
        <v>161</v>
      </c>
      <c r="K16" s="28"/>
      <c r="L16" s="28"/>
    </row>
    <row r="17" spans="1:13" x14ac:dyDescent="0.25">
      <c r="A17" s="31">
        <v>45164</v>
      </c>
      <c r="B17" s="1" t="s">
        <v>24</v>
      </c>
      <c r="C17" s="1" t="s">
        <v>47</v>
      </c>
      <c r="D17" s="1" t="s">
        <v>29</v>
      </c>
      <c r="E17" s="42">
        <v>43173.32</v>
      </c>
      <c r="G17" s="50" t="s">
        <v>23</v>
      </c>
      <c r="H17" s="52">
        <f>SUMIFS(MonthlyRev[Revenue],MonthlyRev[Region],RegionRev[[#This Row],[Region]],MonthlyRev[Product],$G$9,MonthlyRev[SalesRep],$H$9)</f>
        <v>24613.08</v>
      </c>
    </row>
    <row r="18" spans="1:13" x14ac:dyDescent="0.25">
      <c r="A18" s="31">
        <v>45160</v>
      </c>
      <c r="B18" s="1" t="s">
        <v>23</v>
      </c>
      <c r="C18" s="1" t="s">
        <v>47</v>
      </c>
      <c r="D18" s="1" t="s">
        <v>28</v>
      </c>
      <c r="E18" s="42">
        <v>23553.65</v>
      </c>
      <c r="G18" s="34" t="s">
        <v>25</v>
      </c>
      <c r="H18" s="53">
        <f>SUMIFS(MonthlyRev[Revenue],MonthlyRev[Region],RegionRev[[#This Row],[Region]],MonthlyRev[Product],$G$9,MonthlyRev[SalesRep],$H$9)</f>
        <v>67678.86</v>
      </c>
    </row>
    <row r="19" spans="1:13" x14ac:dyDescent="0.25">
      <c r="A19" s="31">
        <v>45164</v>
      </c>
      <c r="B19" s="1" t="s">
        <v>25</v>
      </c>
      <c r="C19" s="1" t="s">
        <v>2</v>
      </c>
      <c r="D19" s="1" t="s">
        <v>29</v>
      </c>
      <c r="E19" s="42">
        <v>26863.98</v>
      </c>
      <c r="K19" s="63" t="s">
        <v>78</v>
      </c>
      <c r="L19" s="63"/>
      <c r="M19" s="63"/>
    </row>
    <row r="20" spans="1:13" x14ac:dyDescent="0.25">
      <c r="A20" s="31">
        <v>45153</v>
      </c>
      <c r="B20" s="1" t="s">
        <v>65</v>
      </c>
      <c r="C20" s="1" t="s">
        <v>47</v>
      </c>
      <c r="D20" s="1" t="s">
        <v>28</v>
      </c>
      <c r="E20" s="42">
        <v>35320.76</v>
      </c>
      <c r="G20" s="10" t="s">
        <v>71</v>
      </c>
      <c r="K20" s="63" t="s">
        <v>81</v>
      </c>
      <c r="L20" s="63"/>
      <c r="M20" s="63"/>
    </row>
    <row r="21" spans="1:13" x14ac:dyDescent="0.25">
      <c r="A21" s="31">
        <v>45144</v>
      </c>
      <c r="B21" s="1" t="s">
        <v>25</v>
      </c>
      <c r="C21" s="1" t="s">
        <v>45</v>
      </c>
      <c r="D21" s="1" t="s">
        <v>29</v>
      </c>
      <c r="E21" s="42">
        <v>15196.59</v>
      </c>
      <c r="G21" t="s">
        <v>72</v>
      </c>
      <c r="K21" s="63" t="s">
        <v>79</v>
      </c>
      <c r="L21" s="63"/>
      <c r="M21" s="63"/>
    </row>
    <row r="22" spans="1:13" x14ac:dyDescent="0.25">
      <c r="A22" s="31">
        <v>45149</v>
      </c>
      <c r="B22" s="1" t="s">
        <v>25</v>
      </c>
      <c r="C22" s="1" t="s">
        <v>2</v>
      </c>
      <c r="D22" s="1" t="s">
        <v>27</v>
      </c>
      <c r="E22" s="42">
        <v>48533.17</v>
      </c>
      <c r="G22" t="s">
        <v>73</v>
      </c>
      <c r="K22" s="63" t="s">
        <v>80</v>
      </c>
      <c r="L22" s="63"/>
      <c r="M22" s="63"/>
    </row>
    <row r="23" spans="1:13" x14ac:dyDescent="0.25">
      <c r="A23" s="31">
        <v>45157</v>
      </c>
      <c r="B23" s="1" t="s">
        <v>23</v>
      </c>
      <c r="C23" s="1" t="s">
        <v>45</v>
      </c>
      <c r="D23" s="1" t="s">
        <v>27</v>
      </c>
      <c r="E23" s="42">
        <v>30517.67</v>
      </c>
      <c r="G23" t="s">
        <v>74</v>
      </c>
    </row>
    <row r="24" spans="1:13" x14ac:dyDescent="0.25">
      <c r="A24" s="31">
        <v>45148</v>
      </c>
      <c r="B24" s="1" t="s">
        <v>23</v>
      </c>
      <c r="C24" s="1" t="s">
        <v>2</v>
      </c>
      <c r="D24" s="1" t="s">
        <v>28</v>
      </c>
      <c r="E24" s="42">
        <v>22962.38</v>
      </c>
    </row>
    <row r="25" spans="1:13" x14ac:dyDescent="0.25">
      <c r="A25" s="31">
        <v>45143</v>
      </c>
      <c r="B25" s="1" t="s">
        <v>25</v>
      </c>
      <c r="C25" s="1" t="s">
        <v>45</v>
      </c>
      <c r="D25" s="1" t="s">
        <v>28</v>
      </c>
      <c r="E25" s="42">
        <v>26230.06</v>
      </c>
      <c r="G25" t="s">
        <v>75</v>
      </c>
    </row>
    <row r="26" spans="1:13" x14ac:dyDescent="0.25">
      <c r="A26" s="31">
        <v>45149</v>
      </c>
      <c r="B26" s="1" t="s">
        <v>65</v>
      </c>
      <c r="C26" s="1" t="s">
        <v>45</v>
      </c>
      <c r="D26" s="1" t="s">
        <v>27</v>
      </c>
      <c r="E26" s="42">
        <v>34445.910000000003</v>
      </c>
    </row>
    <row r="27" spans="1:13" x14ac:dyDescent="0.25">
      <c r="A27" s="31">
        <v>45148</v>
      </c>
      <c r="B27" s="1" t="s">
        <v>65</v>
      </c>
      <c r="C27" s="1" t="s">
        <v>45</v>
      </c>
      <c r="D27" s="1" t="s">
        <v>28</v>
      </c>
      <c r="E27" s="42">
        <v>41175.589999999997</v>
      </c>
    </row>
    <row r="28" spans="1:13" x14ac:dyDescent="0.25">
      <c r="A28" s="31">
        <v>45156</v>
      </c>
      <c r="B28" s="1" t="s">
        <v>25</v>
      </c>
      <c r="C28" s="1" t="s">
        <v>2</v>
      </c>
      <c r="D28" s="1" t="s">
        <v>28</v>
      </c>
      <c r="E28" s="42">
        <v>28456.15</v>
      </c>
    </row>
    <row r="29" spans="1:13" x14ac:dyDescent="0.25">
      <c r="A29" s="31">
        <v>45168</v>
      </c>
      <c r="B29" s="1" t="s">
        <v>24</v>
      </c>
      <c r="C29" s="1" t="s">
        <v>47</v>
      </c>
      <c r="D29" s="1" t="s">
        <v>29</v>
      </c>
      <c r="E29" s="42">
        <v>46883.49</v>
      </c>
    </row>
    <row r="30" spans="1:13" x14ac:dyDescent="0.25">
      <c r="A30" s="31">
        <v>45152</v>
      </c>
      <c r="B30" s="1" t="s">
        <v>25</v>
      </c>
      <c r="C30" s="1" t="s">
        <v>47</v>
      </c>
      <c r="D30" s="1" t="s">
        <v>29</v>
      </c>
      <c r="E30" s="42">
        <v>48675.77</v>
      </c>
    </row>
    <row r="31" spans="1:13" x14ac:dyDescent="0.25">
      <c r="A31" s="31">
        <v>45144</v>
      </c>
      <c r="B31" s="1" t="s">
        <v>23</v>
      </c>
      <c r="C31" s="1" t="s">
        <v>2</v>
      </c>
      <c r="D31" s="1" t="s">
        <v>27</v>
      </c>
      <c r="E31" s="42">
        <v>19604.95</v>
      </c>
    </row>
    <row r="32" spans="1:13" x14ac:dyDescent="0.25">
      <c r="A32" s="31">
        <v>45158</v>
      </c>
      <c r="B32" s="1" t="s">
        <v>23</v>
      </c>
      <c r="C32" s="1" t="s">
        <v>47</v>
      </c>
      <c r="D32" s="1" t="s">
        <v>27</v>
      </c>
      <c r="E32" s="42">
        <v>48922.29</v>
      </c>
    </row>
    <row r="33" spans="1:5" x14ac:dyDescent="0.25">
      <c r="A33" s="31">
        <v>45169</v>
      </c>
      <c r="B33" s="1" t="s">
        <v>25</v>
      </c>
      <c r="C33" s="1" t="s">
        <v>2</v>
      </c>
      <c r="D33" s="1" t="s">
        <v>29</v>
      </c>
      <c r="E33" s="42">
        <v>42727.99</v>
      </c>
    </row>
    <row r="34" spans="1:5" x14ac:dyDescent="0.25">
      <c r="A34" s="31">
        <v>45140</v>
      </c>
      <c r="B34" s="1" t="s">
        <v>24</v>
      </c>
      <c r="C34" s="1" t="s">
        <v>45</v>
      </c>
      <c r="D34" s="1" t="s">
        <v>28</v>
      </c>
      <c r="E34" s="42">
        <v>21408.69</v>
      </c>
    </row>
    <row r="35" spans="1:5" x14ac:dyDescent="0.25">
      <c r="A35" s="31">
        <v>45141</v>
      </c>
      <c r="B35" s="1" t="s">
        <v>24</v>
      </c>
      <c r="C35" s="1" t="s">
        <v>45</v>
      </c>
      <c r="D35" s="1" t="s">
        <v>27</v>
      </c>
      <c r="E35" s="42">
        <v>24455.63</v>
      </c>
    </row>
    <row r="36" spans="1:5" x14ac:dyDescent="0.25">
      <c r="A36" s="31">
        <v>45146</v>
      </c>
      <c r="B36" s="1" t="s">
        <v>65</v>
      </c>
      <c r="C36" s="1" t="s">
        <v>2</v>
      </c>
      <c r="D36" s="1" t="s">
        <v>29</v>
      </c>
      <c r="E36" s="42">
        <v>28107.26</v>
      </c>
    </row>
    <row r="37" spans="1:5" x14ac:dyDescent="0.25">
      <c r="A37" s="31">
        <v>45164</v>
      </c>
      <c r="B37" s="1" t="s">
        <v>24</v>
      </c>
      <c r="C37" s="1" t="s">
        <v>45</v>
      </c>
      <c r="D37" s="1" t="s">
        <v>29</v>
      </c>
      <c r="E37" s="42">
        <v>45728.49</v>
      </c>
    </row>
    <row r="38" spans="1:5" x14ac:dyDescent="0.25">
      <c r="A38" s="31">
        <v>45146</v>
      </c>
      <c r="B38" s="1" t="s">
        <v>65</v>
      </c>
      <c r="C38" s="1" t="s">
        <v>47</v>
      </c>
      <c r="D38" s="1" t="s">
        <v>29</v>
      </c>
      <c r="E38" s="42">
        <v>34664.89</v>
      </c>
    </row>
    <row r="39" spans="1:5" x14ac:dyDescent="0.25">
      <c r="A39" s="31">
        <v>45166</v>
      </c>
      <c r="B39" s="1" t="s">
        <v>23</v>
      </c>
      <c r="C39" s="1" t="s">
        <v>47</v>
      </c>
      <c r="D39" s="1" t="s">
        <v>29</v>
      </c>
      <c r="E39" s="42">
        <v>19825.72</v>
      </c>
    </row>
    <row r="40" spans="1:5" x14ac:dyDescent="0.25">
      <c r="A40" s="31">
        <v>45140</v>
      </c>
      <c r="B40" s="1" t="s">
        <v>25</v>
      </c>
      <c r="C40" s="1" t="s">
        <v>47</v>
      </c>
      <c r="D40" s="1" t="s">
        <v>27</v>
      </c>
      <c r="E40" s="42">
        <v>38828.720000000001</v>
      </c>
    </row>
    <row r="41" spans="1:5" x14ac:dyDescent="0.25">
      <c r="A41" s="31">
        <v>45166</v>
      </c>
      <c r="B41" s="1" t="s">
        <v>24</v>
      </c>
      <c r="C41" s="1" t="s">
        <v>2</v>
      </c>
      <c r="D41" s="1" t="s">
        <v>27</v>
      </c>
      <c r="E41" s="42">
        <v>33850.26</v>
      </c>
    </row>
    <row r="42" spans="1:5" x14ac:dyDescent="0.25">
      <c r="A42" s="32">
        <v>45164</v>
      </c>
      <c r="B42" s="33" t="s">
        <v>25</v>
      </c>
      <c r="C42" s="33" t="s">
        <v>47</v>
      </c>
      <c r="D42" s="33" t="s">
        <v>29</v>
      </c>
      <c r="E42" s="43">
        <v>19003.09</v>
      </c>
    </row>
    <row r="43" spans="1:5" x14ac:dyDescent="0.25">
      <c r="A43" s="31">
        <v>45145</v>
      </c>
      <c r="B43" s="1" t="s">
        <v>25</v>
      </c>
      <c r="C43" s="1" t="s">
        <v>2</v>
      </c>
      <c r="D43" s="1" t="s">
        <v>28</v>
      </c>
      <c r="E43" s="42">
        <v>4198.83</v>
      </c>
    </row>
    <row r="44" spans="1:5" x14ac:dyDescent="0.25">
      <c r="A44" s="31">
        <v>45144</v>
      </c>
      <c r="B44" s="1" t="s">
        <v>32</v>
      </c>
      <c r="C44" s="1" t="s">
        <v>47</v>
      </c>
      <c r="D44" s="1" t="s">
        <v>29</v>
      </c>
      <c r="E44" s="42">
        <v>4123.53</v>
      </c>
    </row>
    <row r="45" spans="1:5" x14ac:dyDescent="0.25">
      <c r="A45" s="31">
        <v>45165</v>
      </c>
      <c r="B45" s="1" t="s">
        <v>24</v>
      </c>
      <c r="C45" s="1" t="s">
        <v>45</v>
      </c>
      <c r="D45" s="1" t="s">
        <v>28</v>
      </c>
      <c r="E45" s="42">
        <v>3999.49</v>
      </c>
    </row>
    <row r="46" spans="1:5" x14ac:dyDescent="0.25">
      <c r="A46" s="31">
        <v>45143</v>
      </c>
      <c r="B46" s="1" t="s">
        <v>23</v>
      </c>
      <c r="C46" s="1" t="s">
        <v>47</v>
      </c>
      <c r="D46" s="1" t="s">
        <v>27</v>
      </c>
      <c r="E46" s="42">
        <v>5546.21</v>
      </c>
    </row>
    <row r="47" spans="1:5" x14ac:dyDescent="0.25">
      <c r="A47" s="31">
        <v>45168</v>
      </c>
      <c r="B47" s="1" t="s">
        <v>24</v>
      </c>
      <c r="C47" s="1" t="s">
        <v>45</v>
      </c>
      <c r="D47" s="1" t="s">
        <v>27</v>
      </c>
      <c r="E47" s="42">
        <v>3485.61</v>
      </c>
    </row>
    <row r="48" spans="1:5" x14ac:dyDescent="0.25">
      <c r="A48" s="31">
        <v>45146</v>
      </c>
      <c r="B48" s="1" t="s">
        <v>23</v>
      </c>
      <c r="C48" s="1" t="s">
        <v>47</v>
      </c>
      <c r="D48" s="1" t="s">
        <v>29</v>
      </c>
      <c r="E48" s="42">
        <v>4787.3599999999997</v>
      </c>
    </row>
    <row r="49" spans="1:15" x14ac:dyDescent="0.25">
      <c r="A49" s="31">
        <v>45150</v>
      </c>
      <c r="B49" s="1" t="s">
        <v>32</v>
      </c>
      <c r="C49" s="1" t="s">
        <v>2</v>
      </c>
      <c r="D49" s="1" t="s">
        <v>28</v>
      </c>
      <c r="E49" s="42">
        <v>3841.83</v>
      </c>
    </row>
    <row r="50" spans="1:15" x14ac:dyDescent="0.25">
      <c r="A50" s="31">
        <v>45157</v>
      </c>
      <c r="B50" s="1" t="s">
        <v>25</v>
      </c>
      <c r="C50" s="1" t="s">
        <v>2</v>
      </c>
      <c r="D50" s="1" t="s">
        <v>28</v>
      </c>
      <c r="E50" s="42">
        <v>3577.12</v>
      </c>
    </row>
    <row r="51" spans="1:15" x14ac:dyDescent="0.25">
      <c r="A51" s="31">
        <v>45154</v>
      </c>
      <c r="B51" s="1" t="s">
        <v>32</v>
      </c>
      <c r="C51" s="1" t="s">
        <v>45</v>
      </c>
      <c r="D51" s="1" t="s">
        <v>29</v>
      </c>
      <c r="E51" s="42">
        <v>4563.03</v>
      </c>
    </row>
    <row r="52" spans="1:15" x14ac:dyDescent="0.25">
      <c r="A52" s="31">
        <v>45163</v>
      </c>
      <c r="B52" s="1" t="s">
        <v>24</v>
      </c>
      <c r="C52" s="1" t="s">
        <v>47</v>
      </c>
      <c r="D52" s="1" t="s">
        <v>29</v>
      </c>
      <c r="E52" s="42">
        <v>3044.72</v>
      </c>
    </row>
    <row r="53" spans="1:15" x14ac:dyDescent="0.25">
      <c r="A53" s="31">
        <v>45151</v>
      </c>
      <c r="B53" s="1" t="s">
        <v>23</v>
      </c>
      <c r="C53" s="1" t="s">
        <v>2</v>
      </c>
      <c r="D53" s="1" t="s">
        <v>29</v>
      </c>
      <c r="E53" s="42">
        <v>2668.64</v>
      </c>
      <c r="K53" s="10" t="s">
        <v>158</v>
      </c>
      <c r="L53" s="10"/>
      <c r="M53" s="10"/>
    </row>
    <row r="54" spans="1:15" x14ac:dyDescent="0.25">
      <c r="A54" s="31">
        <v>45150</v>
      </c>
      <c r="B54" s="1" t="s">
        <v>65</v>
      </c>
      <c r="C54" s="1" t="s">
        <v>47</v>
      </c>
      <c r="D54" s="1" t="s">
        <v>27</v>
      </c>
      <c r="E54" s="42">
        <v>2957.87</v>
      </c>
    </row>
    <row r="55" spans="1:15" x14ac:dyDescent="0.25">
      <c r="A55" s="31">
        <v>45165</v>
      </c>
      <c r="B55" s="1" t="s">
        <v>23</v>
      </c>
      <c r="C55" s="1" t="s">
        <v>45</v>
      </c>
      <c r="D55" s="1" t="s">
        <v>28</v>
      </c>
      <c r="E55" s="42">
        <v>3658.85</v>
      </c>
      <c r="K55" s="8">
        <v>45145</v>
      </c>
      <c r="L55" t="s">
        <v>25</v>
      </c>
      <c r="M55" t="s">
        <v>2</v>
      </c>
      <c r="N55" t="s">
        <v>28</v>
      </c>
      <c r="O55" s="144">
        <v>4198.83</v>
      </c>
    </row>
    <row r="56" spans="1:15" x14ac:dyDescent="0.25">
      <c r="A56" s="31">
        <v>45161</v>
      </c>
      <c r="B56" s="1" t="s">
        <v>25</v>
      </c>
      <c r="C56" s="1" t="s">
        <v>2</v>
      </c>
      <c r="D56" s="1" t="s">
        <v>28</v>
      </c>
      <c r="E56" s="42">
        <v>3921.5</v>
      </c>
      <c r="K56" s="8">
        <v>45144</v>
      </c>
      <c r="L56" t="s">
        <v>32</v>
      </c>
      <c r="M56" t="s">
        <v>47</v>
      </c>
      <c r="N56" t="s">
        <v>29</v>
      </c>
      <c r="O56" s="144">
        <v>4123.53</v>
      </c>
    </row>
    <row r="57" spans="1:15" x14ac:dyDescent="0.25">
      <c r="A57" s="31">
        <v>45141</v>
      </c>
      <c r="B57" s="1" t="s">
        <v>24</v>
      </c>
      <c r="C57" s="1" t="s">
        <v>45</v>
      </c>
      <c r="D57" s="1" t="s">
        <v>29</v>
      </c>
      <c r="E57" s="42">
        <v>3341.87</v>
      </c>
      <c r="K57" s="8">
        <v>45165</v>
      </c>
      <c r="L57" t="s">
        <v>24</v>
      </c>
      <c r="M57" t="s">
        <v>45</v>
      </c>
      <c r="N57" t="s">
        <v>28</v>
      </c>
      <c r="O57" s="144">
        <v>3999.49</v>
      </c>
    </row>
    <row r="58" spans="1:15" x14ac:dyDescent="0.25">
      <c r="A58" s="32">
        <v>45160</v>
      </c>
      <c r="B58" s="33" t="s">
        <v>23</v>
      </c>
      <c r="C58" s="33" t="s">
        <v>2</v>
      </c>
      <c r="D58" s="33" t="s">
        <v>29</v>
      </c>
      <c r="E58" s="43">
        <v>3017.62</v>
      </c>
      <c r="K58" s="8">
        <v>45143</v>
      </c>
      <c r="L58" t="s">
        <v>23</v>
      </c>
      <c r="M58" t="s">
        <v>47</v>
      </c>
      <c r="N58" t="s">
        <v>27</v>
      </c>
      <c r="O58" s="144">
        <v>5546.21</v>
      </c>
    </row>
    <row r="59" spans="1:15" x14ac:dyDescent="0.25">
      <c r="K59" s="8">
        <v>45168</v>
      </c>
      <c r="L59" t="s">
        <v>24</v>
      </c>
      <c r="M59" t="s">
        <v>45</v>
      </c>
      <c r="N59" t="s">
        <v>27</v>
      </c>
      <c r="O59" s="144">
        <v>3485.61</v>
      </c>
    </row>
    <row r="60" spans="1:15" x14ac:dyDescent="0.25">
      <c r="K60" s="8">
        <v>45146</v>
      </c>
      <c r="L60" t="s">
        <v>23</v>
      </c>
      <c r="M60" t="s">
        <v>47</v>
      </c>
      <c r="N60" t="s">
        <v>29</v>
      </c>
      <c r="O60" s="144">
        <v>4787.3599999999997</v>
      </c>
    </row>
    <row r="61" spans="1:15" x14ac:dyDescent="0.25">
      <c r="K61" s="8">
        <v>45150</v>
      </c>
      <c r="L61" t="s">
        <v>32</v>
      </c>
      <c r="M61" t="s">
        <v>2</v>
      </c>
      <c r="N61" t="s">
        <v>28</v>
      </c>
      <c r="O61" s="144">
        <v>3841.83</v>
      </c>
    </row>
    <row r="62" spans="1:15" x14ac:dyDescent="0.25">
      <c r="K62" s="8">
        <v>45157</v>
      </c>
      <c r="L62" t="s">
        <v>25</v>
      </c>
      <c r="M62" t="s">
        <v>2</v>
      </c>
      <c r="N62" t="s">
        <v>28</v>
      </c>
      <c r="O62" s="144">
        <v>3577.12</v>
      </c>
    </row>
    <row r="63" spans="1:15" x14ac:dyDescent="0.25">
      <c r="K63" s="8">
        <v>45154</v>
      </c>
      <c r="L63" t="s">
        <v>32</v>
      </c>
      <c r="M63" t="s">
        <v>45</v>
      </c>
      <c r="N63" t="s">
        <v>29</v>
      </c>
      <c r="O63" s="144">
        <v>4563.03</v>
      </c>
    </row>
    <row r="64" spans="1:15" x14ac:dyDescent="0.25">
      <c r="K64" s="8">
        <v>45163</v>
      </c>
      <c r="L64" t="s">
        <v>24</v>
      </c>
      <c r="M64" t="s">
        <v>47</v>
      </c>
      <c r="N64" t="s">
        <v>29</v>
      </c>
      <c r="O64" s="144">
        <v>3044.72</v>
      </c>
    </row>
    <row r="65" spans="11:15" x14ac:dyDescent="0.25">
      <c r="K65" s="8">
        <v>45151</v>
      </c>
      <c r="L65" t="s">
        <v>23</v>
      </c>
      <c r="M65" t="s">
        <v>2</v>
      </c>
      <c r="N65" t="s">
        <v>29</v>
      </c>
      <c r="O65" s="144">
        <v>2668.64</v>
      </c>
    </row>
    <row r="66" spans="11:15" x14ac:dyDescent="0.25">
      <c r="K66" s="8">
        <v>45150</v>
      </c>
      <c r="L66" t="s">
        <v>65</v>
      </c>
      <c r="M66" t="s">
        <v>47</v>
      </c>
      <c r="N66" t="s">
        <v>27</v>
      </c>
      <c r="O66" s="144">
        <v>2957.87</v>
      </c>
    </row>
    <row r="67" spans="11:15" x14ac:dyDescent="0.25">
      <c r="K67" s="8">
        <v>45165</v>
      </c>
      <c r="L67" t="s">
        <v>23</v>
      </c>
      <c r="M67" t="s">
        <v>45</v>
      </c>
      <c r="N67" t="s">
        <v>28</v>
      </c>
      <c r="O67" s="144">
        <v>3658.85</v>
      </c>
    </row>
    <row r="68" spans="11:15" x14ac:dyDescent="0.25">
      <c r="K68" s="8">
        <v>45161</v>
      </c>
      <c r="L68" t="s">
        <v>25</v>
      </c>
      <c r="M68" t="s">
        <v>2</v>
      </c>
      <c r="N68" t="s">
        <v>28</v>
      </c>
      <c r="O68" s="144">
        <v>3921.5</v>
      </c>
    </row>
    <row r="69" spans="11:15" x14ac:dyDescent="0.25">
      <c r="K69" s="8">
        <v>45141</v>
      </c>
      <c r="L69" t="s">
        <v>24</v>
      </c>
      <c r="M69" t="s">
        <v>45</v>
      </c>
      <c r="N69" t="s">
        <v>29</v>
      </c>
      <c r="O69" s="144">
        <v>3341.87</v>
      </c>
    </row>
    <row r="70" spans="11:15" x14ac:dyDescent="0.25">
      <c r="K70" s="8">
        <v>45160</v>
      </c>
      <c r="L70" t="s">
        <v>23</v>
      </c>
      <c r="M70" t="s">
        <v>2</v>
      </c>
      <c r="N70" t="s">
        <v>29</v>
      </c>
      <c r="O70" s="144">
        <v>3017.62</v>
      </c>
    </row>
  </sheetData>
  <mergeCells count="1">
    <mergeCell ref="M4:N4"/>
  </mergeCells>
  <dataValidations count="2">
    <dataValidation type="list" allowBlank="1" showInputMessage="1" showErrorMessage="1" sqref="G9" xr:uid="{AC50CE25-C384-482F-935C-41E9CF7A3D62}">
      <formula1>$M$6:$M$8</formula1>
    </dataValidation>
    <dataValidation type="list" allowBlank="1" showInputMessage="1" showErrorMessage="1" sqref="H9" xr:uid="{9429869C-40B4-48D0-9555-420A784DD983}">
      <formula1>$N$6:$N$8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512B4-F7B9-40EE-92DE-16B8F083EF9E}">
  <sheetPr>
    <tabColor rgb="FFFFFF00"/>
  </sheetPr>
  <dimension ref="A1:O70"/>
  <sheetViews>
    <sheetView workbookViewId="0"/>
  </sheetViews>
  <sheetFormatPr defaultRowHeight="15" x14ac:dyDescent="0.25"/>
  <cols>
    <col min="1" max="1" width="17" customWidth="1"/>
    <col min="2" max="2" width="11.7109375" customWidth="1"/>
    <col min="3" max="3" width="17" customWidth="1"/>
    <col min="4" max="4" width="19.5703125" customWidth="1"/>
    <col min="5" max="5" width="16.42578125" customWidth="1"/>
    <col min="6" max="6" width="5.85546875" customWidth="1"/>
    <col min="7" max="7" width="17.28515625" customWidth="1"/>
    <col min="8" max="8" width="25.28515625" customWidth="1"/>
    <col min="9" max="9" width="3.85546875" customWidth="1"/>
    <col min="10" max="10" width="25.28515625" customWidth="1"/>
    <col min="11" max="11" width="20.5703125" customWidth="1"/>
    <col min="12" max="12" width="14" customWidth="1"/>
    <col min="13" max="13" width="17.140625" customWidth="1"/>
    <col min="14" max="14" width="16.85546875" customWidth="1"/>
    <col min="15" max="15" width="11.42578125" customWidth="1"/>
    <col min="17" max="17" width="9.5703125" bestFit="1" customWidth="1"/>
    <col min="18" max="18" width="11.5703125" customWidth="1"/>
  </cols>
  <sheetData>
    <row r="1" spans="1:14" ht="21" x14ac:dyDescent="0.35">
      <c r="A1" s="7" t="s">
        <v>101</v>
      </c>
      <c r="B1" s="6"/>
      <c r="C1" s="6"/>
      <c r="D1" s="6"/>
      <c r="E1" s="6"/>
      <c r="F1" s="6"/>
      <c r="G1" s="6"/>
      <c r="H1" s="6"/>
    </row>
    <row r="2" spans="1:14" ht="15.75" x14ac:dyDescent="0.25">
      <c r="A2" s="29" t="s">
        <v>52</v>
      </c>
      <c r="B2" s="30"/>
      <c r="C2" s="30"/>
      <c r="D2" s="30"/>
      <c r="E2" s="28"/>
    </row>
    <row r="3" spans="1:14" ht="16.5" thickBot="1" x14ac:dyDescent="0.3">
      <c r="A3" s="30" t="s">
        <v>63</v>
      </c>
      <c r="B3" s="30"/>
      <c r="C3" s="30"/>
      <c r="D3" s="30"/>
      <c r="E3" s="28"/>
      <c r="G3" s="46"/>
      <c r="H3" s="45"/>
    </row>
    <row r="4" spans="1:14" ht="15.75" x14ac:dyDescent="0.25">
      <c r="A4" s="30" t="s">
        <v>69</v>
      </c>
      <c r="B4" s="30"/>
      <c r="C4" s="30"/>
      <c r="D4" s="30"/>
      <c r="E4" s="27"/>
      <c r="M4" s="159" t="s">
        <v>96</v>
      </c>
      <c r="N4" s="160"/>
    </row>
    <row r="5" spans="1:14" ht="15.75" x14ac:dyDescent="0.25">
      <c r="A5" s="30" t="s">
        <v>68</v>
      </c>
      <c r="B5" s="29"/>
      <c r="C5" s="30"/>
      <c r="D5" s="30"/>
      <c r="E5" s="27"/>
      <c r="M5" s="79" t="s">
        <v>95</v>
      </c>
      <c r="N5" s="80" t="s">
        <v>19</v>
      </c>
    </row>
    <row r="6" spans="1:14" x14ac:dyDescent="0.25">
      <c r="B6" s="10"/>
      <c r="M6" s="81" t="str" cm="1">
        <f t="array" ref="M6:M8">_xlfn._xlws.SORT(_xlfn.UNIQUE(MonthlyRevnans[Product]))</f>
        <v>Hot Wheels</v>
      </c>
      <c r="N6" s="82" t="str" cm="1">
        <f t="array" ref="N6:N8">_xlfn._xlws.SORT(_xlfn.UNIQUE(MonthlyRevnans[SalesRep]))</f>
        <v>Cinderelli</v>
      </c>
    </row>
    <row r="7" spans="1:14" x14ac:dyDescent="0.25">
      <c r="A7" s="10" t="s">
        <v>7</v>
      </c>
      <c r="B7" t="s">
        <v>86</v>
      </c>
      <c r="G7" s="39" t="s">
        <v>42</v>
      </c>
      <c r="H7" s="39"/>
      <c r="M7" s="81" t="str">
        <v>LOL OMG Surprise</v>
      </c>
      <c r="N7" s="82" t="str">
        <v>Miles</v>
      </c>
    </row>
    <row r="8" spans="1:14" ht="16.5" thickBot="1" x14ac:dyDescent="0.3">
      <c r="B8" s="10"/>
      <c r="G8" s="38" t="s">
        <v>20</v>
      </c>
      <c r="H8" s="38" t="s">
        <v>19</v>
      </c>
      <c r="M8" s="83" t="str">
        <v>LOL Surprise</v>
      </c>
      <c r="N8" s="84" t="str">
        <v>Tiana</v>
      </c>
    </row>
    <row r="9" spans="1:14" ht="22.15" customHeight="1" x14ac:dyDescent="0.25">
      <c r="A9" s="46"/>
      <c r="B9" s="47"/>
      <c r="C9" s="47"/>
      <c r="D9" s="47"/>
      <c r="E9" s="47"/>
      <c r="G9" s="1" t="s">
        <v>29</v>
      </c>
      <c r="H9" s="1" t="s">
        <v>47</v>
      </c>
    </row>
    <row r="10" spans="1:14" ht="15.75" x14ac:dyDescent="0.25">
      <c r="G10" s="40" t="s">
        <v>64</v>
      </c>
      <c r="H10" s="48">
        <f>SUMIFS(MonthlyRevnans[Revenue],MonthlyRevnans[Product],G9,MonthlyRevnans[SalesRep],H9)</f>
        <v>248117.18999999994</v>
      </c>
      <c r="J10" s="44" t="str">
        <f ca="1">IF(_xlfn.ISFORMULA(H10),_xlfn.FORMULATEXT(H10),"")</f>
        <v>=SUMIFS(MonthlyRevnans[Revenue],MonthlyRevnans[Product],G9,MonthlyRevnans[SalesRep],H9)</v>
      </c>
      <c r="K10" s="8"/>
    </row>
    <row r="12" spans="1:14" ht="21" x14ac:dyDescent="0.35">
      <c r="A12" s="35" t="s">
        <v>1</v>
      </c>
      <c r="B12" s="36" t="s">
        <v>18</v>
      </c>
      <c r="C12" s="36" t="s">
        <v>19</v>
      </c>
      <c r="D12" s="36" t="s">
        <v>20</v>
      </c>
      <c r="E12" s="37" t="s">
        <v>21</v>
      </c>
      <c r="G12" s="60" t="s">
        <v>70</v>
      </c>
    </row>
    <row r="13" spans="1:14" x14ac:dyDescent="0.25">
      <c r="A13" s="31">
        <v>45162</v>
      </c>
      <c r="B13" s="1" t="s">
        <v>24</v>
      </c>
      <c r="C13" s="1" t="s">
        <v>47</v>
      </c>
      <c r="D13" s="1" t="s">
        <v>29</v>
      </c>
      <c r="E13" s="42">
        <v>23935.3</v>
      </c>
    </row>
    <row r="14" spans="1:14" x14ac:dyDescent="0.25">
      <c r="A14" s="31">
        <v>45161</v>
      </c>
      <c r="B14" s="1" t="s">
        <v>24</v>
      </c>
      <c r="C14" s="1" t="s">
        <v>45</v>
      </c>
      <c r="D14" s="1" t="s">
        <v>27</v>
      </c>
      <c r="E14" s="42">
        <v>46241.84</v>
      </c>
      <c r="G14" s="49" t="s">
        <v>18</v>
      </c>
      <c r="H14" s="51" t="s">
        <v>64</v>
      </c>
    </row>
    <row r="15" spans="1:14" ht="15.75" x14ac:dyDescent="0.25">
      <c r="A15" s="31">
        <v>45145</v>
      </c>
      <c r="B15" s="1" t="s">
        <v>25</v>
      </c>
      <c r="C15" s="1" t="s">
        <v>2</v>
      </c>
      <c r="D15" s="1" t="s">
        <v>27</v>
      </c>
      <c r="E15" s="42">
        <v>20003.13</v>
      </c>
      <c r="G15" s="50" t="s">
        <v>24</v>
      </c>
      <c r="H15" s="52">
        <f>SUMIFS(MonthlyRevnans[Revenue],MonthlyRevnans[Region],RegionRevans[[#This Row],[Region]],MonthlyRevnans[Product],$G$9,MonthlyRevnans[SalesRep],$H$9)</f>
        <v>117036.82999999999</v>
      </c>
      <c r="J15" s="44" t="str">
        <f ca="1">IF(_xlfn.ISFORMULA(H15),_xlfn.FORMULATEXT(H15),"")</f>
        <v>=SUMIFS(MonthlyRevnans[Revenue],MonthlyRevnans[Region],[@Region],MonthlyRevnans[Product],$G$9,MonthlyRevnans[SalesRep],$H$9)</v>
      </c>
    </row>
    <row r="16" spans="1:14" ht="15.75" x14ac:dyDescent="0.25">
      <c r="A16" s="31">
        <v>45149</v>
      </c>
      <c r="B16" s="1" t="s">
        <v>25</v>
      </c>
      <c r="C16" s="1" t="s">
        <v>2</v>
      </c>
      <c r="D16" s="1" t="s">
        <v>29</v>
      </c>
      <c r="E16" s="42">
        <v>24148.61</v>
      </c>
      <c r="G16" s="50" t="s">
        <v>65</v>
      </c>
      <c r="H16" s="52">
        <f>SUMIFS(MonthlyRevnans[Revenue],MonthlyRevnans[Region],RegionRevans[[#This Row],[Region]],MonthlyRevnans[Product],$G$9,MonthlyRevnans[SalesRep],$H$9)</f>
        <v>34664.89</v>
      </c>
      <c r="J16" s="30" t="s">
        <v>161</v>
      </c>
      <c r="K16" s="28"/>
      <c r="L16" s="28"/>
    </row>
    <row r="17" spans="1:13" x14ac:dyDescent="0.25">
      <c r="A17" s="31">
        <v>45164</v>
      </c>
      <c r="B17" s="1" t="s">
        <v>24</v>
      </c>
      <c r="C17" s="1" t="s">
        <v>47</v>
      </c>
      <c r="D17" s="1" t="s">
        <v>29</v>
      </c>
      <c r="E17" s="42">
        <v>43173.32</v>
      </c>
      <c r="G17" s="50" t="s">
        <v>23</v>
      </c>
      <c r="H17" s="52">
        <f>SUMIFS(MonthlyRevnans[Revenue],MonthlyRevnans[Region],RegionRevans[[#This Row],[Region]],MonthlyRevnans[Product],$G$9,MonthlyRevnans[SalesRep],$H$9)</f>
        <v>24613.08</v>
      </c>
    </row>
    <row r="18" spans="1:13" x14ac:dyDescent="0.25">
      <c r="A18" s="31">
        <v>45160</v>
      </c>
      <c r="B18" s="1" t="s">
        <v>23</v>
      </c>
      <c r="C18" s="1" t="s">
        <v>47</v>
      </c>
      <c r="D18" s="1" t="s">
        <v>28</v>
      </c>
      <c r="E18" s="42">
        <v>23553.65</v>
      </c>
      <c r="G18" s="34" t="s">
        <v>25</v>
      </c>
      <c r="H18" s="53">
        <f>SUMIFS(MonthlyRevnans[Revenue],MonthlyRevnans[Region],RegionRevans[[#This Row],[Region]],MonthlyRevnans[Product],$G$9,MonthlyRevnans[SalesRep],$H$9)</f>
        <v>67678.86</v>
      </c>
    </row>
    <row r="19" spans="1:13" x14ac:dyDescent="0.25">
      <c r="A19" s="31">
        <v>45164</v>
      </c>
      <c r="B19" s="1" t="s">
        <v>25</v>
      </c>
      <c r="C19" s="1" t="s">
        <v>2</v>
      </c>
      <c r="D19" s="1" t="s">
        <v>29</v>
      </c>
      <c r="E19" s="42">
        <v>26863.98</v>
      </c>
      <c r="K19" s="63" t="s">
        <v>78</v>
      </c>
      <c r="L19" s="63"/>
      <c r="M19" s="63"/>
    </row>
    <row r="20" spans="1:13" x14ac:dyDescent="0.25">
      <c r="A20" s="31">
        <v>45153</v>
      </c>
      <c r="B20" s="1" t="s">
        <v>65</v>
      </c>
      <c r="C20" s="1" t="s">
        <v>47</v>
      </c>
      <c r="D20" s="1" t="s">
        <v>28</v>
      </c>
      <c r="E20" s="42">
        <v>35320.76</v>
      </c>
      <c r="G20" s="10" t="s">
        <v>71</v>
      </c>
      <c r="K20" s="63" t="s">
        <v>81</v>
      </c>
      <c r="L20" s="63"/>
      <c r="M20" s="63"/>
    </row>
    <row r="21" spans="1:13" x14ac:dyDescent="0.25">
      <c r="A21" s="31">
        <v>45144</v>
      </c>
      <c r="B21" s="1" t="s">
        <v>25</v>
      </c>
      <c r="C21" s="1" t="s">
        <v>45</v>
      </c>
      <c r="D21" s="1" t="s">
        <v>29</v>
      </c>
      <c r="E21" s="42">
        <v>15196.59</v>
      </c>
      <c r="G21" t="s">
        <v>72</v>
      </c>
      <c r="K21" s="63" t="s">
        <v>79</v>
      </c>
      <c r="L21" s="63"/>
      <c r="M21" s="63"/>
    </row>
    <row r="22" spans="1:13" x14ac:dyDescent="0.25">
      <c r="A22" s="31">
        <v>45149</v>
      </c>
      <c r="B22" s="1" t="s">
        <v>25</v>
      </c>
      <c r="C22" s="1" t="s">
        <v>2</v>
      </c>
      <c r="D22" s="1" t="s">
        <v>27</v>
      </c>
      <c r="E22" s="42">
        <v>48533.17</v>
      </c>
      <c r="G22" t="s">
        <v>73</v>
      </c>
      <c r="K22" s="63" t="s">
        <v>80</v>
      </c>
      <c r="L22" s="63"/>
      <c r="M22" s="63"/>
    </row>
    <row r="23" spans="1:13" x14ac:dyDescent="0.25">
      <c r="A23" s="31">
        <v>45157</v>
      </c>
      <c r="B23" s="1" t="s">
        <v>23</v>
      </c>
      <c r="C23" s="1" t="s">
        <v>45</v>
      </c>
      <c r="D23" s="1" t="s">
        <v>27</v>
      </c>
      <c r="E23" s="42">
        <v>30517.67</v>
      </c>
      <c r="G23" t="s">
        <v>74</v>
      </c>
    </row>
    <row r="24" spans="1:13" x14ac:dyDescent="0.25">
      <c r="A24" s="31">
        <v>45148</v>
      </c>
      <c r="B24" s="1" t="s">
        <v>23</v>
      </c>
      <c r="C24" s="1" t="s">
        <v>2</v>
      </c>
      <c r="D24" s="1" t="s">
        <v>28</v>
      </c>
      <c r="E24" s="42">
        <v>22962.38</v>
      </c>
    </row>
    <row r="25" spans="1:13" x14ac:dyDescent="0.25">
      <c r="A25" s="31">
        <v>45143</v>
      </c>
      <c r="B25" s="1" t="s">
        <v>25</v>
      </c>
      <c r="C25" s="1" t="s">
        <v>45</v>
      </c>
      <c r="D25" s="1" t="s">
        <v>28</v>
      </c>
      <c r="E25" s="42">
        <v>26230.06</v>
      </c>
      <c r="G25" t="s">
        <v>75</v>
      </c>
    </row>
    <row r="26" spans="1:13" x14ac:dyDescent="0.25">
      <c r="A26" s="31">
        <v>45149</v>
      </c>
      <c r="B26" s="1" t="s">
        <v>65</v>
      </c>
      <c r="C26" s="1" t="s">
        <v>45</v>
      </c>
      <c r="D26" s="1" t="s">
        <v>27</v>
      </c>
      <c r="E26" s="42">
        <v>34445.910000000003</v>
      </c>
    </row>
    <row r="27" spans="1:13" x14ac:dyDescent="0.25">
      <c r="A27" s="31">
        <v>45148</v>
      </c>
      <c r="B27" s="1" t="s">
        <v>65</v>
      </c>
      <c r="C27" s="1" t="s">
        <v>45</v>
      </c>
      <c r="D27" s="1" t="s">
        <v>28</v>
      </c>
      <c r="E27" s="42">
        <v>41175.589999999997</v>
      </c>
    </row>
    <row r="28" spans="1:13" x14ac:dyDescent="0.25">
      <c r="A28" s="31">
        <v>45156</v>
      </c>
      <c r="B28" s="1" t="s">
        <v>25</v>
      </c>
      <c r="C28" s="1" t="s">
        <v>2</v>
      </c>
      <c r="D28" s="1" t="s">
        <v>28</v>
      </c>
      <c r="E28" s="42">
        <v>28456.15</v>
      </c>
    </row>
    <row r="29" spans="1:13" x14ac:dyDescent="0.25">
      <c r="A29" s="31">
        <v>45168</v>
      </c>
      <c r="B29" s="1" t="s">
        <v>24</v>
      </c>
      <c r="C29" s="1" t="s">
        <v>47</v>
      </c>
      <c r="D29" s="1" t="s">
        <v>29</v>
      </c>
      <c r="E29" s="42">
        <v>46883.49</v>
      </c>
    </row>
    <row r="30" spans="1:13" x14ac:dyDescent="0.25">
      <c r="A30" s="31">
        <v>45152</v>
      </c>
      <c r="B30" s="1" t="s">
        <v>25</v>
      </c>
      <c r="C30" s="1" t="s">
        <v>47</v>
      </c>
      <c r="D30" s="1" t="s">
        <v>29</v>
      </c>
      <c r="E30" s="42">
        <v>48675.77</v>
      </c>
    </row>
    <row r="31" spans="1:13" x14ac:dyDescent="0.25">
      <c r="A31" s="31">
        <v>45144</v>
      </c>
      <c r="B31" s="1" t="s">
        <v>23</v>
      </c>
      <c r="C31" s="1" t="s">
        <v>2</v>
      </c>
      <c r="D31" s="1" t="s">
        <v>27</v>
      </c>
      <c r="E31" s="42">
        <v>19604.95</v>
      </c>
    </row>
    <row r="32" spans="1:13" x14ac:dyDescent="0.25">
      <c r="A32" s="31">
        <v>45158</v>
      </c>
      <c r="B32" s="1" t="s">
        <v>23</v>
      </c>
      <c r="C32" s="1" t="s">
        <v>47</v>
      </c>
      <c r="D32" s="1" t="s">
        <v>27</v>
      </c>
      <c r="E32" s="42">
        <v>48922.29</v>
      </c>
    </row>
    <row r="33" spans="1:5" x14ac:dyDescent="0.25">
      <c r="A33" s="31">
        <v>45169</v>
      </c>
      <c r="B33" s="1" t="s">
        <v>25</v>
      </c>
      <c r="C33" s="1" t="s">
        <v>2</v>
      </c>
      <c r="D33" s="1" t="s">
        <v>29</v>
      </c>
      <c r="E33" s="42">
        <v>42727.99</v>
      </c>
    </row>
    <row r="34" spans="1:5" x14ac:dyDescent="0.25">
      <c r="A34" s="31">
        <v>45140</v>
      </c>
      <c r="B34" s="1" t="s">
        <v>24</v>
      </c>
      <c r="C34" s="1" t="s">
        <v>45</v>
      </c>
      <c r="D34" s="1" t="s">
        <v>28</v>
      </c>
      <c r="E34" s="42">
        <v>21408.69</v>
      </c>
    </row>
    <row r="35" spans="1:5" x14ac:dyDescent="0.25">
      <c r="A35" s="31">
        <v>45141</v>
      </c>
      <c r="B35" s="1" t="s">
        <v>24</v>
      </c>
      <c r="C35" s="1" t="s">
        <v>45</v>
      </c>
      <c r="D35" s="1" t="s">
        <v>27</v>
      </c>
      <c r="E35" s="42">
        <v>24455.63</v>
      </c>
    </row>
    <row r="36" spans="1:5" x14ac:dyDescent="0.25">
      <c r="A36" s="31">
        <v>45146</v>
      </c>
      <c r="B36" s="1" t="s">
        <v>65</v>
      </c>
      <c r="C36" s="1" t="s">
        <v>2</v>
      </c>
      <c r="D36" s="1" t="s">
        <v>29</v>
      </c>
      <c r="E36" s="42">
        <v>28107.26</v>
      </c>
    </row>
    <row r="37" spans="1:5" x14ac:dyDescent="0.25">
      <c r="A37" s="31">
        <v>45164</v>
      </c>
      <c r="B37" s="1" t="s">
        <v>24</v>
      </c>
      <c r="C37" s="1" t="s">
        <v>45</v>
      </c>
      <c r="D37" s="1" t="s">
        <v>29</v>
      </c>
      <c r="E37" s="42">
        <v>45728.49</v>
      </c>
    </row>
    <row r="38" spans="1:5" x14ac:dyDescent="0.25">
      <c r="A38" s="31">
        <v>45146</v>
      </c>
      <c r="B38" s="1" t="s">
        <v>65</v>
      </c>
      <c r="C38" s="1" t="s">
        <v>47</v>
      </c>
      <c r="D38" s="1" t="s">
        <v>29</v>
      </c>
      <c r="E38" s="42">
        <v>34664.89</v>
      </c>
    </row>
    <row r="39" spans="1:5" x14ac:dyDescent="0.25">
      <c r="A39" s="31">
        <v>45166</v>
      </c>
      <c r="B39" s="1" t="s">
        <v>23</v>
      </c>
      <c r="C39" s="1" t="s">
        <v>47</v>
      </c>
      <c r="D39" s="1" t="s">
        <v>29</v>
      </c>
      <c r="E39" s="42">
        <v>19825.72</v>
      </c>
    </row>
    <row r="40" spans="1:5" x14ac:dyDescent="0.25">
      <c r="A40" s="31">
        <v>45140</v>
      </c>
      <c r="B40" s="1" t="s">
        <v>25</v>
      </c>
      <c r="C40" s="1" t="s">
        <v>47</v>
      </c>
      <c r="D40" s="1" t="s">
        <v>27</v>
      </c>
      <c r="E40" s="42">
        <v>38828.720000000001</v>
      </c>
    </row>
    <row r="41" spans="1:5" x14ac:dyDescent="0.25">
      <c r="A41" s="31">
        <v>45166</v>
      </c>
      <c r="B41" s="1" t="s">
        <v>24</v>
      </c>
      <c r="C41" s="1" t="s">
        <v>2</v>
      </c>
      <c r="D41" s="1" t="s">
        <v>27</v>
      </c>
      <c r="E41" s="42">
        <v>33850.26</v>
      </c>
    </row>
    <row r="42" spans="1:5" x14ac:dyDescent="0.25">
      <c r="A42" s="32">
        <v>45164</v>
      </c>
      <c r="B42" s="33" t="s">
        <v>25</v>
      </c>
      <c r="C42" s="33" t="s">
        <v>47</v>
      </c>
      <c r="D42" s="33" t="s">
        <v>29</v>
      </c>
      <c r="E42" s="43">
        <v>19003.09</v>
      </c>
    </row>
    <row r="43" spans="1:5" x14ac:dyDescent="0.25">
      <c r="A43" s="31">
        <v>45145</v>
      </c>
      <c r="B43" s="1" t="s">
        <v>25</v>
      </c>
      <c r="C43" s="1" t="s">
        <v>2</v>
      </c>
      <c r="D43" s="1" t="s">
        <v>28</v>
      </c>
      <c r="E43" s="42">
        <v>4198.83</v>
      </c>
    </row>
    <row r="44" spans="1:5" x14ac:dyDescent="0.25">
      <c r="A44" s="31">
        <v>45144</v>
      </c>
      <c r="B44" s="1" t="s">
        <v>32</v>
      </c>
      <c r="C44" s="1" t="s">
        <v>47</v>
      </c>
      <c r="D44" s="1" t="s">
        <v>29</v>
      </c>
      <c r="E44" s="42">
        <v>4123.53</v>
      </c>
    </row>
    <row r="45" spans="1:5" x14ac:dyDescent="0.25">
      <c r="A45" s="31">
        <v>45165</v>
      </c>
      <c r="B45" s="1" t="s">
        <v>24</v>
      </c>
      <c r="C45" s="1" t="s">
        <v>45</v>
      </c>
      <c r="D45" s="1" t="s">
        <v>28</v>
      </c>
      <c r="E45" s="42">
        <v>3999.49</v>
      </c>
    </row>
    <row r="46" spans="1:5" x14ac:dyDescent="0.25">
      <c r="A46" s="31">
        <v>45143</v>
      </c>
      <c r="B46" s="1" t="s">
        <v>23</v>
      </c>
      <c r="C46" s="1" t="s">
        <v>47</v>
      </c>
      <c r="D46" s="1" t="s">
        <v>27</v>
      </c>
      <c r="E46" s="42">
        <v>5546.21</v>
      </c>
    </row>
    <row r="47" spans="1:5" x14ac:dyDescent="0.25">
      <c r="A47" s="31">
        <v>45168</v>
      </c>
      <c r="B47" s="1" t="s">
        <v>24</v>
      </c>
      <c r="C47" s="1" t="s">
        <v>45</v>
      </c>
      <c r="D47" s="1" t="s">
        <v>27</v>
      </c>
      <c r="E47" s="42">
        <v>3485.61</v>
      </c>
    </row>
    <row r="48" spans="1:5" x14ac:dyDescent="0.25">
      <c r="A48" s="31">
        <v>45146</v>
      </c>
      <c r="B48" s="1" t="s">
        <v>23</v>
      </c>
      <c r="C48" s="1" t="s">
        <v>47</v>
      </c>
      <c r="D48" s="1" t="s">
        <v>29</v>
      </c>
      <c r="E48" s="42">
        <v>4787.3599999999997</v>
      </c>
    </row>
    <row r="49" spans="1:15" x14ac:dyDescent="0.25">
      <c r="A49" s="31">
        <v>45150</v>
      </c>
      <c r="B49" s="1" t="s">
        <v>32</v>
      </c>
      <c r="C49" s="1" t="s">
        <v>2</v>
      </c>
      <c r="D49" s="1" t="s">
        <v>28</v>
      </c>
      <c r="E49" s="42">
        <v>3841.83</v>
      </c>
    </row>
    <row r="50" spans="1:15" x14ac:dyDescent="0.25">
      <c r="A50" s="31">
        <v>45157</v>
      </c>
      <c r="B50" s="1" t="s">
        <v>25</v>
      </c>
      <c r="C50" s="1" t="s">
        <v>2</v>
      </c>
      <c r="D50" s="1" t="s">
        <v>28</v>
      </c>
      <c r="E50" s="42">
        <v>3577.12</v>
      </c>
    </row>
    <row r="51" spans="1:15" x14ac:dyDescent="0.25">
      <c r="A51" s="31">
        <v>45154</v>
      </c>
      <c r="B51" s="1" t="s">
        <v>32</v>
      </c>
      <c r="C51" s="1" t="s">
        <v>45</v>
      </c>
      <c r="D51" s="1" t="s">
        <v>29</v>
      </c>
      <c r="E51" s="42">
        <v>4563.03</v>
      </c>
    </row>
    <row r="52" spans="1:15" x14ac:dyDescent="0.25">
      <c r="A52" s="31">
        <v>45163</v>
      </c>
      <c r="B52" s="1" t="s">
        <v>24</v>
      </c>
      <c r="C52" s="1" t="s">
        <v>47</v>
      </c>
      <c r="D52" s="1" t="s">
        <v>29</v>
      </c>
      <c r="E52" s="42">
        <v>3044.72</v>
      </c>
    </row>
    <row r="53" spans="1:15" x14ac:dyDescent="0.25">
      <c r="A53" s="31">
        <v>45151</v>
      </c>
      <c r="B53" s="1" t="s">
        <v>23</v>
      </c>
      <c r="C53" s="1" t="s">
        <v>2</v>
      </c>
      <c r="D53" s="1" t="s">
        <v>29</v>
      </c>
      <c r="E53" s="42">
        <v>2668.64</v>
      </c>
      <c r="K53" s="10" t="s">
        <v>158</v>
      </c>
      <c r="L53" s="10"/>
      <c r="M53" s="10"/>
    </row>
    <row r="54" spans="1:15" x14ac:dyDescent="0.25">
      <c r="A54" s="31">
        <v>45150</v>
      </c>
      <c r="B54" s="1" t="s">
        <v>65</v>
      </c>
      <c r="C54" s="1" t="s">
        <v>47</v>
      </c>
      <c r="D54" s="1" t="s">
        <v>27</v>
      </c>
      <c r="E54" s="42">
        <v>2957.87</v>
      </c>
    </row>
    <row r="55" spans="1:15" x14ac:dyDescent="0.25">
      <c r="A55" s="31">
        <v>45165</v>
      </c>
      <c r="B55" s="1" t="s">
        <v>23</v>
      </c>
      <c r="C55" s="1" t="s">
        <v>45</v>
      </c>
      <c r="D55" s="1" t="s">
        <v>28</v>
      </c>
      <c r="E55" s="42">
        <v>3658.85</v>
      </c>
      <c r="K55" s="8">
        <v>45145</v>
      </c>
      <c r="L55" t="s">
        <v>25</v>
      </c>
      <c r="M55" t="s">
        <v>2</v>
      </c>
      <c r="N55" t="s">
        <v>28</v>
      </c>
      <c r="O55" s="144">
        <v>4198.83</v>
      </c>
    </row>
    <row r="56" spans="1:15" x14ac:dyDescent="0.25">
      <c r="A56" s="31">
        <v>45161</v>
      </c>
      <c r="B56" s="1" t="s">
        <v>25</v>
      </c>
      <c r="C56" s="1" t="s">
        <v>2</v>
      </c>
      <c r="D56" s="1" t="s">
        <v>28</v>
      </c>
      <c r="E56" s="42">
        <v>3921.5</v>
      </c>
      <c r="K56" s="8">
        <v>45144</v>
      </c>
      <c r="L56" t="s">
        <v>32</v>
      </c>
      <c r="M56" t="s">
        <v>47</v>
      </c>
      <c r="N56" t="s">
        <v>29</v>
      </c>
      <c r="O56" s="144">
        <v>4123.53</v>
      </c>
    </row>
    <row r="57" spans="1:15" x14ac:dyDescent="0.25">
      <c r="A57" s="31">
        <v>45141</v>
      </c>
      <c r="B57" s="1" t="s">
        <v>24</v>
      </c>
      <c r="C57" s="1" t="s">
        <v>45</v>
      </c>
      <c r="D57" s="1" t="s">
        <v>29</v>
      </c>
      <c r="E57" s="42">
        <v>3341.87</v>
      </c>
      <c r="K57" s="8">
        <v>45165</v>
      </c>
      <c r="L57" t="s">
        <v>24</v>
      </c>
      <c r="M57" t="s">
        <v>45</v>
      </c>
      <c r="N57" t="s">
        <v>28</v>
      </c>
      <c r="O57" s="144">
        <v>3999.49</v>
      </c>
    </row>
    <row r="58" spans="1:15" x14ac:dyDescent="0.25">
      <c r="A58" s="32">
        <v>45160</v>
      </c>
      <c r="B58" s="33" t="s">
        <v>23</v>
      </c>
      <c r="C58" s="33" t="s">
        <v>2</v>
      </c>
      <c r="D58" s="33" t="s">
        <v>29</v>
      </c>
      <c r="E58" s="43">
        <v>3017.62</v>
      </c>
      <c r="K58" s="8">
        <v>45143</v>
      </c>
      <c r="L58" t="s">
        <v>23</v>
      </c>
      <c r="M58" t="s">
        <v>47</v>
      </c>
      <c r="N58" t="s">
        <v>27</v>
      </c>
      <c r="O58" s="144">
        <v>5546.21</v>
      </c>
    </row>
    <row r="59" spans="1:15" x14ac:dyDescent="0.25">
      <c r="K59" s="8">
        <v>45168</v>
      </c>
      <c r="L59" t="s">
        <v>24</v>
      </c>
      <c r="M59" t="s">
        <v>45</v>
      </c>
      <c r="N59" t="s">
        <v>27</v>
      </c>
      <c r="O59" s="144">
        <v>3485.61</v>
      </c>
    </row>
    <row r="60" spans="1:15" x14ac:dyDescent="0.25">
      <c r="K60" s="8">
        <v>45146</v>
      </c>
      <c r="L60" t="s">
        <v>23</v>
      </c>
      <c r="M60" t="s">
        <v>47</v>
      </c>
      <c r="N60" t="s">
        <v>29</v>
      </c>
      <c r="O60" s="144">
        <v>4787.3599999999997</v>
      </c>
    </row>
    <row r="61" spans="1:15" x14ac:dyDescent="0.25">
      <c r="K61" s="8">
        <v>45150</v>
      </c>
      <c r="L61" t="s">
        <v>32</v>
      </c>
      <c r="M61" t="s">
        <v>2</v>
      </c>
      <c r="N61" t="s">
        <v>28</v>
      </c>
      <c r="O61" s="144">
        <v>3841.83</v>
      </c>
    </row>
    <row r="62" spans="1:15" x14ac:dyDescent="0.25">
      <c r="K62" s="8">
        <v>45157</v>
      </c>
      <c r="L62" t="s">
        <v>25</v>
      </c>
      <c r="M62" t="s">
        <v>2</v>
      </c>
      <c r="N62" t="s">
        <v>28</v>
      </c>
      <c r="O62" s="144">
        <v>3577.12</v>
      </c>
    </row>
    <row r="63" spans="1:15" x14ac:dyDescent="0.25">
      <c r="K63" s="8">
        <v>45154</v>
      </c>
      <c r="L63" t="s">
        <v>32</v>
      </c>
      <c r="M63" t="s">
        <v>45</v>
      </c>
      <c r="N63" t="s">
        <v>29</v>
      </c>
      <c r="O63" s="144">
        <v>4563.03</v>
      </c>
    </row>
    <row r="64" spans="1:15" x14ac:dyDescent="0.25">
      <c r="K64" s="8">
        <v>45163</v>
      </c>
      <c r="L64" t="s">
        <v>24</v>
      </c>
      <c r="M64" t="s">
        <v>47</v>
      </c>
      <c r="N64" t="s">
        <v>29</v>
      </c>
      <c r="O64" s="144">
        <v>3044.72</v>
      </c>
    </row>
    <row r="65" spans="11:15" x14ac:dyDescent="0.25">
      <c r="K65" s="8">
        <v>45151</v>
      </c>
      <c r="L65" t="s">
        <v>23</v>
      </c>
      <c r="M65" t="s">
        <v>2</v>
      </c>
      <c r="N65" t="s">
        <v>29</v>
      </c>
      <c r="O65" s="144">
        <v>2668.64</v>
      </c>
    </row>
    <row r="66" spans="11:15" x14ac:dyDescent="0.25">
      <c r="K66" s="8">
        <v>45150</v>
      </c>
      <c r="L66" t="s">
        <v>65</v>
      </c>
      <c r="M66" t="s">
        <v>47</v>
      </c>
      <c r="N66" t="s">
        <v>27</v>
      </c>
      <c r="O66" s="144">
        <v>2957.87</v>
      </c>
    </row>
    <row r="67" spans="11:15" x14ac:dyDescent="0.25">
      <c r="K67" s="8">
        <v>45165</v>
      </c>
      <c r="L67" t="s">
        <v>23</v>
      </c>
      <c r="M67" t="s">
        <v>45</v>
      </c>
      <c r="N67" t="s">
        <v>28</v>
      </c>
      <c r="O67" s="144">
        <v>3658.85</v>
      </c>
    </row>
    <row r="68" spans="11:15" x14ac:dyDescent="0.25">
      <c r="K68" s="8">
        <v>45161</v>
      </c>
      <c r="L68" t="s">
        <v>25</v>
      </c>
      <c r="M68" t="s">
        <v>2</v>
      </c>
      <c r="N68" t="s">
        <v>28</v>
      </c>
      <c r="O68" s="144">
        <v>3921.5</v>
      </c>
    </row>
    <row r="69" spans="11:15" x14ac:dyDescent="0.25">
      <c r="K69" s="8">
        <v>45141</v>
      </c>
      <c r="L69" t="s">
        <v>24</v>
      </c>
      <c r="M69" t="s">
        <v>45</v>
      </c>
      <c r="N69" t="s">
        <v>29</v>
      </c>
      <c r="O69" s="144">
        <v>3341.87</v>
      </c>
    </row>
    <row r="70" spans="11:15" x14ac:dyDescent="0.25">
      <c r="K70" s="8">
        <v>45160</v>
      </c>
      <c r="L70" t="s">
        <v>23</v>
      </c>
      <c r="M70" t="s">
        <v>2</v>
      </c>
      <c r="N70" t="s">
        <v>29</v>
      </c>
      <c r="O70" s="144">
        <v>3017.62</v>
      </c>
    </row>
  </sheetData>
  <mergeCells count="1">
    <mergeCell ref="M4:N4"/>
  </mergeCells>
  <dataValidations count="2">
    <dataValidation type="list" allowBlank="1" showInputMessage="1" showErrorMessage="1" sqref="G9" xr:uid="{96169EB1-975A-411F-B9DB-11819849D821}">
      <formula1>$M$6:$M$8</formula1>
    </dataValidation>
    <dataValidation type="list" allowBlank="1" showInputMessage="1" showErrorMessage="1" sqref="H9" xr:uid="{C09D0A8D-DCAE-4804-BE41-0CFE7C73B1BE}">
      <formula1>$N$6:$N$8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0492B-5DC2-41AA-9542-7B188150AA58}">
  <sheetPr>
    <tabColor rgb="FF0070C0"/>
  </sheetPr>
  <dimension ref="A1:M41"/>
  <sheetViews>
    <sheetView workbookViewId="0"/>
  </sheetViews>
  <sheetFormatPr defaultRowHeight="15" x14ac:dyDescent="0.25"/>
  <cols>
    <col min="1" max="1" width="17" customWidth="1"/>
    <col min="2" max="2" width="11.7109375" customWidth="1"/>
    <col min="3" max="3" width="17" customWidth="1"/>
    <col min="4" max="4" width="19.5703125" customWidth="1"/>
    <col min="5" max="5" width="16.42578125" customWidth="1"/>
    <col min="6" max="6" width="5.85546875" customWidth="1"/>
    <col min="7" max="7" width="17.28515625" customWidth="1"/>
    <col min="8" max="8" width="25.28515625" customWidth="1"/>
    <col min="9" max="9" width="3.85546875" customWidth="1"/>
    <col min="10" max="10" width="49.28515625" customWidth="1"/>
    <col min="11" max="11" width="4.28515625" customWidth="1"/>
    <col min="12" max="12" width="15.7109375" customWidth="1"/>
    <col min="13" max="13" width="15.42578125" customWidth="1"/>
    <col min="17" max="17" width="9.5703125" bestFit="1" customWidth="1"/>
    <col min="18" max="18" width="11.5703125" customWidth="1"/>
  </cols>
  <sheetData>
    <row r="1" spans="1:13" ht="21" x14ac:dyDescent="0.35">
      <c r="A1" s="7" t="s">
        <v>156</v>
      </c>
      <c r="B1" s="6"/>
      <c r="C1" s="6"/>
      <c r="D1" s="6"/>
      <c r="E1" s="6"/>
      <c r="F1" s="6"/>
      <c r="G1" s="6"/>
      <c r="H1" s="6"/>
    </row>
    <row r="2" spans="1:13" ht="15.75" x14ac:dyDescent="0.25">
      <c r="A2" s="29" t="s">
        <v>52</v>
      </c>
      <c r="B2" s="27" t="s">
        <v>7</v>
      </c>
      <c r="C2" s="28" t="s">
        <v>164</v>
      </c>
      <c r="D2" s="28"/>
      <c r="E2" s="28"/>
    </row>
    <row r="3" spans="1:13" ht="15.75" x14ac:dyDescent="0.25">
      <c r="A3" s="30" t="s">
        <v>154</v>
      </c>
      <c r="B3" s="30"/>
      <c r="C3" s="30"/>
      <c r="D3" s="30"/>
      <c r="E3" s="28"/>
      <c r="G3" s="46" t="s">
        <v>55</v>
      </c>
      <c r="H3" s="45" t="s">
        <v>56</v>
      </c>
    </row>
    <row r="4" spans="1:13" ht="15.75" x14ac:dyDescent="0.25">
      <c r="A4" s="28" t="s">
        <v>162</v>
      </c>
      <c r="B4" s="28"/>
      <c r="C4" s="28"/>
      <c r="D4" s="28"/>
      <c r="E4" s="28"/>
      <c r="G4" s="45" t="s">
        <v>102</v>
      </c>
      <c r="L4" s="77" t="s">
        <v>94</v>
      </c>
      <c r="M4" s="77"/>
    </row>
    <row r="5" spans="1:13" x14ac:dyDescent="0.25">
      <c r="A5" s="28" t="s">
        <v>163</v>
      </c>
      <c r="B5" s="28"/>
      <c r="C5" s="28"/>
      <c r="D5" s="28"/>
      <c r="E5" s="28"/>
      <c r="L5" s="78" t="s">
        <v>95</v>
      </c>
      <c r="M5" s="78" t="s">
        <v>19</v>
      </c>
    </row>
    <row r="6" spans="1:13" x14ac:dyDescent="0.25">
      <c r="A6" s="28" t="s">
        <v>155</v>
      </c>
      <c r="B6" s="28"/>
      <c r="C6" s="28"/>
      <c r="D6" s="28"/>
      <c r="E6" s="28"/>
      <c r="L6" s="1" t="str" cm="1">
        <f t="array" ref="L6:L8">_xlfn._xlws.SORT(_xlfn.UNIQUE(D12:D41))</f>
        <v>Hot Wheels</v>
      </c>
      <c r="M6" s="1" t="str" cm="1">
        <f t="array" ref="M6:M8">_xlfn._xlws.SORT(_xlfn.UNIQUE(C12:C41))</f>
        <v>Cinderelli</v>
      </c>
    </row>
    <row r="7" spans="1:13" ht="15.75" x14ac:dyDescent="0.25">
      <c r="A7" s="30" t="s">
        <v>69</v>
      </c>
      <c r="B7" s="30"/>
      <c r="C7" s="30"/>
      <c r="D7" s="30"/>
      <c r="E7" s="27"/>
      <c r="G7" s="39" t="s">
        <v>42</v>
      </c>
      <c r="H7" s="39"/>
      <c r="L7" s="1" t="str">
        <v>LOL OMG Surprise</v>
      </c>
      <c r="M7" s="1" t="str">
        <v>Miles</v>
      </c>
    </row>
    <row r="8" spans="1:13" ht="15.75" x14ac:dyDescent="0.25">
      <c r="A8" s="30" t="s">
        <v>68</v>
      </c>
      <c r="B8" s="29"/>
      <c r="C8" s="30"/>
      <c r="D8" s="30"/>
      <c r="E8" s="27"/>
      <c r="G8" s="38" t="s">
        <v>20</v>
      </c>
      <c r="H8" s="38" t="s">
        <v>19</v>
      </c>
      <c r="L8" s="1" t="str">
        <v>LOL Surprise</v>
      </c>
      <c r="M8" s="1" t="str">
        <v>Tiana</v>
      </c>
    </row>
    <row r="9" spans="1:13" ht="15.75" x14ac:dyDescent="0.25">
      <c r="A9" s="46"/>
      <c r="B9" s="47"/>
      <c r="C9" s="47"/>
      <c r="D9" s="47"/>
      <c r="E9" s="47"/>
      <c r="G9" s="1" t="s">
        <v>29</v>
      </c>
      <c r="H9" s="1" t="s">
        <v>47</v>
      </c>
    </row>
    <row r="10" spans="1:13" ht="15.75" x14ac:dyDescent="0.25">
      <c r="G10" s="40" t="s">
        <v>64</v>
      </c>
      <c r="H10" s="48">
        <f>SUMIFS(RevenueDN,SalesRepDN,SalesRepCriteriaDN,ProductDN,ProductCriteriaDN)</f>
        <v>236161.57999999996</v>
      </c>
      <c r="J10" s="44" t="str">
        <f ca="1">IF(_xlfn.ISFORMULA(H10),_xlfn.FORMULATEXT(H10),"")</f>
        <v>=SUMIFS(RevenueDN,SalesRepDN,SalesRepCriteriaDN,ProductDN,ProductCriteriaDN)</v>
      </c>
      <c r="K10" s="8"/>
    </row>
    <row r="11" spans="1:13" ht="15.75" x14ac:dyDescent="0.25">
      <c r="A11" s="65" t="s">
        <v>1</v>
      </c>
      <c r="B11" s="66" t="s">
        <v>18</v>
      </c>
      <c r="C11" s="66" t="s">
        <v>19</v>
      </c>
      <c r="D11" s="66" t="s">
        <v>20</v>
      </c>
      <c r="E11" s="67" t="s">
        <v>21</v>
      </c>
    </row>
    <row r="12" spans="1:13" ht="21" x14ac:dyDescent="0.35">
      <c r="A12" s="68">
        <v>45162</v>
      </c>
      <c r="B12" s="69" t="s">
        <v>24</v>
      </c>
      <c r="C12" s="69" t="s">
        <v>47</v>
      </c>
      <c r="D12" s="69" t="s">
        <v>29</v>
      </c>
      <c r="E12" s="70">
        <v>23935.3</v>
      </c>
      <c r="G12" s="60" t="s">
        <v>70</v>
      </c>
    </row>
    <row r="13" spans="1:13" x14ac:dyDescent="0.25">
      <c r="A13" s="71">
        <v>45161</v>
      </c>
      <c r="B13" s="72" t="s">
        <v>24</v>
      </c>
      <c r="C13" s="72" t="s">
        <v>45</v>
      </c>
      <c r="D13" s="72" t="s">
        <v>27</v>
      </c>
      <c r="E13" s="73">
        <v>46241.84</v>
      </c>
    </row>
    <row r="14" spans="1:13" x14ac:dyDescent="0.25">
      <c r="A14" s="68">
        <v>45145</v>
      </c>
      <c r="B14" s="69" t="s">
        <v>25</v>
      </c>
      <c r="C14" s="69" t="s">
        <v>2</v>
      </c>
      <c r="D14" s="69" t="s">
        <v>27</v>
      </c>
      <c r="E14" s="70">
        <v>20003.13</v>
      </c>
      <c r="G14" s="49" t="s">
        <v>18</v>
      </c>
      <c r="H14" s="51" t="s">
        <v>64</v>
      </c>
    </row>
    <row r="15" spans="1:13" ht="15.75" x14ac:dyDescent="0.25">
      <c r="A15" s="71">
        <v>45149</v>
      </c>
      <c r="B15" s="72" t="s">
        <v>25</v>
      </c>
      <c r="C15" s="72" t="s">
        <v>2</v>
      </c>
      <c r="D15" s="72" t="s">
        <v>29</v>
      </c>
      <c r="E15" s="73">
        <v>24148.61</v>
      </c>
      <c r="G15" s="50" t="s">
        <v>24</v>
      </c>
      <c r="H15" s="52">
        <f>SUMIFS(RevenueDN,ProductDN,ProductCriteriaDN,SalesRepDN,SalesRepCriteriaDN,RegionDN,RegionRev5[[#This Row],[Region]])</f>
        <v>113992.10999999999</v>
      </c>
      <c r="J15" s="44" t="str">
        <f ca="1">IF(_xlfn.ISFORMULA(H15),_xlfn.FORMULATEXT(H15),"")</f>
        <v>=SUMIFS(RevenueDN,ProductDN,ProductCriteriaDN,SalesRepDN,SalesRepCriteriaDN,RegionDN,[@Region])</v>
      </c>
    </row>
    <row r="16" spans="1:13" ht="15.75" x14ac:dyDescent="0.25">
      <c r="A16" s="68">
        <v>45164</v>
      </c>
      <c r="B16" s="69" t="s">
        <v>24</v>
      </c>
      <c r="C16" s="69" t="s">
        <v>47</v>
      </c>
      <c r="D16" s="69" t="s">
        <v>29</v>
      </c>
      <c r="E16" s="70">
        <v>43173.32</v>
      </c>
      <c r="G16" s="50" t="s">
        <v>65</v>
      </c>
      <c r="H16" s="52">
        <f>SUMIFS(RevenueDN,ProductDN,ProductCriteriaDN,SalesRepDN,SalesRepCriteriaDN,RegionDN,RegionRev5[[#This Row],[Region]])</f>
        <v>34664.89</v>
      </c>
      <c r="J16" s="30" t="s">
        <v>161</v>
      </c>
      <c r="K16" s="28"/>
      <c r="L16" s="28"/>
    </row>
    <row r="17" spans="1:8" x14ac:dyDescent="0.25">
      <c r="A17" s="71">
        <v>45160</v>
      </c>
      <c r="B17" s="72" t="s">
        <v>23</v>
      </c>
      <c r="C17" s="72" t="s">
        <v>47</v>
      </c>
      <c r="D17" s="72" t="s">
        <v>28</v>
      </c>
      <c r="E17" s="73">
        <v>23553.65</v>
      </c>
      <c r="G17" s="50" t="s">
        <v>23</v>
      </c>
      <c r="H17" s="52">
        <f>SUMIFS(RevenueDN,ProductDN,ProductCriteriaDN,SalesRepDN,SalesRepCriteriaDN,RegionDN,RegionRev5[[#This Row],[Region]])</f>
        <v>19825.72</v>
      </c>
    </row>
    <row r="18" spans="1:8" x14ac:dyDescent="0.25">
      <c r="A18" s="68">
        <v>45164</v>
      </c>
      <c r="B18" s="69" t="s">
        <v>25</v>
      </c>
      <c r="C18" s="69" t="s">
        <v>2</v>
      </c>
      <c r="D18" s="69" t="s">
        <v>29</v>
      </c>
      <c r="E18" s="70">
        <v>26863.98</v>
      </c>
      <c r="G18" s="34" t="s">
        <v>25</v>
      </c>
      <c r="H18" s="53">
        <f>SUMIFS(RevenueDN,ProductDN,ProductCriteriaDN,SalesRepDN,SalesRepCriteriaDN,RegionDN,RegionRev5[[#This Row],[Region]])</f>
        <v>67678.86</v>
      </c>
    </row>
    <row r="19" spans="1:8" x14ac:dyDescent="0.25">
      <c r="A19" s="71">
        <v>45153</v>
      </c>
      <c r="B19" s="72" t="s">
        <v>65</v>
      </c>
      <c r="C19" s="72" t="s">
        <v>47</v>
      </c>
      <c r="D19" s="72" t="s">
        <v>28</v>
      </c>
      <c r="E19" s="73">
        <v>35320.76</v>
      </c>
    </row>
    <row r="20" spans="1:8" x14ac:dyDescent="0.25">
      <c r="A20" s="68">
        <v>45144</v>
      </c>
      <c r="B20" s="69" t="s">
        <v>25</v>
      </c>
      <c r="C20" s="69" t="s">
        <v>45</v>
      </c>
      <c r="D20" s="69" t="s">
        <v>29</v>
      </c>
      <c r="E20" s="70">
        <v>15196.59</v>
      </c>
      <c r="G20" s="10" t="s">
        <v>71</v>
      </c>
    </row>
    <row r="21" spans="1:8" x14ac:dyDescent="0.25">
      <c r="A21" s="71">
        <v>45149</v>
      </c>
      <c r="B21" s="72" t="s">
        <v>25</v>
      </c>
      <c r="C21" s="72" t="s">
        <v>2</v>
      </c>
      <c r="D21" s="72" t="s">
        <v>27</v>
      </c>
      <c r="E21" s="73">
        <v>48533.17</v>
      </c>
      <c r="G21" t="s">
        <v>72</v>
      </c>
    </row>
    <row r="22" spans="1:8" x14ac:dyDescent="0.25">
      <c r="A22" s="68">
        <v>45157</v>
      </c>
      <c r="B22" s="69" t="s">
        <v>23</v>
      </c>
      <c r="C22" s="69" t="s">
        <v>45</v>
      </c>
      <c r="D22" s="69" t="s">
        <v>27</v>
      </c>
      <c r="E22" s="70">
        <v>30517.67</v>
      </c>
      <c r="G22" t="s">
        <v>73</v>
      </c>
    </row>
    <row r="23" spans="1:8" x14ac:dyDescent="0.25">
      <c r="A23" s="71">
        <v>45148</v>
      </c>
      <c r="B23" s="72" t="s">
        <v>23</v>
      </c>
      <c r="C23" s="72" t="s">
        <v>2</v>
      </c>
      <c r="D23" s="72" t="s">
        <v>28</v>
      </c>
      <c r="E23" s="73">
        <v>22962.38</v>
      </c>
      <c r="G23" t="s">
        <v>74</v>
      </c>
    </row>
    <row r="24" spans="1:8" x14ac:dyDescent="0.25">
      <c r="A24" s="68">
        <v>45143</v>
      </c>
      <c r="B24" s="69" t="s">
        <v>25</v>
      </c>
      <c r="C24" s="69" t="s">
        <v>45</v>
      </c>
      <c r="D24" s="69" t="s">
        <v>28</v>
      </c>
      <c r="E24" s="70">
        <v>26230.06</v>
      </c>
    </row>
    <row r="25" spans="1:8" x14ac:dyDescent="0.25">
      <c r="A25" s="71">
        <v>45149</v>
      </c>
      <c r="B25" s="72" t="s">
        <v>65</v>
      </c>
      <c r="C25" s="72" t="s">
        <v>45</v>
      </c>
      <c r="D25" s="72" t="s">
        <v>27</v>
      </c>
      <c r="E25" s="73">
        <v>34445.910000000003</v>
      </c>
      <c r="G25" t="s">
        <v>75</v>
      </c>
    </row>
    <row r="26" spans="1:8" x14ac:dyDescent="0.25">
      <c r="A26" s="68">
        <v>45148</v>
      </c>
      <c r="B26" s="69" t="s">
        <v>65</v>
      </c>
      <c r="C26" s="69" t="s">
        <v>45</v>
      </c>
      <c r="D26" s="69" t="s">
        <v>28</v>
      </c>
      <c r="E26" s="70">
        <v>41175.589999999997</v>
      </c>
    </row>
    <row r="27" spans="1:8" x14ac:dyDescent="0.25">
      <c r="A27" s="71">
        <v>45156</v>
      </c>
      <c r="B27" s="72" t="s">
        <v>25</v>
      </c>
      <c r="C27" s="72" t="s">
        <v>2</v>
      </c>
      <c r="D27" s="72" t="s">
        <v>28</v>
      </c>
      <c r="E27" s="73">
        <v>28456.15</v>
      </c>
    </row>
    <row r="28" spans="1:8" x14ac:dyDescent="0.25">
      <c r="A28" s="68">
        <v>45168</v>
      </c>
      <c r="B28" s="69" t="s">
        <v>24</v>
      </c>
      <c r="C28" s="69" t="s">
        <v>47</v>
      </c>
      <c r="D28" s="69" t="s">
        <v>29</v>
      </c>
      <c r="E28" s="70">
        <v>46883.49</v>
      </c>
    </row>
    <row r="29" spans="1:8" x14ac:dyDescent="0.25">
      <c r="A29" s="71">
        <v>45152</v>
      </c>
      <c r="B29" s="72" t="s">
        <v>25</v>
      </c>
      <c r="C29" s="72" t="s">
        <v>47</v>
      </c>
      <c r="D29" s="72" t="s">
        <v>29</v>
      </c>
      <c r="E29" s="73">
        <v>48675.77</v>
      </c>
    </row>
    <row r="30" spans="1:8" x14ac:dyDescent="0.25">
      <c r="A30" s="68">
        <v>45144</v>
      </c>
      <c r="B30" s="69" t="s">
        <v>23</v>
      </c>
      <c r="C30" s="69" t="s">
        <v>2</v>
      </c>
      <c r="D30" s="69" t="s">
        <v>27</v>
      </c>
      <c r="E30" s="70">
        <v>19604.95</v>
      </c>
    </row>
    <row r="31" spans="1:8" x14ac:dyDescent="0.25">
      <c r="A31" s="71">
        <v>45158</v>
      </c>
      <c r="B31" s="72" t="s">
        <v>23</v>
      </c>
      <c r="C31" s="72" t="s">
        <v>47</v>
      </c>
      <c r="D31" s="72" t="s">
        <v>27</v>
      </c>
      <c r="E31" s="73">
        <v>48922.29</v>
      </c>
    </row>
    <row r="32" spans="1:8" x14ac:dyDescent="0.25">
      <c r="A32" s="68">
        <v>45169</v>
      </c>
      <c r="B32" s="69" t="s">
        <v>25</v>
      </c>
      <c r="C32" s="69" t="s">
        <v>2</v>
      </c>
      <c r="D32" s="69" t="s">
        <v>29</v>
      </c>
      <c r="E32" s="70">
        <v>42727.99</v>
      </c>
    </row>
    <row r="33" spans="1:5" x14ac:dyDescent="0.25">
      <c r="A33" s="71">
        <v>45140</v>
      </c>
      <c r="B33" s="72" t="s">
        <v>24</v>
      </c>
      <c r="C33" s="72" t="s">
        <v>45</v>
      </c>
      <c r="D33" s="72" t="s">
        <v>28</v>
      </c>
      <c r="E33" s="73">
        <v>21408.69</v>
      </c>
    </row>
    <row r="34" spans="1:5" x14ac:dyDescent="0.25">
      <c r="A34" s="68">
        <v>45141</v>
      </c>
      <c r="B34" s="69" t="s">
        <v>24</v>
      </c>
      <c r="C34" s="69" t="s">
        <v>45</v>
      </c>
      <c r="D34" s="69" t="s">
        <v>27</v>
      </c>
      <c r="E34" s="70">
        <v>24455.63</v>
      </c>
    </row>
    <row r="35" spans="1:5" x14ac:dyDescent="0.25">
      <c r="A35" s="71">
        <v>45146</v>
      </c>
      <c r="B35" s="72" t="s">
        <v>65</v>
      </c>
      <c r="C35" s="72" t="s">
        <v>2</v>
      </c>
      <c r="D35" s="72" t="s">
        <v>29</v>
      </c>
      <c r="E35" s="73">
        <v>28107.26</v>
      </c>
    </row>
    <row r="36" spans="1:5" x14ac:dyDescent="0.25">
      <c r="A36" s="68">
        <v>45164</v>
      </c>
      <c r="B36" s="69" t="s">
        <v>24</v>
      </c>
      <c r="C36" s="69" t="s">
        <v>45</v>
      </c>
      <c r="D36" s="69" t="s">
        <v>29</v>
      </c>
      <c r="E36" s="70">
        <v>45728.49</v>
      </c>
    </row>
    <row r="37" spans="1:5" x14ac:dyDescent="0.25">
      <c r="A37" s="71">
        <v>45146</v>
      </c>
      <c r="B37" s="72" t="s">
        <v>65</v>
      </c>
      <c r="C37" s="72" t="s">
        <v>47</v>
      </c>
      <c r="D37" s="72" t="s">
        <v>29</v>
      </c>
      <c r="E37" s="73">
        <v>34664.89</v>
      </c>
    </row>
    <row r="38" spans="1:5" x14ac:dyDescent="0.25">
      <c r="A38" s="68">
        <v>45166</v>
      </c>
      <c r="B38" s="69" t="s">
        <v>23</v>
      </c>
      <c r="C38" s="69" t="s">
        <v>47</v>
      </c>
      <c r="D38" s="69" t="s">
        <v>29</v>
      </c>
      <c r="E38" s="70">
        <v>19825.72</v>
      </c>
    </row>
    <row r="39" spans="1:5" x14ac:dyDescent="0.25">
      <c r="A39" s="71">
        <v>45140</v>
      </c>
      <c r="B39" s="72" t="s">
        <v>25</v>
      </c>
      <c r="C39" s="72" t="s">
        <v>47</v>
      </c>
      <c r="D39" s="72" t="s">
        <v>27</v>
      </c>
      <c r="E39" s="73">
        <v>38828.720000000001</v>
      </c>
    </row>
    <row r="40" spans="1:5" x14ac:dyDescent="0.25">
      <c r="A40" s="68">
        <v>45166</v>
      </c>
      <c r="B40" s="69" t="s">
        <v>24</v>
      </c>
      <c r="C40" s="69" t="s">
        <v>2</v>
      </c>
      <c r="D40" s="69" t="s">
        <v>27</v>
      </c>
      <c r="E40" s="70">
        <v>33850.26</v>
      </c>
    </row>
    <row r="41" spans="1:5" x14ac:dyDescent="0.25">
      <c r="A41" s="74">
        <v>45164</v>
      </c>
      <c r="B41" s="75" t="s">
        <v>25</v>
      </c>
      <c r="C41" s="75" t="s">
        <v>47</v>
      </c>
      <c r="D41" s="75" t="s">
        <v>29</v>
      </c>
      <c r="E41" s="76">
        <v>19003.09</v>
      </c>
    </row>
  </sheetData>
  <dataValidations count="2">
    <dataValidation type="list" allowBlank="1" showInputMessage="1" showErrorMessage="1" sqref="G9" xr:uid="{0B5B12D3-4BA6-4D93-8F0A-5DF700240E5F}">
      <formula1>$L$6:$L$8</formula1>
    </dataValidation>
    <dataValidation type="list" allowBlank="1" showInputMessage="1" showErrorMessage="1" sqref="H9" xr:uid="{86DD29E5-7032-4189-A73D-7EE24275559A}">
      <formula1>$M$6:$M$8</formula1>
    </dataValidation>
  </dataValidations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02B97-D12F-499E-823B-157B24012760}">
  <sheetPr>
    <tabColor rgb="FFFFFF00"/>
  </sheetPr>
  <dimension ref="A1:T41"/>
  <sheetViews>
    <sheetView workbookViewId="0"/>
  </sheetViews>
  <sheetFormatPr defaultRowHeight="15" x14ac:dyDescent="0.25"/>
  <cols>
    <col min="1" max="1" width="17" customWidth="1"/>
    <col min="2" max="2" width="11.7109375" customWidth="1"/>
    <col min="3" max="3" width="17" customWidth="1"/>
    <col min="4" max="4" width="19.5703125" customWidth="1"/>
    <col min="5" max="5" width="16.42578125" customWidth="1"/>
    <col min="6" max="6" width="5.85546875" customWidth="1"/>
    <col min="7" max="7" width="17.28515625" customWidth="1"/>
    <col min="8" max="8" width="25.28515625" customWidth="1"/>
    <col min="9" max="9" width="3.85546875" customWidth="1"/>
    <col min="10" max="10" width="49.28515625" customWidth="1"/>
    <col min="11" max="11" width="6.28515625" customWidth="1"/>
    <col min="12" max="12" width="15.7109375" customWidth="1"/>
    <col min="13" max="13" width="15.42578125" customWidth="1"/>
    <col min="17" max="17" width="9.5703125" bestFit="1" customWidth="1"/>
    <col min="18" max="18" width="11.5703125" customWidth="1"/>
    <col min="19" max="19" width="19.7109375" customWidth="1"/>
    <col min="20" max="20" width="17.28515625" customWidth="1"/>
  </cols>
  <sheetData>
    <row r="1" spans="1:20" ht="21" x14ac:dyDescent="0.35">
      <c r="A1" s="7" t="s">
        <v>156</v>
      </c>
      <c r="B1" s="6"/>
      <c r="C1" s="6"/>
      <c r="D1" s="6"/>
      <c r="E1" s="6"/>
      <c r="F1" s="6"/>
      <c r="G1" s="6"/>
      <c r="H1" s="6"/>
    </row>
    <row r="2" spans="1:20" ht="15.75" x14ac:dyDescent="0.25">
      <c r="A2" s="29" t="s">
        <v>52</v>
      </c>
      <c r="B2" s="27" t="s">
        <v>7</v>
      </c>
      <c r="C2" s="28" t="s">
        <v>86</v>
      </c>
      <c r="D2" s="28"/>
      <c r="E2" s="28"/>
    </row>
    <row r="3" spans="1:20" ht="15.75" x14ac:dyDescent="0.25">
      <c r="A3" s="30" t="s">
        <v>154</v>
      </c>
      <c r="B3" s="30"/>
      <c r="C3" s="30"/>
      <c r="D3" s="30"/>
      <c r="E3" s="28"/>
      <c r="G3" s="46" t="s">
        <v>55</v>
      </c>
      <c r="H3" s="45" t="s">
        <v>56</v>
      </c>
    </row>
    <row r="4" spans="1:20" ht="15.75" x14ac:dyDescent="0.25">
      <c r="A4" s="28" t="s">
        <v>162</v>
      </c>
      <c r="B4" s="28"/>
      <c r="C4" s="28"/>
      <c r="D4" s="28"/>
      <c r="E4" s="28"/>
      <c r="G4" s="45" t="s">
        <v>102</v>
      </c>
    </row>
    <row r="5" spans="1:20" ht="15.75" x14ac:dyDescent="0.25">
      <c r="A5" s="30" t="s">
        <v>69</v>
      </c>
      <c r="B5" s="30"/>
      <c r="C5" s="30"/>
      <c r="D5" s="30"/>
      <c r="E5" s="27"/>
    </row>
    <row r="6" spans="1:20" ht="15.75" x14ac:dyDescent="0.25">
      <c r="A6" s="30" t="s">
        <v>68</v>
      </c>
      <c r="B6" s="29"/>
      <c r="C6" s="30"/>
      <c r="D6" s="30"/>
      <c r="E6" s="27"/>
    </row>
    <row r="7" spans="1:20" x14ac:dyDescent="0.25">
      <c r="A7" s="10"/>
      <c r="G7" s="39" t="s">
        <v>42</v>
      </c>
      <c r="H7" s="39"/>
      <c r="S7" s="161" t="s">
        <v>94</v>
      </c>
      <c r="T7" s="162"/>
    </row>
    <row r="8" spans="1:20" ht="15.75" x14ac:dyDescent="0.25">
      <c r="B8" s="10"/>
      <c r="G8" s="38" t="s">
        <v>20</v>
      </c>
      <c r="H8" s="38" t="s">
        <v>19</v>
      </c>
      <c r="S8" s="38" t="s">
        <v>95</v>
      </c>
      <c r="T8" s="38" t="s">
        <v>19</v>
      </c>
    </row>
    <row r="9" spans="1:20" ht="22.15" customHeight="1" x14ac:dyDescent="0.25">
      <c r="A9" s="46"/>
      <c r="B9" s="47"/>
      <c r="C9" s="47"/>
      <c r="D9" s="47"/>
      <c r="E9" s="47"/>
      <c r="G9" s="1" t="s">
        <v>29</v>
      </c>
      <c r="H9" s="1" t="s">
        <v>2</v>
      </c>
      <c r="S9" s="85" t="str" cm="1">
        <f t="array" ref="S9:S12">_xlfn._xlws.SORT(_xlfn.UNIQUE(ProductDNans))</f>
        <v>Hot Wheels</v>
      </c>
      <c r="T9" s="85" t="str" cm="1">
        <f t="array" ref="T9:T12">_xlfn._xlws.SORT(_xlfn.UNIQUE(SalesRepDNans))</f>
        <v>Cinderelli</v>
      </c>
    </row>
    <row r="10" spans="1:20" ht="15.75" x14ac:dyDescent="0.25">
      <c r="G10" s="40" t="s">
        <v>64</v>
      </c>
      <c r="H10" s="48">
        <f>SUMIFS(RevenueDNans,ProductDNans,ProductCriteriaDNans,SalesRepDNans,SalesRepCriteriaDNans)</f>
        <v>121847.83999999998</v>
      </c>
      <c r="J10" s="44" t="str">
        <f ca="1">IF(_xlfn.ISFORMULA(H10),_xlfn.FORMULATEXT(H10),"")</f>
        <v>=SUMIFS(RevenueDNans,ProductDNans,ProductCriteriaDNans,SalesRepDNans,SalesRepCriteriaDNans)</v>
      </c>
      <c r="K10" s="8"/>
      <c r="S10" s="85" t="str">
        <v>LOL OMG Surprise</v>
      </c>
      <c r="T10" s="85" t="str">
        <v>Miles</v>
      </c>
    </row>
    <row r="11" spans="1:20" ht="15.75" x14ac:dyDescent="0.25">
      <c r="A11" s="65" t="s">
        <v>1</v>
      </c>
      <c r="B11" s="66" t="s">
        <v>18</v>
      </c>
      <c r="C11" s="66" t="s">
        <v>19</v>
      </c>
      <c r="D11" s="66" t="s">
        <v>20</v>
      </c>
      <c r="E11" s="67" t="s">
        <v>21</v>
      </c>
      <c r="S11" s="85" t="str">
        <v>LOL Surprise</v>
      </c>
      <c r="T11" s="85" t="str">
        <v>SalesRep</v>
      </c>
    </row>
    <row r="12" spans="1:20" x14ac:dyDescent="0.25">
      <c r="A12" s="68">
        <v>45162</v>
      </c>
      <c r="B12" s="69" t="s">
        <v>24</v>
      </c>
      <c r="C12" s="69" t="s">
        <v>47</v>
      </c>
      <c r="D12" s="69" t="s">
        <v>29</v>
      </c>
      <c r="E12" s="70">
        <v>23935.3</v>
      </c>
      <c r="S12" s="85" t="str">
        <v>Product</v>
      </c>
      <c r="T12" s="85" t="str">
        <v>Tiana</v>
      </c>
    </row>
    <row r="13" spans="1:20" ht="21" x14ac:dyDescent="0.35">
      <c r="A13" s="71">
        <v>45161</v>
      </c>
      <c r="B13" s="72" t="s">
        <v>24</v>
      </c>
      <c r="C13" s="72" t="s">
        <v>45</v>
      </c>
      <c r="D13" s="72" t="s">
        <v>27</v>
      </c>
      <c r="E13" s="73">
        <v>46241.84</v>
      </c>
      <c r="G13" s="60" t="s">
        <v>70</v>
      </c>
    </row>
    <row r="14" spans="1:20" x14ac:dyDescent="0.25">
      <c r="A14" s="68">
        <v>45145</v>
      </c>
      <c r="B14" s="69" t="s">
        <v>25</v>
      </c>
      <c r="C14" s="69" t="s">
        <v>2</v>
      </c>
      <c r="D14" s="69" t="s">
        <v>27</v>
      </c>
      <c r="E14" s="70">
        <v>20003.13</v>
      </c>
    </row>
    <row r="15" spans="1:20" x14ac:dyDescent="0.25">
      <c r="A15" s="71">
        <v>45149</v>
      </c>
      <c r="B15" s="72" t="s">
        <v>25</v>
      </c>
      <c r="C15" s="72" t="s">
        <v>2</v>
      </c>
      <c r="D15" s="72" t="s">
        <v>29</v>
      </c>
      <c r="E15" s="73">
        <v>24148.61</v>
      </c>
      <c r="G15" s="49" t="s">
        <v>18</v>
      </c>
      <c r="H15" s="51" t="s">
        <v>64</v>
      </c>
    </row>
    <row r="16" spans="1:20" ht="15.75" x14ac:dyDescent="0.25">
      <c r="A16" s="68">
        <v>45164</v>
      </c>
      <c r="B16" s="69" t="s">
        <v>24</v>
      </c>
      <c r="C16" s="69" t="s">
        <v>47</v>
      </c>
      <c r="D16" s="69" t="s">
        <v>29</v>
      </c>
      <c r="E16" s="70">
        <v>43173.32</v>
      </c>
      <c r="G16" s="50" t="s">
        <v>24</v>
      </c>
      <c r="H16" s="52">
        <f>SUMIFS(RevenueDNans,ProductDNans,ProductCriteriaDNans,SalesRepDNans,SalesRepCriteriaDNans,RegionDNans,RegionRev522[[#This Row],[Region]])</f>
        <v>0</v>
      </c>
      <c r="J16" s="44" t="str">
        <f ca="1">IF(_xlfn.ISFORMULA(H16),_xlfn.FORMULATEXT(H16),"")</f>
        <v>=SUMIFS(RevenueDNans,ProductDNans,ProductCriteriaDNans,SalesRepDNans,SalesRepCriteriaDNans,RegionDNans,[@Region])</v>
      </c>
    </row>
    <row r="17" spans="1:17" x14ac:dyDescent="0.25">
      <c r="A17" s="71">
        <v>45160</v>
      </c>
      <c r="B17" s="72" t="s">
        <v>23</v>
      </c>
      <c r="C17" s="72" t="s">
        <v>47</v>
      </c>
      <c r="D17" s="72" t="s">
        <v>28</v>
      </c>
      <c r="E17" s="73">
        <v>23553.65</v>
      </c>
      <c r="G17" s="50" t="s">
        <v>65</v>
      </c>
      <c r="H17" s="52">
        <f>SUMIFS(RevenueDNans,ProductDNans,ProductCriteriaDNans,SalesRepDNans,SalesRepCriteriaDNans,RegionDNans,RegionRev522[[#This Row],[Region]])</f>
        <v>28107.26</v>
      </c>
    </row>
    <row r="18" spans="1:17" ht="15.75" x14ac:dyDescent="0.25">
      <c r="A18" s="68">
        <v>45164</v>
      </c>
      <c r="B18" s="69" t="s">
        <v>25</v>
      </c>
      <c r="C18" s="69" t="s">
        <v>2</v>
      </c>
      <c r="D18" s="69" t="s">
        <v>29</v>
      </c>
      <c r="E18" s="70">
        <v>26863.98</v>
      </c>
      <c r="G18" s="50" t="s">
        <v>23</v>
      </c>
      <c r="H18" s="52">
        <f>SUMIFS(RevenueDNans,ProductDNans,ProductCriteriaDNans,SalesRepDNans,SalesRepCriteriaDNans,RegionDNans,RegionRev522[[#This Row],[Region]])</f>
        <v>0</v>
      </c>
      <c r="J18" s="30" t="s">
        <v>87</v>
      </c>
      <c r="K18" s="28"/>
      <c r="M18" s="63" t="s">
        <v>78</v>
      </c>
      <c r="N18" s="63"/>
      <c r="O18" s="26"/>
      <c r="P18" s="26"/>
      <c r="Q18" s="26"/>
    </row>
    <row r="19" spans="1:17" x14ac:dyDescent="0.25">
      <c r="A19" s="71">
        <v>45153</v>
      </c>
      <c r="B19" s="72" t="s">
        <v>65</v>
      </c>
      <c r="C19" s="72" t="s">
        <v>47</v>
      </c>
      <c r="D19" s="72" t="s">
        <v>28</v>
      </c>
      <c r="E19" s="73">
        <v>35320.76</v>
      </c>
      <c r="G19" s="34" t="s">
        <v>25</v>
      </c>
      <c r="H19" s="53">
        <f>SUMIFS(RevenueDNans,ProductDNans,ProductCriteriaDNans,SalesRepDNans,SalesRepCriteriaDNans,RegionDNans,RegionRev522[[#This Row],[Region]])</f>
        <v>93740.579999999987</v>
      </c>
      <c r="M19" s="63" t="s">
        <v>81</v>
      </c>
      <c r="N19" s="63"/>
      <c r="O19" s="26"/>
      <c r="P19" s="26"/>
      <c r="Q19" s="26"/>
    </row>
    <row r="20" spans="1:17" x14ac:dyDescent="0.25">
      <c r="A20" s="68">
        <v>45144</v>
      </c>
      <c r="B20" s="69" t="s">
        <v>25</v>
      </c>
      <c r="C20" s="69" t="s">
        <v>45</v>
      </c>
      <c r="D20" s="69" t="s">
        <v>29</v>
      </c>
      <c r="E20" s="70">
        <v>15196.59</v>
      </c>
      <c r="M20" s="63" t="s">
        <v>79</v>
      </c>
      <c r="N20" s="63"/>
      <c r="O20" s="26"/>
      <c r="P20" s="26"/>
      <c r="Q20" s="26"/>
    </row>
    <row r="21" spans="1:17" x14ac:dyDescent="0.25">
      <c r="A21" s="71">
        <v>45149</v>
      </c>
      <c r="B21" s="72" t="s">
        <v>25</v>
      </c>
      <c r="C21" s="72" t="s">
        <v>2</v>
      </c>
      <c r="D21" s="72" t="s">
        <v>27</v>
      </c>
      <c r="E21" s="73">
        <v>48533.17</v>
      </c>
      <c r="G21" s="10" t="s">
        <v>71</v>
      </c>
      <c r="M21" s="63" t="s">
        <v>80</v>
      </c>
      <c r="N21" s="63"/>
      <c r="O21" s="26"/>
      <c r="P21" s="26"/>
      <c r="Q21" s="26"/>
    </row>
    <row r="22" spans="1:17" x14ac:dyDescent="0.25">
      <c r="A22" s="68">
        <v>45157</v>
      </c>
      <c r="B22" s="69" t="s">
        <v>23</v>
      </c>
      <c r="C22" s="69" t="s">
        <v>45</v>
      </c>
      <c r="D22" s="69" t="s">
        <v>27</v>
      </c>
      <c r="E22" s="70">
        <v>30517.67</v>
      </c>
      <c r="G22" t="s">
        <v>72</v>
      </c>
    </row>
    <row r="23" spans="1:17" x14ac:dyDescent="0.25">
      <c r="A23" s="71">
        <v>45148</v>
      </c>
      <c r="B23" s="72" t="s">
        <v>23</v>
      </c>
      <c r="C23" s="72" t="s">
        <v>2</v>
      </c>
      <c r="D23" s="72" t="s">
        <v>28</v>
      </c>
      <c r="E23" s="73">
        <v>22962.38</v>
      </c>
      <c r="G23" t="s">
        <v>73</v>
      </c>
    </row>
    <row r="24" spans="1:17" x14ac:dyDescent="0.25">
      <c r="A24" s="68">
        <v>45143</v>
      </c>
      <c r="B24" s="69" t="s">
        <v>25</v>
      </c>
      <c r="C24" s="69" t="s">
        <v>45</v>
      </c>
      <c r="D24" s="69" t="s">
        <v>28</v>
      </c>
      <c r="E24" s="70">
        <v>26230.06</v>
      </c>
      <c r="G24" t="s">
        <v>74</v>
      </c>
      <c r="H24" s="8"/>
    </row>
    <row r="25" spans="1:17" x14ac:dyDescent="0.25">
      <c r="A25" s="71">
        <v>45149</v>
      </c>
      <c r="B25" s="72" t="s">
        <v>65</v>
      </c>
      <c r="C25" s="72" t="s">
        <v>45</v>
      </c>
      <c r="D25" s="72" t="s">
        <v>27</v>
      </c>
      <c r="E25" s="73">
        <v>34445.910000000003</v>
      </c>
    </row>
    <row r="26" spans="1:17" x14ac:dyDescent="0.25">
      <c r="A26" s="68">
        <v>45148</v>
      </c>
      <c r="B26" s="69" t="s">
        <v>65</v>
      </c>
      <c r="C26" s="69" t="s">
        <v>45</v>
      </c>
      <c r="D26" s="69" t="s">
        <v>28</v>
      </c>
      <c r="E26" s="70">
        <v>41175.589999999997</v>
      </c>
      <c r="G26" t="s">
        <v>75</v>
      </c>
    </row>
    <row r="27" spans="1:17" x14ac:dyDescent="0.25">
      <c r="A27" s="71">
        <v>45156</v>
      </c>
      <c r="B27" s="72" t="s">
        <v>25</v>
      </c>
      <c r="C27" s="72" t="s">
        <v>2</v>
      </c>
      <c r="D27" s="72" t="s">
        <v>28</v>
      </c>
      <c r="E27" s="73">
        <v>28456.15</v>
      </c>
    </row>
    <row r="28" spans="1:17" x14ac:dyDescent="0.25">
      <c r="A28" s="68">
        <v>45168</v>
      </c>
      <c r="B28" s="69" t="s">
        <v>24</v>
      </c>
      <c r="C28" s="69" t="s">
        <v>47</v>
      </c>
      <c r="D28" s="69" t="s">
        <v>29</v>
      </c>
      <c r="E28" s="70">
        <v>46883.49</v>
      </c>
    </row>
    <row r="29" spans="1:17" x14ac:dyDescent="0.25">
      <c r="A29" s="71">
        <v>45152</v>
      </c>
      <c r="B29" s="72" t="s">
        <v>25</v>
      </c>
      <c r="C29" s="72" t="s">
        <v>47</v>
      </c>
      <c r="D29" s="72" t="s">
        <v>29</v>
      </c>
      <c r="E29" s="73">
        <v>48675.77</v>
      </c>
    </row>
    <row r="30" spans="1:17" x14ac:dyDescent="0.25">
      <c r="A30" s="68">
        <v>45144</v>
      </c>
      <c r="B30" s="69" t="s">
        <v>23</v>
      </c>
      <c r="C30" s="69" t="s">
        <v>2</v>
      </c>
      <c r="D30" s="69" t="s">
        <v>27</v>
      </c>
      <c r="E30" s="70">
        <v>19604.95</v>
      </c>
    </row>
    <row r="31" spans="1:17" x14ac:dyDescent="0.25">
      <c r="A31" s="71">
        <v>45158</v>
      </c>
      <c r="B31" s="72" t="s">
        <v>23</v>
      </c>
      <c r="C31" s="72" t="s">
        <v>47</v>
      </c>
      <c r="D31" s="72" t="s">
        <v>27</v>
      </c>
      <c r="E31" s="73">
        <v>48922.29</v>
      </c>
    </row>
    <row r="32" spans="1:17" x14ac:dyDescent="0.25">
      <c r="A32" s="68">
        <v>45169</v>
      </c>
      <c r="B32" s="69" t="s">
        <v>25</v>
      </c>
      <c r="C32" s="69" t="s">
        <v>2</v>
      </c>
      <c r="D32" s="69" t="s">
        <v>29</v>
      </c>
      <c r="E32" s="70">
        <v>42727.99</v>
      </c>
    </row>
    <row r="33" spans="1:5" x14ac:dyDescent="0.25">
      <c r="A33" s="71">
        <v>45140</v>
      </c>
      <c r="B33" s="72" t="s">
        <v>24</v>
      </c>
      <c r="C33" s="72" t="s">
        <v>45</v>
      </c>
      <c r="D33" s="72" t="s">
        <v>28</v>
      </c>
      <c r="E33" s="73">
        <v>21408.69</v>
      </c>
    </row>
    <row r="34" spans="1:5" x14ac:dyDescent="0.25">
      <c r="A34" s="68">
        <v>45141</v>
      </c>
      <c r="B34" s="69" t="s">
        <v>24</v>
      </c>
      <c r="C34" s="69" t="s">
        <v>45</v>
      </c>
      <c r="D34" s="69" t="s">
        <v>27</v>
      </c>
      <c r="E34" s="70">
        <v>24455.63</v>
      </c>
    </row>
    <row r="35" spans="1:5" x14ac:dyDescent="0.25">
      <c r="A35" s="71">
        <v>45146</v>
      </c>
      <c r="B35" s="72" t="s">
        <v>65</v>
      </c>
      <c r="C35" s="72" t="s">
        <v>2</v>
      </c>
      <c r="D35" s="72" t="s">
        <v>29</v>
      </c>
      <c r="E35" s="73">
        <v>28107.26</v>
      </c>
    </row>
    <row r="36" spans="1:5" x14ac:dyDescent="0.25">
      <c r="A36" s="68">
        <v>45164</v>
      </c>
      <c r="B36" s="69" t="s">
        <v>24</v>
      </c>
      <c r="C36" s="69" t="s">
        <v>45</v>
      </c>
      <c r="D36" s="69" t="s">
        <v>29</v>
      </c>
      <c r="E36" s="70">
        <v>45728.49</v>
      </c>
    </row>
    <row r="37" spans="1:5" x14ac:dyDescent="0.25">
      <c r="A37" s="71">
        <v>45146</v>
      </c>
      <c r="B37" s="72" t="s">
        <v>65</v>
      </c>
      <c r="C37" s="72" t="s">
        <v>47</v>
      </c>
      <c r="D37" s="72" t="s">
        <v>29</v>
      </c>
      <c r="E37" s="73">
        <v>34664.89</v>
      </c>
    </row>
    <row r="38" spans="1:5" x14ac:dyDescent="0.25">
      <c r="A38" s="68">
        <v>45166</v>
      </c>
      <c r="B38" s="69" t="s">
        <v>23</v>
      </c>
      <c r="C38" s="69" t="s">
        <v>47</v>
      </c>
      <c r="D38" s="69" t="s">
        <v>29</v>
      </c>
      <c r="E38" s="70">
        <v>19825.72</v>
      </c>
    </row>
    <row r="39" spans="1:5" x14ac:dyDescent="0.25">
      <c r="A39" s="71">
        <v>45140</v>
      </c>
      <c r="B39" s="72" t="s">
        <v>25</v>
      </c>
      <c r="C39" s="72" t="s">
        <v>47</v>
      </c>
      <c r="D39" s="72" t="s">
        <v>27</v>
      </c>
      <c r="E39" s="73">
        <v>38828.720000000001</v>
      </c>
    </row>
    <row r="40" spans="1:5" x14ac:dyDescent="0.25">
      <c r="A40" s="68">
        <v>45166</v>
      </c>
      <c r="B40" s="69" t="s">
        <v>24</v>
      </c>
      <c r="C40" s="69" t="s">
        <v>2</v>
      </c>
      <c r="D40" s="69" t="s">
        <v>27</v>
      </c>
      <c r="E40" s="70">
        <v>33850.26</v>
      </c>
    </row>
    <row r="41" spans="1:5" x14ac:dyDescent="0.25">
      <c r="A41" s="74">
        <v>45164</v>
      </c>
      <c r="B41" s="75" t="s">
        <v>25</v>
      </c>
      <c r="C41" s="75" t="s">
        <v>47</v>
      </c>
      <c r="D41" s="75" t="s">
        <v>29</v>
      </c>
      <c r="E41" s="76">
        <v>19003.09</v>
      </c>
    </row>
  </sheetData>
  <mergeCells count="1">
    <mergeCell ref="S7:T7"/>
  </mergeCells>
  <dataValidations disablePrompts="1" count="2">
    <dataValidation type="list" allowBlank="1" showInputMessage="1" showErrorMessage="1" sqref="G9" xr:uid="{98CBC022-60CA-4A76-AAEE-81C84CA50ED1}">
      <formula1>$S$9:$S$12</formula1>
    </dataValidation>
    <dataValidation type="list" allowBlank="1" showInputMessage="1" showErrorMessage="1" sqref="H9" xr:uid="{D82E72CB-5715-4E0F-B5E5-AAEB8A50F9E9}">
      <formula1>$T$9:$T$12</formula1>
    </dataValidation>
  </dataValidations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7FCF0-EFBA-4695-B37C-AD3F3A9C8332}">
  <sheetPr>
    <tabColor rgb="FF7030A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F6A11-7FB4-46A3-93FD-2DE3B5C0E039}">
  <sheetPr>
    <tabColor rgb="FF0070C0"/>
  </sheetPr>
  <dimension ref="A1:N62"/>
  <sheetViews>
    <sheetView workbookViewId="0"/>
  </sheetViews>
  <sheetFormatPr defaultRowHeight="15" x14ac:dyDescent="0.25"/>
  <cols>
    <col min="1" max="1" width="17" customWidth="1"/>
    <col min="2" max="2" width="11.7109375" customWidth="1"/>
    <col min="3" max="3" width="17" customWidth="1"/>
    <col min="4" max="4" width="21.42578125" customWidth="1"/>
    <col min="5" max="5" width="16.42578125" customWidth="1"/>
    <col min="6" max="6" width="5.85546875" customWidth="1"/>
    <col min="7" max="7" width="17.28515625" customWidth="1"/>
    <col min="8" max="8" width="25.28515625" customWidth="1"/>
    <col min="9" max="9" width="3.85546875" customWidth="1"/>
    <col min="10" max="10" width="25.28515625" customWidth="1"/>
    <col min="11" max="11" width="20.5703125" customWidth="1"/>
    <col min="12" max="12" width="14" customWidth="1"/>
    <col min="13" max="13" width="15.42578125" customWidth="1"/>
    <col min="14" max="14" width="10.140625" bestFit="1" customWidth="1"/>
    <col min="17" max="17" width="9.5703125" bestFit="1" customWidth="1"/>
    <col min="18" max="18" width="11.5703125" customWidth="1"/>
  </cols>
  <sheetData>
    <row r="1" spans="1:12" ht="21" x14ac:dyDescent="0.35">
      <c r="A1" s="7" t="s">
        <v>172</v>
      </c>
      <c r="B1" s="6"/>
      <c r="C1" s="6"/>
      <c r="D1" s="6"/>
      <c r="E1" s="6"/>
      <c r="F1" s="6"/>
      <c r="G1" s="6"/>
      <c r="H1" s="6"/>
    </row>
    <row r="2" spans="1:12" ht="15.75" x14ac:dyDescent="0.25">
      <c r="A2" s="29" t="s">
        <v>52</v>
      </c>
      <c r="B2" s="30"/>
      <c r="C2" s="30"/>
      <c r="D2" s="30"/>
      <c r="E2" s="28"/>
      <c r="G2" s="46" t="s">
        <v>55</v>
      </c>
      <c r="H2" s="45" t="s">
        <v>56</v>
      </c>
    </row>
    <row r="3" spans="1:12" ht="15.75" x14ac:dyDescent="0.25">
      <c r="A3" s="30" t="s">
        <v>63</v>
      </c>
      <c r="B3" s="30"/>
      <c r="C3" s="30"/>
      <c r="D3" s="30"/>
      <c r="E3" s="28"/>
    </row>
    <row r="4" spans="1:12" ht="15.75" x14ac:dyDescent="0.25">
      <c r="A4" s="30" t="s">
        <v>166</v>
      </c>
      <c r="B4" s="27"/>
      <c r="C4" s="28"/>
      <c r="D4" s="28"/>
      <c r="E4" s="27"/>
      <c r="G4" s="39" t="s">
        <v>42</v>
      </c>
      <c r="H4" s="39"/>
    </row>
    <row r="5" spans="1:12" ht="15.75" x14ac:dyDescent="0.25">
      <c r="A5" s="30" t="s">
        <v>168</v>
      </c>
      <c r="B5" s="28"/>
      <c r="C5" s="28"/>
      <c r="D5" s="28"/>
      <c r="E5" s="27"/>
      <c r="G5" s="38" t="s">
        <v>20</v>
      </c>
      <c r="H5" s="38" t="s">
        <v>19</v>
      </c>
    </row>
    <row r="6" spans="1:12" ht="15.75" x14ac:dyDescent="0.25">
      <c r="A6" s="30" t="s">
        <v>53</v>
      </c>
      <c r="B6" s="28"/>
      <c r="C6" s="28"/>
      <c r="D6" s="28"/>
      <c r="E6" s="28"/>
      <c r="G6" s="1"/>
      <c r="H6" s="1"/>
    </row>
    <row r="7" spans="1:12" ht="15.75" x14ac:dyDescent="0.25">
      <c r="A7" s="30" t="s">
        <v>54</v>
      </c>
      <c r="B7" s="28"/>
      <c r="C7" s="28"/>
      <c r="D7" s="28"/>
      <c r="E7" s="28"/>
      <c r="G7" s="40" t="s">
        <v>43</v>
      </c>
      <c r="H7" s="14"/>
    </row>
    <row r="8" spans="1:12" ht="15.75" x14ac:dyDescent="0.25">
      <c r="A8" s="10" t="s">
        <v>5</v>
      </c>
      <c r="B8" t="s">
        <v>11</v>
      </c>
      <c r="J8" s="44" t="str">
        <f ca="1">IF(_xlfn.ISFORMULA(H7),_xlfn.FORMULATEXT(H7),"")</f>
        <v/>
      </c>
    </row>
    <row r="9" spans="1:12" ht="22.15" customHeight="1" x14ac:dyDescent="0.25">
      <c r="A9" s="46"/>
      <c r="B9" s="47"/>
      <c r="C9" s="47"/>
      <c r="D9" s="47"/>
      <c r="E9" s="47"/>
    </row>
    <row r="10" spans="1:12" ht="21" x14ac:dyDescent="0.35">
      <c r="G10" s="60" t="s">
        <v>70</v>
      </c>
      <c r="H10" s="60"/>
      <c r="K10" s="8"/>
    </row>
    <row r="11" spans="1:12" ht="15.75" x14ac:dyDescent="0.25">
      <c r="A11" s="65" t="s">
        <v>1</v>
      </c>
      <c r="B11" s="66" t="s">
        <v>18</v>
      </c>
      <c r="C11" s="66" t="s">
        <v>19</v>
      </c>
      <c r="D11" s="66" t="s">
        <v>20</v>
      </c>
      <c r="E11" s="67" t="s">
        <v>21</v>
      </c>
    </row>
    <row r="12" spans="1:12" x14ac:dyDescent="0.25">
      <c r="A12" s="68">
        <v>45162</v>
      </c>
      <c r="B12" s="69" t="s">
        <v>24</v>
      </c>
      <c r="C12" s="69" t="s">
        <v>47</v>
      </c>
      <c r="D12" s="69" t="s">
        <v>29</v>
      </c>
      <c r="E12" s="70">
        <v>23935.3</v>
      </c>
      <c r="G12" s="49" t="s">
        <v>18</v>
      </c>
      <c r="H12" s="51" t="s">
        <v>43</v>
      </c>
    </row>
    <row r="13" spans="1:12" ht="15.75" x14ac:dyDescent="0.25">
      <c r="A13" s="71">
        <v>45161</v>
      </c>
      <c r="B13" s="72" t="s">
        <v>24</v>
      </c>
      <c r="C13" s="72" t="s">
        <v>45</v>
      </c>
      <c r="D13" s="72" t="s">
        <v>27</v>
      </c>
      <c r="E13" s="73">
        <v>46241.84</v>
      </c>
      <c r="G13" s="50" t="s">
        <v>24</v>
      </c>
      <c r="H13" s="54"/>
      <c r="J13" s="44" t="str">
        <f ca="1">IF(_xlfn.ISFORMULA(H13),_xlfn.FORMULATEXT(H13),"")</f>
        <v/>
      </c>
    </row>
    <row r="14" spans="1:12" ht="15.75" x14ac:dyDescent="0.25">
      <c r="A14" s="68">
        <v>45145</v>
      </c>
      <c r="B14" s="69" t="s">
        <v>25</v>
      </c>
      <c r="C14" s="69" t="s">
        <v>2</v>
      </c>
      <c r="D14" s="69" t="s">
        <v>27</v>
      </c>
      <c r="E14" s="70">
        <v>20003.13</v>
      </c>
      <c r="G14" s="50" t="s">
        <v>65</v>
      </c>
      <c r="H14" s="54"/>
      <c r="J14" s="30" t="s">
        <v>165</v>
      </c>
      <c r="K14" s="28"/>
      <c r="L14" s="28"/>
    </row>
    <row r="15" spans="1:12" x14ac:dyDescent="0.25">
      <c r="A15" s="71">
        <v>45149</v>
      </c>
      <c r="B15" s="72" t="s">
        <v>25</v>
      </c>
      <c r="C15" s="72" t="s">
        <v>2</v>
      </c>
      <c r="D15" s="72" t="s">
        <v>29</v>
      </c>
      <c r="E15" s="73">
        <v>24148.61</v>
      </c>
      <c r="G15" s="50" t="s">
        <v>23</v>
      </c>
      <c r="H15" s="54"/>
    </row>
    <row r="16" spans="1:12" x14ac:dyDescent="0.25">
      <c r="A16" s="68">
        <v>45164</v>
      </c>
      <c r="B16" s="69" t="s">
        <v>24</v>
      </c>
      <c r="C16" s="69" t="s">
        <v>47</v>
      </c>
      <c r="D16" s="69" t="s">
        <v>29</v>
      </c>
      <c r="E16" s="70">
        <v>43173.32</v>
      </c>
      <c r="G16" s="34" t="s">
        <v>25</v>
      </c>
      <c r="H16" s="55"/>
    </row>
    <row r="17" spans="1:10" x14ac:dyDescent="0.25">
      <c r="A17" s="71">
        <v>45160</v>
      </c>
      <c r="B17" s="72" t="s">
        <v>23</v>
      </c>
      <c r="C17" s="72" t="s">
        <v>47</v>
      </c>
      <c r="D17" s="72" t="s">
        <v>28</v>
      </c>
      <c r="E17" s="73">
        <v>23553.65</v>
      </c>
    </row>
    <row r="18" spans="1:10" x14ac:dyDescent="0.25">
      <c r="A18" s="68">
        <v>45164</v>
      </c>
      <c r="B18" s="69" t="s">
        <v>25</v>
      </c>
      <c r="C18" s="69" t="s">
        <v>2</v>
      </c>
      <c r="D18" s="69" t="s">
        <v>29</v>
      </c>
      <c r="E18" s="70">
        <v>26863.98</v>
      </c>
      <c r="G18" s="10" t="s">
        <v>71</v>
      </c>
      <c r="J18" t="s">
        <v>167</v>
      </c>
    </row>
    <row r="19" spans="1:10" x14ac:dyDescent="0.25">
      <c r="A19" s="71">
        <v>45153</v>
      </c>
      <c r="B19" s="72" t="s">
        <v>65</v>
      </c>
      <c r="C19" s="72" t="s">
        <v>47</v>
      </c>
      <c r="D19" s="72" t="s">
        <v>28</v>
      </c>
      <c r="E19" s="73">
        <v>35320.76</v>
      </c>
      <c r="G19" t="s">
        <v>72</v>
      </c>
    </row>
    <row r="20" spans="1:10" x14ac:dyDescent="0.25">
      <c r="A20" s="68">
        <v>45144</v>
      </c>
      <c r="B20" s="69" t="s">
        <v>25</v>
      </c>
      <c r="C20" s="69" t="s">
        <v>45</v>
      </c>
      <c r="D20" s="69" t="s">
        <v>29</v>
      </c>
      <c r="E20" s="70">
        <v>15196.59</v>
      </c>
      <c r="G20" t="s">
        <v>73</v>
      </c>
    </row>
    <row r="21" spans="1:10" x14ac:dyDescent="0.25">
      <c r="A21" s="71">
        <v>45149</v>
      </c>
      <c r="B21" s="72" t="s">
        <v>25</v>
      </c>
      <c r="C21" s="72" t="s">
        <v>2</v>
      </c>
      <c r="D21" s="72" t="s">
        <v>27</v>
      </c>
      <c r="E21" s="73">
        <v>48533.17</v>
      </c>
      <c r="G21" t="s">
        <v>74</v>
      </c>
    </row>
    <row r="22" spans="1:10" x14ac:dyDescent="0.25">
      <c r="A22" s="68">
        <v>45157</v>
      </c>
      <c r="B22" s="69" t="s">
        <v>23</v>
      </c>
      <c r="C22" s="69" t="s">
        <v>45</v>
      </c>
      <c r="D22" s="69" t="s">
        <v>27</v>
      </c>
      <c r="E22" s="70">
        <v>30517.67</v>
      </c>
    </row>
    <row r="23" spans="1:10" x14ac:dyDescent="0.25">
      <c r="A23" s="71">
        <v>45148</v>
      </c>
      <c r="B23" s="72" t="s">
        <v>23</v>
      </c>
      <c r="C23" s="72" t="s">
        <v>2</v>
      </c>
      <c r="D23" s="72" t="s">
        <v>28</v>
      </c>
      <c r="E23" s="73">
        <v>22962.38</v>
      </c>
      <c r="G23" t="s">
        <v>75</v>
      </c>
    </row>
    <row r="24" spans="1:10" x14ac:dyDescent="0.25">
      <c r="A24" s="68">
        <v>45143</v>
      </c>
      <c r="B24" s="69" t="s">
        <v>25</v>
      </c>
      <c r="C24" s="69" t="s">
        <v>45</v>
      </c>
      <c r="D24" s="69" t="s">
        <v>28</v>
      </c>
      <c r="E24" s="70">
        <v>26230.06</v>
      </c>
    </row>
    <row r="25" spans="1:10" x14ac:dyDescent="0.25">
      <c r="A25" s="71">
        <v>45149</v>
      </c>
      <c r="B25" s="72" t="s">
        <v>65</v>
      </c>
      <c r="C25" s="72" t="s">
        <v>45</v>
      </c>
      <c r="D25" s="72" t="s">
        <v>27</v>
      </c>
      <c r="E25" s="73">
        <v>34445.910000000003</v>
      </c>
    </row>
    <row r="26" spans="1:10" x14ac:dyDescent="0.25">
      <c r="A26" s="68">
        <v>45148</v>
      </c>
      <c r="B26" s="69" t="s">
        <v>65</v>
      </c>
      <c r="C26" s="69" t="s">
        <v>45</v>
      </c>
      <c r="D26" s="69" t="s">
        <v>28</v>
      </c>
      <c r="E26" s="70">
        <v>41175.589999999997</v>
      </c>
    </row>
    <row r="27" spans="1:10" x14ac:dyDescent="0.25">
      <c r="A27" s="71">
        <v>45156</v>
      </c>
      <c r="B27" s="72" t="s">
        <v>25</v>
      </c>
      <c r="C27" s="72" t="s">
        <v>2</v>
      </c>
      <c r="D27" s="72" t="s">
        <v>28</v>
      </c>
      <c r="E27" s="73">
        <v>28456.15</v>
      </c>
    </row>
    <row r="28" spans="1:10" x14ac:dyDescent="0.25">
      <c r="A28" s="68">
        <v>45168</v>
      </c>
      <c r="B28" s="69" t="s">
        <v>24</v>
      </c>
      <c r="C28" s="69" t="s">
        <v>47</v>
      </c>
      <c r="D28" s="69" t="s">
        <v>29</v>
      </c>
      <c r="E28" s="70">
        <v>46883.49</v>
      </c>
    </row>
    <row r="29" spans="1:10" x14ac:dyDescent="0.25">
      <c r="A29" s="71">
        <v>45152</v>
      </c>
      <c r="B29" s="72" t="s">
        <v>25</v>
      </c>
      <c r="C29" s="72" t="s">
        <v>47</v>
      </c>
      <c r="D29" s="72" t="s">
        <v>29</v>
      </c>
      <c r="E29" s="73">
        <v>48675.77</v>
      </c>
    </row>
    <row r="30" spans="1:10" x14ac:dyDescent="0.25">
      <c r="A30" s="68">
        <v>45144</v>
      </c>
      <c r="B30" s="69" t="s">
        <v>23</v>
      </c>
      <c r="C30" s="69" t="s">
        <v>2</v>
      </c>
      <c r="D30" s="69" t="s">
        <v>27</v>
      </c>
      <c r="E30" s="70">
        <v>19604.95</v>
      </c>
    </row>
    <row r="31" spans="1:10" x14ac:dyDescent="0.25">
      <c r="A31" s="71">
        <v>45158</v>
      </c>
      <c r="B31" s="72" t="s">
        <v>23</v>
      </c>
      <c r="C31" s="72" t="s">
        <v>47</v>
      </c>
      <c r="D31" s="72" t="s">
        <v>27</v>
      </c>
      <c r="E31" s="73">
        <v>48922.29</v>
      </c>
    </row>
    <row r="32" spans="1:10" x14ac:dyDescent="0.25">
      <c r="A32" s="68">
        <v>45169</v>
      </c>
      <c r="B32" s="69" t="s">
        <v>25</v>
      </c>
      <c r="C32" s="69" t="s">
        <v>2</v>
      </c>
      <c r="D32" s="69" t="s">
        <v>29</v>
      </c>
      <c r="E32" s="70">
        <v>42727.99</v>
      </c>
    </row>
    <row r="33" spans="1:14" x14ac:dyDescent="0.25">
      <c r="A33" s="71">
        <v>45140</v>
      </c>
      <c r="B33" s="72" t="s">
        <v>24</v>
      </c>
      <c r="C33" s="72" t="s">
        <v>45</v>
      </c>
      <c r="D33" s="72" t="s">
        <v>28</v>
      </c>
      <c r="E33" s="73">
        <v>21408.69</v>
      </c>
    </row>
    <row r="34" spans="1:14" x14ac:dyDescent="0.25">
      <c r="A34" s="68">
        <v>45141</v>
      </c>
      <c r="B34" s="69" t="s">
        <v>24</v>
      </c>
      <c r="C34" s="69" t="s">
        <v>45</v>
      </c>
      <c r="D34" s="69" t="s">
        <v>27</v>
      </c>
      <c r="E34" s="70">
        <v>24455.63</v>
      </c>
    </row>
    <row r="35" spans="1:14" x14ac:dyDescent="0.25">
      <c r="A35" s="71">
        <v>45146</v>
      </c>
      <c r="B35" s="72" t="s">
        <v>65</v>
      </c>
      <c r="C35" s="72" t="s">
        <v>2</v>
      </c>
      <c r="D35" s="72" t="s">
        <v>29</v>
      </c>
      <c r="E35" s="73">
        <v>28107.26</v>
      </c>
    </row>
    <row r="36" spans="1:14" x14ac:dyDescent="0.25">
      <c r="A36" s="68">
        <v>45164</v>
      </c>
      <c r="B36" s="69" t="s">
        <v>24</v>
      </c>
      <c r="C36" s="69" t="s">
        <v>45</v>
      </c>
      <c r="D36" s="69" t="s">
        <v>29</v>
      </c>
      <c r="E36" s="70">
        <v>45728.49</v>
      </c>
    </row>
    <row r="37" spans="1:14" x14ac:dyDescent="0.25">
      <c r="A37" s="71">
        <v>45146</v>
      </c>
      <c r="B37" s="72" t="s">
        <v>65</v>
      </c>
      <c r="C37" s="72" t="s">
        <v>47</v>
      </c>
      <c r="D37" s="72" t="s">
        <v>29</v>
      </c>
      <c r="E37" s="73">
        <v>34664.89</v>
      </c>
    </row>
    <row r="38" spans="1:14" x14ac:dyDescent="0.25">
      <c r="A38" s="68">
        <v>45166</v>
      </c>
      <c r="B38" s="69" t="s">
        <v>23</v>
      </c>
      <c r="C38" s="69" t="s">
        <v>47</v>
      </c>
      <c r="D38" s="69" t="s">
        <v>29</v>
      </c>
      <c r="E38" s="70">
        <v>19825.72</v>
      </c>
    </row>
    <row r="39" spans="1:14" x14ac:dyDescent="0.25">
      <c r="A39" s="71">
        <v>45140</v>
      </c>
      <c r="B39" s="72" t="s">
        <v>25</v>
      </c>
      <c r="C39" s="72" t="s">
        <v>47</v>
      </c>
      <c r="D39" s="72" t="s">
        <v>27</v>
      </c>
      <c r="E39" s="73">
        <v>38828.720000000001</v>
      </c>
    </row>
    <row r="40" spans="1:14" x14ac:dyDescent="0.25">
      <c r="A40" s="68">
        <v>45166</v>
      </c>
      <c r="B40" s="69" t="s">
        <v>24</v>
      </c>
      <c r="C40" s="69" t="s">
        <v>2</v>
      </c>
      <c r="D40" s="69" t="s">
        <v>27</v>
      </c>
      <c r="E40" s="70">
        <v>33850.26</v>
      </c>
    </row>
    <row r="41" spans="1:14" x14ac:dyDescent="0.25">
      <c r="A41" s="74">
        <v>45164</v>
      </c>
      <c r="B41" s="75" t="s">
        <v>25</v>
      </c>
      <c r="C41" s="75" t="s">
        <v>47</v>
      </c>
      <c r="D41" s="75" t="s">
        <v>29</v>
      </c>
      <c r="E41" s="76">
        <v>19003.09</v>
      </c>
    </row>
    <row r="42" spans="1:14" x14ac:dyDescent="0.25">
      <c r="A42" s="68">
        <v>45169</v>
      </c>
      <c r="B42" s="69" t="s">
        <v>25</v>
      </c>
      <c r="C42" s="69" t="s">
        <v>2</v>
      </c>
      <c r="D42" s="69" t="s">
        <v>29</v>
      </c>
      <c r="E42" s="70">
        <v>42727.99</v>
      </c>
      <c r="J42" s="8"/>
      <c r="N42" s="144"/>
    </row>
    <row r="43" spans="1:14" x14ac:dyDescent="0.25">
      <c r="A43" s="71">
        <v>45140</v>
      </c>
      <c r="B43" s="72" t="s">
        <v>24</v>
      </c>
      <c r="C43" s="72" t="s">
        <v>45</v>
      </c>
      <c r="D43" s="72" t="s">
        <v>28</v>
      </c>
      <c r="E43" s="73">
        <v>21408.69</v>
      </c>
      <c r="J43" s="8"/>
      <c r="N43" s="144"/>
    </row>
    <row r="44" spans="1:14" x14ac:dyDescent="0.25">
      <c r="A44" s="68">
        <v>45141</v>
      </c>
      <c r="B44" s="69" t="s">
        <v>24</v>
      </c>
      <c r="C44" s="69" t="s">
        <v>45</v>
      </c>
      <c r="D44" s="69" t="s">
        <v>27</v>
      </c>
      <c r="E44" s="70">
        <v>24455.63</v>
      </c>
      <c r="J44" s="8"/>
      <c r="N44" s="144"/>
    </row>
    <row r="45" spans="1:14" x14ac:dyDescent="0.25">
      <c r="A45" s="71">
        <v>45146</v>
      </c>
      <c r="B45" s="72" t="s">
        <v>65</v>
      </c>
      <c r="C45" s="72" t="s">
        <v>2</v>
      </c>
      <c r="D45" s="72" t="s">
        <v>29</v>
      </c>
      <c r="E45" s="73">
        <v>28107.26</v>
      </c>
      <c r="J45" s="8"/>
      <c r="N45" s="144"/>
    </row>
    <row r="46" spans="1:14" x14ac:dyDescent="0.25">
      <c r="A46" s="68">
        <v>45164</v>
      </c>
      <c r="B46" s="69" t="s">
        <v>24</v>
      </c>
      <c r="C46" s="69" t="s">
        <v>45</v>
      </c>
      <c r="D46" s="69" t="s">
        <v>29</v>
      </c>
      <c r="E46" s="70">
        <v>45728.49</v>
      </c>
      <c r="J46" s="8"/>
      <c r="N46" s="144"/>
    </row>
    <row r="47" spans="1:14" x14ac:dyDescent="0.25">
      <c r="A47" s="71">
        <v>45146</v>
      </c>
      <c r="B47" s="72" t="s">
        <v>65</v>
      </c>
      <c r="C47" s="72" t="s">
        <v>47</v>
      </c>
      <c r="D47" s="72" t="s">
        <v>29</v>
      </c>
      <c r="E47" s="73">
        <v>34664.89</v>
      </c>
      <c r="J47" s="8"/>
      <c r="N47" s="144"/>
    </row>
    <row r="48" spans="1:14" x14ac:dyDescent="0.25">
      <c r="A48" s="68">
        <v>45166</v>
      </c>
      <c r="B48" s="69" t="s">
        <v>23</v>
      </c>
      <c r="C48" s="69" t="s">
        <v>47</v>
      </c>
      <c r="D48" s="69" t="s">
        <v>29</v>
      </c>
      <c r="E48" s="70">
        <v>19825.72</v>
      </c>
      <c r="J48" s="8"/>
      <c r="M48" t="s">
        <v>0</v>
      </c>
      <c r="N48" s="144"/>
    </row>
    <row r="49" spans="1:14" x14ac:dyDescent="0.25">
      <c r="A49" s="71">
        <v>45140</v>
      </c>
      <c r="B49" s="72" t="s">
        <v>25</v>
      </c>
      <c r="C49" s="72" t="s">
        <v>47</v>
      </c>
      <c r="D49" s="72" t="s">
        <v>27</v>
      </c>
      <c r="E49" s="73">
        <v>38828.720000000001</v>
      </c>
      <c r="J49" s="8"/>
      <c r="N49" s="144"/>
    </row>
    <row r="50" spans="1:14" x14ac:dyDescent="0.25">
      <c r="A50" s="68">
        <v>45166</v>
      </c>
      <c r="B50" s="69" t="s">
        <v>24</v>
      </c>
      <c r="C50" s="69" t="s">
        <v>2</v>
      </c>
      <c r="D50" s="69" t="s">
        <v>27</v>
      </c>
      <c r="E50" s="70">
        <v>33850.26</v>
      </c>
      <c r="J50" s="8"/>
      <c r="N50" s="144"/>
    </row>
    <row r="51" spans="1:14" x14ac:dyDescent="0.25">
      <c r="A51" s="71">
        <v>45164</v>
      </c>
      <c r="B51" s="72" t="s">
        <v>25</v>
      </c>
      <c r="C51" s="72" t="s">
        <v>47</v>
      </c>
      <c r="D51" s="72" t="s">
        <v>29</v>
      </c>
      <c r="E51" s="73">
        <v>19003.09</v>
      </c>
      <c r="J51" s="8"/>
      <c r="N51" s="144"/>
    </row>
    <row r="52" spans="1:14" x14ac:dyDescent="0.25">
      <c r="A52" s="68">
        <v>45164</v>
      </c>
      <c r="B52" s="69" t="s">
        <v>25</v>
      </c>
      <c r="C52" s="69" t="s">
        <v>2</v>
      </c>
      <c r="D52" s="69" t="s">
        <v>29</v>
      </c>
      <c r="E52" s="70">
        <v>26863.98</v>
      </c>
      <c r="J52" s="8"/>
      <c r="N52" s="144"/>
    </row>
    <row r="53" spans="1:14" x14ac:dyDescent="0.25">
      <c r="A53" s="71">
        <v>45153</v>
      </c>
      <c r="B53" s="72" t="s">
        <v>65</v>
      </c>
      <c r="C53" s="72" t="s">
        <v>47</v>
      </c>
      <c r="D53" s="72" t="s">
        <v>28</v>
      </c>
      <c r="E53" s="73">
        <v>35320.76</v>
      </c>
      <c r="J53" s="8"/>
      <c r="N53" s="144"/>
    </row>
    <row r="54" spans="1:14" x14ac:dyDescent="0.25">
      <c r="A54" s="68">
        <v>45144</v>
      </c>
      <c r="B54" s="69" t="s">
        <v>25</v>
      </c>
      <c r="C54" s="69" t="s">
        <v>45</v>
      </c>
      <c r="D54" s="69" t="s">
        <v>29</v>
      </c>
      <c r="E54" s="70">
        <v>15196.59</v>
      </c>
      <c r="J54" s="8"/>
      <c r="N54" s="144"/>
    </row>
    <row r="55" spans="1:14" x14ac:dyDescent="0.25">
      <c r="A55" s="74">
        <v>45149</v>
      </c>
      <c r="B55" s="75" t="s">
        <v>25</v>
      </c>
      <c r="C55" s="75" t="s">
        <v>2</v>
      </c>
      <c r="D55" s="75" t="s">
        <v>27</v>
      </c>
      <c r="E55" s="76">
        <v>48533.17</v>
      </c>
      <c r="J55" s="8"/>
      <c r="N55" s="144"/>
    </row>
    <row r="56" spans="1:14" x14ac:dyDescent="0.25">
      <c r="A56" s="68">
        <v>45157</v>
      </c>
      <c r="B56" s="69" t="s">
        <v>23</v>
      </c>
      <c r="C56" s="69" t="s">
        <v>45</v>
      </c>
      <c r="D56" s="69" t="s">
        <v>27</v>
      </c>
      <c r="E56" s="70">
        <v>30517.67</v>
      </c>
      <c r="J56" s="8"/>
      <c r="N56" s="144"/>
    </row>
    <row r="57" spans="1:14" x14ac:dyDescent="0.25">
      <c r="A57" s="71">
        <v>45148</v>
      </c>
      <c r="B57" s="72" t="s">
        <v>23</v>
      </c>
      <c r="C57" s="72" t="s">
        <v>2</v>
      </c>
      <c r="D57" s="72" t="s">
        <v>28</v>
      </c>
      <c r="E57" s="73">
        <v>22962.38</v>
      </c>
      <c r="J57" s="8"/>
      <c r="N57" s="144"/>
    </row>
    <row r="58" spans="1:14" x14ac:dyDescent="0.25">
      <c r="A58" s="68">
        <v>45143</v>
      </c>
      <c r="B58" s="69" t="s">
        <v>25</v>
      </c>
      <c r="C58" s="69" t="s">
        <v>45</v>
      </c>
      <c r="D58" s="69" t="s">
        <v>28</v>
      </c>
      <c r="E58" s="70">
        <v>26230.06</v>
      </c>
      <c r="J58" s="8"/>
      <c r="N58" s="144"/>
    </row>
    <row r="59" spans="1:14" x14ac:dyDescent="0.25">
      <c r="A59" s="71">
        <v>45149</v>
      </c>
      <c r="B59" s="72" t="s">
        <v>65</v>
      </c>
      <c r="C59" s="72" t="s">
        <v>45</v>
      </c>
      <c r="D59" s="72" t="s">
        <v>27</v>
      </c>
      <c r="E59" s="73">
        <v>34445.910000000003</v>
      </c>
      <c r="J59" s="8"/>
      <c r="N59" s="144"/>
    </row>
    <row r="60" spans="1:14" x14ac:dyDescent="0.25">
      <c r="A60" s="68">
        <v>45148</v>
      </c>
      <c r="B60" s="69" t="s">
        <v>65</v>
      </c>
      <c r="C60" s="69" t="s">
        <v>45</v>
      </c>
      <c r="D60" s="69" t="s">
        <v>28</v>
      </c>
      <c r="E60" s="70">
        <v>41175.589999999997</v>
      </c>
      <c r="J60" s="8"/>
      <c r="N60" s="144"/>
    </row>
    <row r="61" spans="1:14" x14ac:dyDescent="0.25">
      <c r="A61" s="71">
        <v>45156</v>
      </c>
      <c r="B61" s="72" t="s">
        <v>25</v>
      </c>
      <c r="C61" s="72" t="s">
        <v>2</v>
      </c>
      <c r="D61" s="72" t="s">
        <v>28</v>
      </c>
      <c r="E61" s="73">
        <v>28456.15</v>
      </c>
      <c r="J61" s="8"/>
      <c r="N61" s="144"/>
    </row>
    <row r="62" spans="1:14" x14ac:dyDescent="0.25">
      <c r="A62" s="68">
        <v>45168</v>
      </c>
      <c r="B62" s="69" t="s">
        <v>24</v>
      </c>
      <c r="C62" s="69" t="s">
        <v>47</v>
      </c>
      <c r="D62" s="69" t="s">
        <v>29</v>
      </c>
      <c r="E62" s="70">
        <v>46883.49</v>
      </c>
      <c r="J62" s="8"/>
      <c r="N62" s="144"/>
    </row>
  </sheetData>
  <conditionalFormatting sqref="A12:E62">
    <cfRule type="expression" dxfId="1" priority="1">
      <formula>AND($D12=$G$6,$C12=$H$6)</formula>
    </cfRule>
  </conditionalFormatting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C9D1A-B123-4FD3-A5CE-64DB727CA01B}">
  <sheetPr>
    <tabColor rgb="FFFFFF00"/>
  </sheetPr>
  <dimension ref="A1:P62"/>
  <sheetViews>
    <sheetView workbookViewId="0"/>
  </sheetViews>
  <sheetFormatPr defaultRowHeight="15" x14ac:dyDescent="0.25"/>
  <cols>
    <col min="1" max="1" width="17" customWidth="1"/>
    <col min="2" max="2" width="11.7109375" customWidth="1"/>
    <col min="3" max="3" width="17" customWidth="1"/>
    <col min="4" max="4" width="21" customWidth="1"/>
    <col min="5" max="5" width="16.42578125" customWidth="1"/>
    <col min="6" max="6" width="5.85546875" customWidth="1"/>
    <col min="7" max="7" width="17.28515625" customWidth="1"/>
    <col min="8" max="8" width="25.28515625" customWidth="1"/>
    <col min="9" max="9" width="3.85546875" customWidth="1"/>
    <col min="10" max="10" width="25.28515625" customWidth="1"/>
    <col min="11" max="11" width="20.5703125" customWidth="1"/>
    <col min="12" max="12" width="14" customWidth="1"/>
    <col min="13" max="13" width="15.42578125" customWidth="1"/>
    <col min="15" max="15" width="17.42578125" customWidth="1"/>
    <col min="16" max="16" width="13.7109375" customWidth="1"/>
    <col min="17" max="17" width="9.5703125" bestFit="1" customWidth="1"/>
    <col min="18" max="18" width="11.5703125" customWidth="1"/>
  </cols>
  <sheetData>
    <row r="1" spans="1:16" ht="21" x14ac:dyDescent="0.35">
      <c r="A1" s="7" t="s">
        <v>172</v>
      </c>
      <c r="B1" s="6"/>
      <c r="C1" s="6"/>
      <c r="D1" s="6"/>
      <c r="E1" s="6"/>
      <c r="F1" s="6"/>
      <c r="G1" s="6"/>
      <c r="H1" s="6"/>
    </row>
    <row r="2" spans="1:16" ht="15.75" x14ac:dyDescent="0.25">
      <c r="A2" s="29" t="s">
        <v>52</v>
      </c>
      <c r="B2" s="30"/>
      <c r="C2" s="30"/>
      <c r="D2" s="30"/>
      <c r="E2" s="28"/>
      <c r="G2" s="46" t="s">
        <v>55</v>
      </c>
      <c r="H2" s="45" t="s">
        <v>56</v>
      </c>
      <c r="O2" s="163" t="s">
        <v>96</v>
      </c>
      <c r="P2" s="164"/>
    </row>
    <row r="3" spans="1:16" ht="15.75" x14ac:dyDescent="0.25">
      <c r="A3" s="30" t="s">
        <v>63</v>
      </c>
      <c r="B3" s="30"/>
      <c r="C3" s="30"/>
      <c r="D3" s="30"/>
      <c r="E3" s="28"/>
      <c r="O3" s="147" t="s">
        <v>20</v>
      </c>
      <c r="P3" s="145" t="s">
        <v>19</v>
      </c>
    </row>
    <row r="4" spans="1:16" ht="15.75" x14ac:dyDescent="0.25">
      <c r="A4" s="30" t="s">
        <v>166</v>
      </c>
      <c r="B4" s="27"/>
      <c r="C4" s="28"/>
      <c r="D4" s="28"/>
      <c r="E4" s="27"/>
      <c r="G4" s="39" t="s">
        <v>42</v>
      </c>
      <c r="H4" s="39"/>
      <c r="O4" s="129" t="str" cm="1">
        <f t="array" ref="O4:O6">_xlfn._xlws.SORT(_xlfn.UNIQUE(MonthlyRevenueCntHWan[Product]))</f>
        <v>Hot Wheels</v>
      </c>
      <c r="P4" s="130" t="str" cm="1">
        <f t="array" ref="P4:P6">_xlfn._xlws.SORT(_xlfn.UNIQUE(MonthlyRevenueCntHWan[SalesRep]))</f>
        <v>Cinderelli</v>
      </c>
    </row>
    <row r="5" spans="1:16" ht="15.75" x14ac:dyDescent="0.25">
      <c r="A5" s="30" t="s">
        <v>168</v>
      </c>
      <c r="B5" s="28"/>
      <c r="C5" s="28"/>
      <c r="D5" s="28"/>
      <c r="E5" s="27"/>
      <c r="G5" s="38" t="s">
        <v>20</v>
      </c>
      <c r="H5" s="38" t="s">
        <v>19</v>
      </c>
      <c r="O5" s="129" t="str">
        <v>LOL OMG Surprise</v>
      </c>
      <c r="P5" s="130" t="str">
        <v>Miles</v>
      </c>
    </row>
    <row r="6" spans="1:16" ht="15.75" x14ac:dyDescent="0.25">
      <c r="A6" s="30" t="s">
        <v>53</v>
      </c>
      <c r="B6" s="28"/>
      <c r="C6" s="28"/>
      <c r="D6" s="28"/>
      <c r="E6" s="28"/>
      <c r="G6" s="1" t="s">
        <v>29</v>
      </c>
      <c r="H6" s="1" t="s">
        <v>47</v>
      </c>
      <c r="O6" s="131" t="str">
        <v>LOL Surprise</v>
      </c>
      <c r="P6" s="132" t="str">
        <v>Tiana</v>
      </c>
    </row>
    <row r="7" spans="1:16" ht="15.75" x14ac:dyDescent="0.25">
      <c r="A7" s="30" t="s">
        <v>54</v>
      </c>
      <c r="B7" s="28"/>
      <c r="C7" s="28"/>
      <c r="D7" s="28"/>
      <c r="E7" s="28"/>
      <c r="G7" s="40" t="s">
        <v>43</v>
      </c>
      <c r="H7" s="14">
        <f>COUNTIFS(MonthlyRevenueCntHWan[Product],G6,MonthlyRevenueCntHWan[SalesRep],H6)</f>
        <v>10</v>
      </c>
    </row>
    <row r="8" spans="1:16" ht="15.75" x14ac:dyDescent="0.25">
      <c r="A8" s="10" t="s">
        <v>5</v>
      </c>
      <c r="B8" t="s">
        <v>11</v>
      </c>
      <c r="J8" s="44" t="str">
        <f ca="1">IF(_xlfn.ISFORMULA(H7),_xlfn.FORMULATEXT(H7),"")</f>
        <v>=COUNTIFS(MonthlyRevenueCntHWan[Product],G6,MonthlyRevenueCntHWan[SalesRep],H6)</v>
      </c>
    </row>
    <row r="9" spans="1:16" ht="22.15" customHeight="1" x14ac:dyDescent="0.25">
      <c r="A9" s="46"/>
      <c r="B9" s="47"/>
      <c r="C9" s="47"/>
      <c r="D9" s="47"/>
      <c r="E9" s="47"/>
    </row>
    <row r="10" spans="1:16" ht="21" x14ac:dyDescent="0.35">
      <c r="G10" s="60" t="s">
        <v>70</v>
      </c>
      <c r="H10" s="60"/>
      <c r="K10" s="8"/>
    </row>
    <row r="11" spans="1:16" ht="15.75" x14ac:dyDescent="0.25">
      <c r="A11" s="35" t="s">
        <v>1</v>
      </c>
      <c r="B11" s="36" t="s">
        <v>18</v>
      </c>
      <c r="C11" s="36" t="s">
        <v>19</v>
      </c>
      <c r="D11" s="36" t="s">
        <v>20</v>
      </c>
      <c r="E11" s="37" t="s">
        <v>21</v>
      </c>
    </row>
    <row r="12" spans="1:16" x14ac:dyDescent="0.25">
      <c r="A12" s="31">
        <v>45162</v>
      </c>
      <c r="B12" s="1" t="s">
        <v>24</v>
      </c>
      <c r="C12" s="1" t="s">
        <v>47</v>
      </c>
      <c r="D12" s="1" t="s">
        <v>29</v>
      </c>
      <c r="E12" s="42">
        <v>23935.3</v>
      </c>
      <c r="G12" s="49" t="s">
        <v>18</v>
      </c>
      <c r="H12" s="51" t="s">
        <v>43</v>
      </c>
    </row>
    <row r="13" spans="1:16" ht="15.75" x14ac:dyDescent="0.25">
      <c r="A13" s="31">
        <v>45161</v>
      </c>
      <c r="B13" s="1" t="s">
        <v>24</v>
      </c>
      <c r="C13" s="1" t="s">
        <v>45</v>
      </c>
      <c r="D13" s="1" t="s">
        <v>27</v>
      </c>
      <c r="E13" s="42">
        <v>46241.84</v>
      </c>
      <c r="G13" s="50" t="s">
        <v>24</v>
      </c>
      <c r="H13" s="54">
        <f>COUNTIFS(MonthlyRevenueCntHWan[Region],RegionCount1027[[#This Row],[Region]],MonthlyRevenueCntHWan[Product],$G$6,MonthlyRevenueCntHWan[SalesRep],$H$6)</f>
        <v>4</v>
      </c>
      <c r="J13" s="44" t="str">
        <f ca="1">IF(_xlfn.ISFORMULA(H13),_xlfn.FORMULATEXT(H13),"")</f>
        <v>=COUNTIFS(MonthlyRevenueCntHWan[Region],[@Region],MonthlyRevenueCntHWan[Product],$G$6,MonthlyRevenueCntHWan[SalesRep],$H$6)</v>
      </c>
    </row>
    <row r="14" spans="1:16" ht="15.75" x14ac:dyDescent="0.25">
      <c r="A14" s="31">
        <v>45145</v>
      </c>
      <c r="B14" s="1" t="s">
        <v>25</v>
      </c>
      <c r="C14" s="1" t="s">
        <v>2</v>
      </c>
      <c r="D14" s="1" t="s">
        <v>27</v>
      </c>
      <c r="E14" s="42">
        <v>20003.13</v>
      </c>
      <c r="G14" s="50" t="s">
        <v>65</v>
      </c>
      <c r="H14" s="54">
        <f>COUNTIFS(MonthlyRevenueCntHWan[Region],RegionCount1027[[#This Row],[Region]],MonthlyRevenueCntHWan[Product],$G$6,MonthlyRevenueCntHWan[SalesRep],$H$6)</f>
        <v>2</v>
      </c>
      <c r="J14" s="30" t="s">
        <v>165</v>
      </c>
      <c r="K14" s="28"/>
      <c r="L14" s="28"/>
    </row>
    <row r="15" spans="1:16" x14ac:dyDescent="0.25">
      <c r="A15" s="31">
        <v>45149</v>
      </c>
      <c r="B15" s="1" t="s">
        <v>25</v>
      </c>
      <c r="C15" s="1" t="s">
        <v>2</v>
      </c>
      <c r="D15" s="1" t="s">
        <v>29</v>
      </c>
      <c r="E15" s="42">
        <v>24148.61</v>
      </c>
      <c r="G15" s="50" t="s">
        <v>23</v>
      </c>
      <c r="H15" s="54">
        <f>COUNTIFS(MonthlyRevenueCntHWan[Region],RegionCount1027[[#This Row],[Region]],MonthlyRevenueCntHWan[Product],$G$6,MonthlyRevenueCntHWan[SalesRep],$H$6)</f>
        <v>1</v>
      </c>
    </row>
    <row r="16" spans="1:16" x14ac:dyDescent="0.25">
      <c r="A16" s="31">
        <v>45164</v>
      </c>
      <c r="B16" s="1" t="s">
        <v>24</v>
      </c>
      <c r="C16" s="1" t="s">
        <v>47</v>
      </c>
      <c r="D16" s="1" t="s">
        <v>29</v>
      </c>
      <c r="E16" s="42">
        <v>43173.32</v>
      </c>
      <c r="G16" s="34" t="s">
        <v>25</v>
      </c>
      <c r="H16" s="55">
        <f>COUNTIFS(MonthlyRevenueCntHWan[Region],RegionCount1027[[#This Row],[Region]],MonthlyRevenueCntHWan[Product],$G$6,MonthlyRevenueCntHWan[SalesRep],$H$6)</f>
        <v>3</v>
      </c>
    </row>
    <row r="17" spans="1:15" x14ac:dyDescent="0.25">
      <c r="A17" s="31">
        <v>45160</v>
      </c>
      <c r="B17" s="1" t="s">
        <v>23</v>
      </c>
      <c r="C17" s="1" t="s">
        <v>47</v>
      </c>
      <c r="D17" s="1" t="s">
        <v>28</v>
      </c>
      <c r="E17" s="42">
        <v>23553.65</v>
      </c>
    </row>
    <row r="18" spans="1:15" x14ac:dyDescent="0.25">
      <c r="A18" s="31">
        <v>45164</v>
      </c>
      <c r="B18" s="1" t="s">
        <v>25</v>
      </c>
      <c r="C18" s="1" t="s">
        <v>2</v>
      </c>
      <c r="D18" s="1" t="s">
        <v>29</v>
      </c>
      <c r="E18" s="42">
        <v>26863.98</v>
      </c>
      <c r="G18" s="10" t="s">
        <v>71</v>
      </c>
      <c r="O18" t="s">
        <v>0</v>
      </c>
    </row>
    <row r="19" spans="1:15" x14ac:dyDescent="0.25">
      <c r="A19" s="31">
        <v>45153</v>
      </c>
      <c r="B19" s="1" t="s">
        <v>65</v>
      </c>
      <c r="C19" s="1" t="s">
        <v>47</v>
      </c>
      <c r="D19" s="1" t="s">
        <v>28</v>
      </c>
      <c r="E19" s="42">
        <v>35320.76</v>
      </c>
      <c r="G19" t="s">
        <v>72</v>
      </c>
    </row>
    <row r="20" spans="1:15" x14ac:dyDescent="0.25">
      <c r="A20" s="31">
        <v>45144</v>
      </c>
      <c r="B20" s="1" t="s">
        <v>25</v>
      </c>
      <c r="C20" s="1" t="s">
        <v>45</v>
      </c>
      <c r="D20" s="1" t="s">
        <v>29</v>
      </c>
      <c r="E20" s="42">
        <v>15196.59</v>
      </c>
      <c r="G20" t="s">
        <v>73</v>
      </c>
    </row>
    <row r="21" spans="1:15" x14ac:dyDescent="0.25">
      <c r="A21" s="31">
        <v>45149</v>
      </c>
      <c r="B21" s="1" t="s">
        <v>25</v>
      </c>
      <c r="C21" s="1" t="s">
        <v>2</v>
      </c>
      <c r="D21" s="1" t="s">
        <v>27</v>
      </c>
      <c r="E21" s="42">
        <v>48533.17</v>
      </c>
      <c r="G21" t="s">
        <v>74</v>
      </c>
    </row>
    <row r="22" spans="1:15" x14ac:dyDescent="0.25">
      <c r="A22" s="31">
        <v>45157</v>
      </c>
      <c r="B22" s="1" t="s">
        <v>23</v>
      </c>
      <c r="C22" s="1" t="s">
        <v>45</v>
      </c>
      <c r="D22" s="1" t="s">
        <v>27</v>
      </c>
      <c r="E22" s="42">
        <v>30517.67</v>
      </c>
    </row>
    <row r="23" spans="1:15" x14ac:dyDescent="0.25">
      <c r="A23" s="31">
        <v>45148</v>
      </c>
      <c r="B23" s="1" t="s">
        <v>23</v>
      </c>
      <c r="C23" s="1" t="s">
        <v>2</v>
      </c>
      <c r="D23" s="1" t="s">
        <v>28</v>
      </c>
      <c r="E23" s="42">
        <v>22962.38</v>
      </c>
      <c r="G23" t="s">
        <v>75</v>
      </c>
    </row>
    <row r="24" spans="1:15" x14ac:dyDescent="0.25">
      <c r="A24" s="31">
        <v>45143</v>
      </c>
      <c r="B24" s="1" t="s">
        <v>25</v>
      </c>
      <c r="C24" s="1" t="s">
        <v>45</v>
      </c>
      <c r="D24" s="1" t="s">
        <v>28</v>
      </c>
      <c r="E24" s="42">
        <v>26230.06</v>
      </c>
    </row>
    <row r="25" spans="1:15" x14ac:dyDescent="0.25">
      <c r="A25" s="31">
        <v>45149</v>
      </c>
      <c r="B25" s="1" t="s">
        <v>65</v>
      </c>
      <c r="C25" s="1" t="s">
        <v>45</v>
      </c>
      <c r="D25" s="1" t="s">
        <v>27</v>
      </c>
      <c r="E25" s="42">
        <v>34445.910000000003</v>
      </c>
    </row>
    <row r="26" spans="1:15" x14ac:dyDescent="0.25">
      <c r="A26" s="31">
        <v>45148</v>
      </c>
      <c r="B26" s="1" t="s">
        <v>65</v>
      </c>
      <c r="C26" s="1" t="s">
        <v>45</v>
      </c>
      <c r="D26" s="1" t="s">
        <v>28</v>
      </c>
      <c r="E26" s="42">
        <v>41175.589999999997</v>
      </c>
    </row>
    <row r="27" spans="1:15" x14ac:dyDescent="0.25">
      <c r="A27" s="31">
        <v>45156</v>
      </c>
      <c r="B27" s="1" t="s">
        <v>25</v>
      </c>
      <c r="C27" s="1" t="s">
        <v>2</v>
      </c>
      <c r="D27" s="1" t="s">
        <v>28</v>
      </c>
      <c r="E27" s="42">
        <v>28456.15</v>
      </c>
    </row>
    <row r="28" spans="1:15" x14ac:dyDescent="0.25">
      <c r="A28" s="31">
        <v>45168</v>
      </c>
      <c r="B28" s="1" t="s">
        <v>24</v>
      </c>
      <c r="C28" s="1" t="s">
        <v>47</v>
      </c>
      <c r="D28" s="1" t="s">
        <v>29</v>
      </c>
      <c r="E28" s="42">
        <v>46883.49</v>
      </c>
    </row>
    <row r="29" spans="1:15" x14ac:dyDescent="0.25">
      <c r="A29" s="31">
        <v>45152</v>
      </c>
      <c r="B29" s="1" t="s">
        <v>25</v>
      </c>
      <c r="C29" s="1" t="s">
        <v>47</v>
      </c>
      <c r="D29" s="1" t="s">
        <v>29</v>
      </c>
      <c r="E29" s="42">
        <v>48675.77</v>
      </c>
    </row>
    <row r="30" spans="1:15" x14ac:dyDescent="0.25">
      <c r="A30" s="31">
        <v>45144</v>
      </c>
      <c r="B30" s="1" t="s">
        <v>23</v>
      </c>
      <c r="C30" s="1" t="s">
        <v>2</v>
      </c>
      <c r="D30" s="1" t="s">
        <v>27</v>
      </c>
      <c r="E30" s="42">
        <v>19604.95</v>
      </c>
    </row>
    <row r="31" spans="1:15" x14ac:dyDescent="0.25">
      <c r="A31" s="31">
        <v>45158</v>
      </c>
      <c r="B31" s="1" t="s">
        <v>23</v>
      </c>
      <c r="C31" s="1" t="s">
        <v>47</v>
      </c>
      <c r="D31" s="1" t="s">
        <v>27</v>
      </c>
      <c r="E31" s="42">
        <v>48922.29</v>
      </c>
    </row>
    <row r="32" spans="1:15" x14ac:dyDescent="0.25">
      <c r="A32" s="31">
        <v>45169</v>
      </c>
      <c r="B32" s="1" t="s">
        <v>25</v>
      </c>
      <c r="C32" s="1" t="s">
        <v>2</v>
      </c>
      <c r="D32" s="1" t="s">
        <v>29</v>
      </c>
      <c r="E32" s="42">
        <v>42727.99</v>
      </c>
    </row>
    <row r="33" spans="1:5" x14ac:dyDescent="0.25">
      <c r="A33" s="31">
        <v>45140</v>
      </c>
      <c r="B33" s="1" t="s">
        <v>24</v>
      </c>
      <c r="C33" s="1" t="s">
        <v>45</v>
      </c>
      <c r="D33" s="1" t="s">
        <v>28</v>
      </c>
      <c r="E33" s="42">
        <v>21408.69</v>
      </c>
    </row>
    <row r="34" spans="1:5" x14ac:dyDescent="0.25">
      <c r="A34" s="31">
        <v>45141</v>
      </c>
      <c r="B34" s="1" t="s">
        <v>24</v>
      </c>
      <c r="C34" s="1" t="s">
        <v>45</v>
      </c>
      <c r="D34" s="1" t="s">
        <v>27</v>
      </c>
      <c r="E34" s="42">
        <v>24455.63</v>
      </c>
    </row>
    <row r="35" spans="1:5" x14ac:dyDescent="0.25">
      <c r="A35" s="31">
        <v>45146</v>
      </c>
      <c r="B35" s="1" t="s">
        <v>65</v>
      </c>
      <c r="C35" s="1" t="s">
        <v>2</v>
      </c>
      <c r="D35" s="1" t="s">
        <v>29</v>
      </c>
      <c r="E35" s="42">
        <v>28107.26</v>
      </c>
    </row>
    <row r="36" spans="1:5" x14ac:dyDescent="0.25">
      <c r="A36" s="31">
        <v>45164</v>
      </c>
      <c r="B36" s="1" t="s">
        <v>24</v>
      </c>
      <c r="C36" s="1" t="s">
        <v>45</v>
      </c>
      <c r="D36" s="1" t="s">
        <v>29</v>
      </c>
      <c r="E36" s="42">
        <v>45728.49</v>
      </c>
    </row>
    <row r="37" spans="1:5" x14ac:dyDescent="0.25">
      <c r="A37" s="31">
        <v>45146</v>
      </c>
      <c r="B37" s="1" t="s">
        <v>65</v>
      </c>
      <c r="C37" s="1" t="s">
        <v>47</v>
      </c>
      <c r="D37" s="1" t="s">
        <v>29</v>
      </c>
      <c r="E37" s="42">
        <v>34664.89</v>
      </c>
    </row>
    <row r="38" spans="1:5" x14ac:dyDescent="0.25">
      <c r="A38" s="31">
        <v>45166</v>
      </c>
      <c r="B38" s="1" t="s">
        <v>23</v>
      </c>
      <c r="C38" s="1" t="s">
        <v>47</v>
      </c>
      <c r="D38" s="1" t="s">
        <v>29</v>
      </c>
      <c r="E38" s="42">
        <v>19825.72</v>
      </c>
    </row>
    <row r="39" spans="1:5" x14ac:dyDescent="0.25">
      <c r="A39" s="31">
        <v>45140</v>
      </c>
      <c r="B39" s="1" t="s">
        <v>25</v>
      </c>
      <c r="C39" s="1" t="s">
        <v>47</v>
      </c>
      <c r="D39" s="1" t="s">
        <v>27</v>
      </c>
      <c r="E39" s="42">
        <v>38828.720000000001</v>
      </c>
    </row>
    <row r="40" spans="1:5" x14ac:dyDescent="0.25">
      <c r="A40" s="31">
        <v>45166</v>
      </c>
      <c r="B40" s="1" t="s">
        <v>24</v>
      </c>
      <c r="C40" s="1" t="s">
        <v>2</v>
      </c>
      <c r="D40" s="1" t="s">
        <v>27</v>
      </c>
      <c r="E40" s="42">
        <v>33850.26</v>
      </c>
    </row>
    <row r="41" spans="1:5" x14ac:dyDescent="0.25">
      <c r="A41" s="32">
        <v>45164</v>
      </c>
      <c r="B41" s="33" t="s">
        <v>25</v>
      </c>
      <c r="C41" s="33" t="s">
        <v>47</v>
      </c>
      <c r="D41" s="33" t="s">
        <v>29</v>
      </c>
      <c r="E41" s="43">
        <v>19003.09</v>
      </c>
    </row>
    <row r="42" spans="1:5" x14ac:dyDescent="0.25">
      <c r="A42" s="31">
        <v>45169</v>
      </c>
      <c r="B42" s="1" t="s">
        <v>25</v>
      </c>
      <c r="C42" s="1" t="s">
        <v>2</v>
      </c>
      <c r="D42" s="1" t="s">
        <v>29</v>
      </c>
      <c r="E42" s="42">
        <v>42727.99</v>
      </c>
    </row>
    <row r="43" spans="1:5" x14ac:dyDescent="0.25">
      <c r="A43" s="31">
        <v>45140</v>
      </c>
      <c r="B43" s="1" t="s">
        <v>24</v>
      </c>
      <c r="C43" s="1" t="s">
        <v>45</v>
      </c>
      <c r="D43" s="1" t="s">
        <v>28</v>
      </c>
      <c r="E43" s="42">
        <v>21408.69</v>
      </c>
    </row>
    <row r="44" spans="1:5" x14ac:dyDescent="0.25">
      <c r="A44" s="31">
        <v>45141</v>
      </c>
      <c r="B44" s="1" t="s">
        <v>24</v>
      </c>
      <c r="C44" s="1" t="s">
        <v>45</v>
      </c>
      <c r="D44" s="1" t="s">
        <v>27</v>
      </c>
      <c r="E44" s="42">
        <v>24455.63</v>
      </c>
    </row>
    <row r="45" spans="1:5" x14ac:dyDescent="0.25">
      <c r="A45" s="31">
        <v>45146</v>
      </c>
      <c r="B45" s="1" t="s">
        <v>65</v>
      </c>
      <c r="C45" s="1" t="s">
        <v>2</v>
      </c>
      <c r="D45" s="1" t="s">
        <v>29</v>
      </c>
      <c r="E45" s="42">
        <v>28107.26</v>
      </c>
    </row>
    <row r="46" spans="1:5" x14ac:dyDescent="0.25">
      <c r="A46" s="31">
        <v>45164</v>
      </c>
      <c r="B46" s="1" t="s">
        <v>24</v>
      </c>
      <c r="C46" s="1" t="s">
        <v>45</v>
      </c>
      <c r="D46" s="1" t="s">
        <v>29</v>
      </c>
      <c r="E46" s="42">
        <v>45728.49</v>
      </c>
    </row>
    <row r="47" spans="1:5" x14ac:dyDescent="0.25">
      <c r="A47" s="31">
        <v>45146</v>
      </c>
      <c r="B47" s="1" t="s">
        <v>65</v>
      </c>
      <c r="C47" s="1" t="s">
        <v>47</v>
      </c>
      <c r="D47" s="1" t="s">
        <v>29</v>
      </c>
      <c r="E47" s="42">
        <v>34664.89</v>
      </c>
    </row>
    <row r="48" spans="1:5" x14ac:dyDescent="0.25">
      <c r="A48" s="31">
        <v>45166</v>
      </c>
      <c r="B48" s="1" t="s">
        <v>23</v>
      </c>
      <c r="C48" s="1" t="s">
        <v>2</v>
      </c>
      <c r="D48" s="1" t="s">
        <v>29</v>
      </c>
      <c r="E48" s="42">
        <v>19825.72</v>
      </c>
    </row>
    <row r="49" spans="1:5" x14ac:dyDescent="0.25">
      <c r="A49" s="31">
        <v>45140</v>
      </c>
      <c r="B49" s="1" t="s">
        <v>25</v>
      </c>
      <c r="C49" s="1" t="s">
        <v>47</v>
      </c>
      <c r="D49" s="1" t="s">
        <v>27</v>
      </c>
      <c r="E49" s="42">
        <v>38828.720000000001</v>
      </c>
    </row>
    <row r="50" spans="1:5" x14ac:dyDescent="0.25">
      <c r="A50" s="31">
        <v>45166</v>
      </c>
      <c r="B50" s="1" t="s">
        <v>24</v>
      </c>
      <c r="C50" s="1" t="s">
        <v>2</v>
      </c>
      <c r="D50" s="1" t="s">
        <v>27</v>
      </c>
      <c r="E50" s="42">
        <v>33850.26</v>
      </c>
    </row>
    <row r="51" spans="1:5" x14ac:dyDescent="0.25">
      <c r="A51" s="32">
        <v>45164</v>
      </c>
      <c r="B51" s="33" t="s">
        <v>25</v>
      </c>
      <c r="C51" s="33" t="s">
        <v>47</v>
      </c>
      <c r="D51" s="33" t="s">
        <v>29</v>
      </c>
      <c r="E51" s="43">
        <v>19003.09</v>
      </c>
    </row>
    <row r="52" spans="1:5" x14ac:dyDescent="0.25">
      <c r="A52" s="31">
        <v>45164</v>
      </c>
      <c r="B52" s="1" t="s">
        <v>25</v>
      </c>
      <c r="C52" s="1" t="s">
        <v>2</v>
      </c>
      <c r="D52" s="1" t="s">
        <v>29</v>
      </c>
      <c r="E52" s="42">
        <v>26863.98</v>
      </c>
    </row>
    <row r="53" spans="1:5" x14ac:dyDescent="0.25">
      <c r="A53" s="31">
        <v>45153</v>
      </c>
      <c r="B53" s="1" t="s">
        <v>65</v>
      </c>
      <c r="C53" s="1" t="s">
        <v>47</v>
      </c>
      <c r="D53" s="1" t="s">
        <v>28</v>
      </c>
      <c r="E53" s="42">
        <v>35320.76</v>
      </c>
    </row>
    <row r="54" spans="1:5" x14ac:dyDescent="0.25">
      <c r="A54" s="31">
        <v>45144</v>
      </c>
      <c r="B54" s="1" t="s">
        <v>25</v>
      </c>
      <c r="C54" s="1" t="s">
        <v>45</v>
      </c>
      <c r="D54" s="1" t="s">
        <v>29</v>
      </c>
      <c r="E54" s="42">
        <v>15196.59</v>
      </c>
    </row>
    <row r="55" spans="1:5" x14ac:dyDescent="0.25">
      <c r="A55" s="31">
        <v>45149</v>
      </c>
      <c r="B55" s="1" t="s">
        <v>25</v>
      </c>
      <c r="C55" s="1" t="s">
        <v>2</v>
      </c>
      <c r="D55" s="1" t="s">
        <v>27</v>
      </c>
      <c r="E55" s="42">
        <v>48533.17</v>
      </c>
    </row>
    <row r="56" spans="1:5" x14ac:dyDescent="0.25">
      <c r="A56" s="31">
        <v>45157</v>
      </c>
      <c r="B56" s="1" t="s">
        <v>23</v>
      </c>
      <c r="C56" s="1" t="s">
        <v>45</v>
      </c>
      <c r="D56" s="1" t="s">
        <v>27</v>
      </c>
      <c r="E56" s="42">
        <v>30517.67</v>
      </c>
    </row>
    <row r="57" spans="1:5" x14ac:dyDescent="0.25">
      <c r="A57" s="31">
        <v>45148</v>
      </c>
      <c r="B57" s="1" t="s">
        <v>23</v>
      </c>
      <c r="C57" s="1" t="s">
        <v>2</v>
      </c>
      <c r="D57" s="1" t="s">
        <v>28</v>
      </c>
      <c r="E57" s="42">
        <v>22962.38</v>
      </c>
    </row>
    <row r="58" spans="1:5" x14ac:dyDescent="0.25">
      <c r="A58" s="31">
        <v>45143</v>
      </c>
      <c r="B58" s="1" t="s">
        <v>25</v>
      </c>
      <c r="C58" s="1" t="s">
        <v>45</v>
      </c>
      <c r="D58" s="1" t="s">
        <v>28</v>
      </c>
      <c r="E58" s="42">
        <v>26230.06</v>
      </c>
    </row>
    <row r="59" spans="1:5" x14ac:dyDescent="0.25">
      <c r="A59" s="31">
        <v>45149</v>
      </c>
      <c r="B59" s="1" t="s">
        <v>65</v>
      </c>
      <c r="C59" s="1" t="s">
        <v>45</v>
      </c>
      <c r="D59" s="1" t="s">
        <v>27</v>
      </c>
      <c r="E59" s="42">
        <v>34445.910000000003</v>
      </c>
    </row>
    <row r="60" spans="1:5" x14ac:dyDescent="0.25">
      <c r="A60" s="31">
        <v>45148</v>
      </c>
      <c r="B60" s="1" t="s">
        <v>65</v>
      </c>
      <c r="C60" s="1" t="s">
        <v>45</v>
      </c>
      <c r="D60" s="1" t="s">
        <v>28</v>
      </c>
      <c r="E60" s="42">
        <v>41175.589999999997</v>
      </c>
    </row>
    <row r="61" spans="1:5" x14ac:dyDescent="0.25">
      <c r="A61" s="31">
        <v>45156</v>
      </c>
      <c r="B61" s="1" t="s">
        <v>25</v>
      </c>
      <c r="C61" s="1" t="s">
        <v>2</v>
      </c>
      <c r="D61" s="1" t="s">
        <v>28</v>
      </c>
      <c r="E61" s="42">
        <v>28456.15</v>
      </c>
    </row>
    <row r="62" spans="1:5" x14ac:dyDescent="0.25">
      <c r="A62" s="32">
        <v>45168</v>
      </c>
      <c r="B62" s="33" t="s">
        <v>24</v>
      </c>
      <c r="C62" s="33" t="s">
        <v>47</v>
      </c>
      <c r="D62" s="33" t="s">
        <v>29</v>
      </c>
      <c r="E62" s="43">
        <v>46883.49</v>
      </c>
    </row>
  </sheetData>
  <mergeCells count="1">
    <mergeCell ref="O2:P2"/>
  </mergeCells>
  <conditionalFormatting sqref="A12:E62">
    <cfRule type="expression" dxfId="0" priority="1">
      <formula>AND($D12=$G$6,$C12=$H$6)</formula>
    </cfRule>
  </conditionalFormatting>
  <dataValidations count="2">
    <dataValidation type="list" allowBlank="1" showInputMessage="1" showErrorMessage="1" sqref="G6" xr:uid="{F3BC8A89-5D4C-4CE5-8DBE-6DF39F950F4D}">
      <formula1>$O$4:$O$6</formula1>
    </dataValidation>
    <dataValidation type="list" allowBlank="1" showInputMessage="1" showErrorMessage="1" sqref="H6" xr:uid="{FF8BEB16-9BC8-4730-9249-8B4B83931EC5}">
      <formula1>$P$4:$P$6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11968-A682-46DB-81DE-097889AE44FB}">
  <sheetPr>
    <tabColor rgb="FFFFC000"/>
  </sheetPr>
  <dimension ref="A1:M42"/>
  <sheetViews>
    <sheetView topLeftCell="A3" workbookViewId="0"/>
  </sheetViews>
  <sheetFormatPr defaultRowHeight="15" x14ac:dyDescent="0.25"/>
  <cols>
    <col min="1" max="1" width="13.7109375" customWidth="1"/>
    <col min="2" max="2" width="11.7109375" customWidth="1"/>
    <col min="3" max="3" width="20.140625" customWidth="1"/>
    <col min="4" max="4" width="29.42578125" customWidth="1"/>
    <col min="5" max="5" width="9.5703125" bestFit="1" customWidth="1"/>
    <col min="6" max="6" width="13.85546875" customWidth="1"/>
    <col min="7" max="9" width="25.28515625" customWidth="1"/>
    <col min="10" max="10" width="26.140625" customWidth="1"/>
    <col min="11" max="11" width="14" customWidth="1"/>
    <col min="12" max="12" width="15.42578125" customWidth="1"/>
    <col min="16" max="16" width="9.5703125" bestFit="1" customWidth="1"/>
    <col min="17" max="17" width="11.5703125" customWidth="1"/>
  </cols>
  <sheetData>
    <row r="1" spans="1:13" ht="21" x14ac:dyDescent="0.35">
      <c r="A1" s="7" t="s">
        <v>10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4" spans="1:13" x14ac:dyDescent="0.25">
      <c r="B4" s="10" t="s">
        <v>5</v>
      </c>
      <c r="C4" t="s">
        <v>11</v>
      </c>
      <c r="E4" s="10" t="s">
        <v>50</v>
      </c>
    </row>
    <row r="5" spans="1:13" x14ac:dyDescent="0.25">
      <c r="B5" s="10" t="s">
        <v>7</v>
      </c>
      <c r="C5" t="s">
        <v>12</v>
      </c>
      <c r="E5" s="10" t="s">
        <v>49</v>
      </c>
    </row>
    <row r="6" spans="1:13" x14ac:dyDescent="0.25">
      <c r="B6" s="10" t="s">
        <v>9</v>
      </c>
      <c r="C6" t="s">
        <v>13</v>
      </c>
    </row>
    <row r="7" spans="1:13" x14ac:dyDescent="0.25">
      <c r="B7" s="10" t="s">
        <v>14</v>
      </c>
      <c r="C7" t="s">
        <v>15</v>
      </c>
    </row>
    <row r="8" spans="1:13" x14ac:dyDescent="0.25">
      <c r="B8" s="10" t="s">
        <v>16</v>
      </c>
      <c r="C8" t="s">
        <v>17</v>
      </c>
    </row>
    <row r="10" spans="1:13" x14ac:dyDescent="0.25">
      <c r="I10" s="8"/>
      <c r="J10" s="8"/>
    </row>
    <row r="11" spans="1:13" ht="15.75" x14ac:dyDescent="0.25">
      <c r="A11" s="11" t="s">
        <v>1</v>
      </c>
      <c r="B11" s="11" t="s">
        <v>18</v>
      </c>
      <c r="C11" s="11" t="s">
        <v>19</v>
      </c>
      <c r="D11" s="11" t="s">
        <v>20</v>
      </c>
      <c r="E11" s="11" t="s">
        <v>21</v>
      </c>
      <c r="G11" s="16" t="s">
        <v>33</v>
      </c>
      <c r="H11" s="16" t="s">
        <v>4</v>
      </c>
      <c r="I11" s="16" t="s">
        <v>6</v>
      </c>
      <c r="J11" s="16" t="s">
        <v>8</v>
      </c>
    </row>
    <row r="12" spans="1:13" ht="15.6" customHeight="1" x14ac:dyDescent="0.25">
      <c r="A12" s="12">
        <v>45162</v>
      </c>
      <c r="B12" s="1" t="s">
        <v>24</v>
      </c>
      <c r="C12" s="1" t="s">
        <v>45</v>
      </c>
      <c r="D12" s="1" t="s">
        <v>31</v>
      </c>
      <c r="E12" s="1">
        <v>230.95</v>
      </c>
      <c r="G12" s="13" t="s">
        <v>34</v>
      </c>
      <c r="H12" s="13" t="s">
        <v>35</v>
      </c>
      <c r="I12" s="13" t="s">
        <v>36</v>
      </c>
      <c r="J12" s="25" t="s">
        <v>57</v>
      </c>
    </row>
    <row r="13" spans="1:13" x14ac:dyDescent="0.25">
      <c r="A13" s="12">
        <v>45161</v>
      </c>
      <c r="B13" s="1" t="s">
        <v>24</v>
      </c>
      <c r="C13" s="1" t="s">
        <v>45</v>
      </c>
      <c r="D13" s="1" t="s">
        <v>28</v>
      </c>
      <c r="E13" s="1">
        <v>88.27</v>
      </c>
      <c r="G13" s="17" t="s">
        <v>37</v>
      </c>
      <c r="H13" s="17" t="s">
        <v>38</v>
      </c>
      <c r="I13" s="17" t="s">
        <v>39</v>
      </c>
      <c r="J13" s="20" t="s">
        <v>51</v>
      </c>
    </row>
    <row r="14" spans="1:13" x14ac:dyDescent="0.25">
      <c r="A14" s="12">
        <v>45145</v>
      </c>
      <c r="B14" s="1" t="s">
        <v>25</v>
      </c>
      <c r="C14" s="1" t="s">
        <v>46</v>
      </c>
      <c r="D14" s="1" t="s">
        <v>28</v>
      </c>
      <c r="E14" s="1">
        <v>93.31</v>
      </c>
      <c r="G14" s="14">
        <f>COUNT(E12:E41)</f>
        <v>30</v>
      </c>
      <c r="H14" s="14">
        <f>COUNTA(D12:D41)</f>
        <v>30</v>
      </c>
      <c r="I14" s="21">
        <f>SUM(E12:E41)</f>
        <v>5302.15</v>
      </c>
      <c r="J14" s="22">
        <f>AVERAGE(E12:E41)</f>
        <v>176.73833333333332</v>
      </c>
    </row>
    <row r="15" spans="1:13" x14ac:dyDescent="0.25">
      <c r="A15" s="12">
        <v>45149</v>
      </c>
      <c r="B15" s="1" t="s">
        <v>32</v>
      </c>
      <c r="C15" s="1" t="s">
        <v>45</v>
      </c>
      <c r="D15" s="1" t="s">
        <v>28</v>
      </c>
      <c r="E15" s="1">
        <v>233.83</v>
      </c>
    </row>
    <row r="16" spans="1:13" x14ac:dyDescent="0.25">
      <c r="A16" s="12">
        <v>45164</v>
      </c>
      <c r="B16" s="1" t="s">
        <v>25</v>
      </c>
      <c r="C16" s="1" t="s">
        <v>48</v>
      </c>
      <c r="D16" s="1" t="s">
        <v>30</v>
      </c>
      <c r="E16" s="1">
        <v>197.36</v>
      </c>
      <c r="G16" s="1" t="s">
        <v>42</v>
      </c>
      <c r="H16" s="1"/>
    </row>
    <row r="17" spans="1:9" x14ac:dyDescent="0.25">
      <c r="A17" s="12">
        <v>45160</v>
      </c>
      <c r="B17" s="1" t="s">
        <v>22</v>
      </c>
      <c r="C17" s="1" t="s">
        <v>48</v>
      </c>
      <c r="D17" s="1" t="s">
        <v>27</v>
      </c>
      <c r="E17" s="1">
        <v>72.67</v>
      </c>
      <c r="G17" s="1" t="s">
        <v>19</v>
      </c>
      <c r="H17" s="12" t="s">
        <v>47</v>
      </c>
    </row>
    <row r="18" spans="1:9" x14ac:dyDescent="0.25">
      <c r="A18" s="12">
        <v>45164</v>
      </c>
      <c r="B18" s="1" t="s">
        <v>24</v>
      </c>
      <c r="C18" s="1" t="s">
        <v>2</v>
      </c>
      <c r="D18" s="1" t="s">
        <v>29</v>
      </c>
      <c r="E18" s="1">
        <v>77.55</v>
      </c>
      <c r="G18" s="10"/>
      <c r="H18" s="10"/>
      <c r="I18" s="10"/>
    </row>
    <row r="19" spans="1:9" x14ac:dyDescent="0.25">
      <c r="A19" s="12">
        <v>45153</v>
      </c>
      <c r="B19" s="1" t="s">
        <v>23</v>
      </c>
      <c r="C19" s="1" t="s">
        <v>47</v>
      </c>
      <c r="D19" s="1" t="s">
        <v>30</v>
      </c>
      <c r="E19" s="1">
        <v>100.98</v>
      </c>
      <c r="H19" s="16" t="s">
        <v>5</v>
      </c>
      <c r="I19" s="16" t="s">
        <v>7</v>
      </c>
    </row>
    <row r="20" spans="1:9" x14ac:dyDescent="0.25">
      <c r="A20" s="12">
        <v>45144</v>
      </c>
      <c r="B20" s="1" t="s">
        <v>23</v>
      </c>
      <c r="C20" s="1" t="s">
        <v>48</v>
      </c>
      <c r="D20" s="1" t="s">
        <v>29</v>
      </c>
      <c r="E20" s="1">
        <v>291.98</v>
      </c>
      <c r="H20" s="13" t="s">
        <v>40</v>
      </c>
      <c r="I20" s="13" t="s">
        <v>41</v>
      </c>
    </row>
    <row r="21" spans="1:9" x14ac:dyDescent="0.25">
      <c r="A21" s="12">
        <v>45149</v>
      </c>
      <c r="B21" s="1" t="s">
        <v>32</v>
      </c>
      <c r="C21" s="1" t="s">
        <v>46</v>
      </c>
      <c r="D21" s="1" t="s">
        <v>26</v>
      </c>
      <c r="E21" s="1">
        <v>254.87</v>
      </c>
      <c r="G21" s="17" t="s">
        <v>42</v>
      </c>
      <c r="H21" s="17" t="s">
        <v>43</v>
      </c>
      <c r="I21" s="17" t="s">
        <v>44</v>
      </c>
    </row>
    <row r="22" spans="1:9" x14ac:dyDescent="0.25">
      <c r="A22" s="12">
        <v>45157</v>
      </c>
      <c r="B22" s="1" t="s">
        <v>25</v>
      </c>
      <c r="C22" s="1" t="s">
        <v>46</v>
      </c>
      <c r="D22" s="1" t="s">
        <v>28</v>
      </c>
      <c r="E22" s="1">
        <v>272.04000000000002</v>
      </c>
      <c r="G22" s="1" t="s">
        <v>48</v>
      </c>
      <c r="H22" s="14">
        <f>COUNTIFS(C12:C41,G22)</f>
        <v>7</v>
      </c>
      <c r="I22" s="15">
        <f>SUMIFS(E12:E41,C12:C41,G22)</f>
        <v>1208.8</v>
      </c>
    </row>
    <row r="23" spans="1:9" x14ac:dyDescent="0.25">
      <c r="A23" s="12">
        <v>45148</v>
      </c>
      <c r="B23" s="1" t="s">
        <v>24</v>
      </c>
      <c r="C23" s="1" t="s">
        <v>45</v>
      </c>
      <c r="D23" s="1" t="s">
        <v>27</v>
      </c>
      <c r="E23" s="1">
        <v>196.26</v>
      </c>
      <c r="G23" s="17" t="s">
        <v>42</v>
      </c>
      <c r="H23" s="17" t="s">
        <v>43</v>
      </c>
      <c r="I23" s="17" t="s">
        <v>44</v>
      </c>
    </row>
    <row r="24" spans="1:9" x14ac:dyDescent="0.25">
      <c r="A24" s="12">
        <v>45143</v>
      </c>
      <c r="B24" s="1" t="s">
        <v>32</v>
      </c>
      <c r="C24" s="1" t="s">
        <v>47</v>
      </c>
      <c r="D24" s="1" t="s">
        <v>29</v>
      </c>
      <c r="E24" s="1">
        <v>112.59</v>
      </c>
      <c r="G24" s="12">
        <v>45143</v>
      </c>
      <c r="H24" s="14">
        <f>COUNTIFS(A12:A41,G24)</f>
        <v>1</v>
      </c>
      <c r="I24" s="15">
        <f>SUMIFS(E12:E41,A12:A41,G24)</f>
        <v>112.59</v>
      </c>
    </row>
    <row r="25" spans="1:9" x14ac:dyDescent="0.25">
      <c r="A25" s="12">
        <v>45149</v>
      </c>
      <c r="B25" s="1" t="s">
        <v>23</v>
      </c>
      <c r="C25" s="1" t="s">
        <v>2</v>
      </c>
      <c r="D25" s="1" t="s">
        <v>27</v>
      </c>
      <c r="E25" s="1">
        <v>196.3</v>
      </c>
      <c r="G25" s="17" t="s">
        <v>42</v>
      </c>
      <c r="H25" s="17" t="s">
        <v>43</v>
      </c>
      <c r="I25" s="17" t="s">
        <v>44</v>
      </c>
    </row>
    <row r="26" spans="1:9" x14ac:dyDescent="0.25">
      <c r="A26" s="12">
        <v>45148</v>
      </c>
      <c r="B26" s="1" t="s">
        <v>22</v>
      </c>
      <c r="C26" s="1" t="s">
        <v>45</v>
      </c>
      <c r="D26" s="1" t="s">
        <v>30</v>
      </c>
      <c r="E26" s="1">
        <v>287.12</v>
      </c>
      <c r="G26" s="1" t="s">
        <v>27</v>
      </c>
      <c r="H26" s="14">
        <f>COUNTIFS(D12:D41,G26)</f>
        <v>6</v>
      </c>
      <c r="I26" s="15">
        <f>SUMIFS(E12:E41,D12:D41,G26)</f>
        <v>1051.5900000000001</v>
      </c>
    </row>
    <row r="27" spans="1:9" x14ac:dyDescent="0.25">
      <c r="A27" s="12">
        <v>45156</v>
      </c>
      <c r="B27" s="1" t="s">
        <v>22</v>
      </c>
      <c r="C27" s="1" t="s">
        <v>45</v>
      </c>
      <c r="D27" s="1" t="s">
        <v>30</v>
      </c>
      <c r="E27" s="1">
        <v>133.05000000000001</v>
      </c>
      <c r="G27" s="17" t="s">
        <v>42</v>
      </c>
      <c r="H27" s="17" t="s">
        <v>43</v>
      </c>
      <c r="I27" s="17" t="s">
        <v>44</v>
      </c>
    </row>
    <row r="28" spans="1:9" x14ac:dyDescent="0.25">
      <c r="A28" s="12">
        <v>45168</v>
      </c>
      <c r="B28" s="1" t="s">
        <v>22</v>
      </c>
      <c r="C28" s="1" t="s">
        <v>2</v>
      </c>
      <c r="D28" s="1" t="s">
        <v>29</v>
      </c>
      <c r="E28" s="1">
        <v>137.51</v>
      </c>
      <c r="G28" s="12" t="s">
        <v>25</v>
      </c>
      <c r="H28" s="14">
        <f>COUNTIFS(B12:B41,G28)</f>
        <v>5</v>
      </c>
      <c r="I28" s="15">
        <f>SUMIFS(E12:E41,B12:B41,G28)</f>
        <v>1001.5</v>
      </c>
    </row>
    <row r="29" spans="1:9" x14ac:dyDescent="0.25">
      <c r="A29" s="12">
        <v>45152</v>
      </c>
      <c r="B29" s="1" t="s">
        <v>23</v>
      </c>
      <c r="C29" s="1" t="s">
        <v>45</v>
      </c>
      <c r="D29" s="1" t="s">
        <v>27</v>
      </c>
      <c r="E29" s="1">
        <v>129</v>
      </c>
      <c r="H29" s="8"/>
    </row>
    <row r="30" spans="1:9" x14ac:dyDescent="0.25">
      <c r="A30" s="12">
        <v>45144</v>
      </c>
      <c r="B30" s="1" t="s">
        <v>24</v>
      </c>
      <c r="C30" s="1" t="s">
        <v>45</v>
      </c>
      <c r="D30" s="1" t="s">
        <v>27</v>
      </c>
      <c r="E30" s="1">
        <v>266.74</v>
      </c>
      <c r="H30" s="8"/>
    </row>
    <row r="31" spans="1:9" x14ac:dyDescent="0.25">
      <c r="A31" s="12">
        <v>45158</v>
      </c>
      <c r="B31" s="1" t="s">
        <v>24</v>
      </c>
      <c r="C31" s="1" t="s">
        <v>48</v>
      </c>
      <c r="D31" s="1" t="s">
        <v>27</v>
      </c>
      <c r="E31" s="1">
        <v>190.62</v>
      </c>
      <c r="H31" s="16" t="s">
        <v>9</v>
      </c>
    </row>
    <row r="32" spans="1:9" x14ac:dyDescent="0.25">
      <c r="A32" s="12">
        <v>45169</v>
      </c>
      <c r="B32" s="1" t="s">
        <v>24</v>
      </c>
      <c r="C32" s="1" t="s">
        <v>46</v>
      </c>
      <c r="D32" s="1" t="s">
        <v>28</v>
      </c>
      <c r="E32" s="1">
        <v>163.83000000000001</v>
      </c>
      <c r="G32" s="17" t="s">
        <v>42</v>
      </c>
      <c r="H32" s="17"/>
    </row>
    <row r="33" spans="1:8" x14ac:dyDescent="0.25">
      <c r="A33" s="12">
        <v>45140</v>
      </c>
      <c r="B33" s="1" t="s">
        <v>24</v>
      </c>
      <c r="C33" s="1" t="s">
        <v>48</v>
      </c>
      <c r="D33" s="1" t="s">
        <v>29</v>
      </c>
      <c r="E33" s="1">
        <v>78.59</v>
      </c>
      <c r="G33" s="1" t="s">
        <v>25</v>
      </c>
      <c r="H33" s="14">
        <f>AVERAGEIFS(E12:E41,B12:B41,G33)</f>
        <v>200.3</v>
      </c>
    </row>
    <row r="34" spans="1:8" x14ac:dyDescent="0.25">
      <c r="A34" s="12">
        <v>45141</v>
      </c>
      <c r="B34" s="1" t="s">
        <v>25</v>
      </c>
      <c r="C34" s="1" t="s">
        <v>45</v>
      </c>
      <c r="D34" s="1" t="s">
        <v>30</v>
      </c>
      <c r="E34" s="1">
        <v>170.26</v>
      </c>
      <c r="H34" s="8"/>
    </row>
    <row r="35" spans="1:8" x14ac:dyDescent="0.25">
      <c r="A35" s="12">
        <v>45146</v>
      </c>
      <c r="B35" s="1" t="s">
        <v>32</v>
      </c>
      <c r="C35" s="1" t="s">
        <v>47</v>
      </c>
      <c r="D35" s="1" t="s">
        <v>29</v>
      </c>
      <c r="E35" s="1">
        <v>210.55</v>
      </c>
      <c r="H35" s="16" t="s">
        <v>14</v>
      </c>
    </row>
    <row r="36" spans="1:8" x14ac:dyDescent="0.25">
      <c r="A36" s="12">
        <v>45164</v>
      </c>
      <c r="B36" s="1" t="s">
        <v>22</v>
      </c>
      <c r="C36" s="1" t="s">
        <v>47</v>
      </c>
      <c r="D36" s="1" t="s">
        <v>26</v>
      </c>
      <c r="E36" s="1">
        <v>92.76</v>
      </c>
      <c r="G36" s="17" t="s">
        <v>42</v>
      </c>
      <c r="H36" s="17"/>
    </row>
    <row r="37" spans="1:8" x14ac:dyDescent="0.25">
      <c r="A37" s="12">
        <v>45146</v>
      </c>
      <c r="B37" s="1" t="s">
        <v>32</v>
      </c>
      <c r="C37" s="1" t="s">
        <v>47</v>
      </c>
      <c r="D37" s="1" t="s">
        <v>26</v>
      </c>
      <c r="E37" s="1">
        <v>289.64999999999998</v>
      </c>
      <c r="G37" s="12" t="s">
        <v>27</v>
      </c>
      <c r="H37" s="14">
        <f>_xlfn.MINIFS(E12:E41,D12:D41,G37)</f>
        <v>72.67</v>
      </c>
    </row>
    <row r="38" spans="1:8" x14ac:dyDescent="0.25">
      <c r="A38" s="12">
        <v>45166</v>
      </c>
      <c r="B38" s="1" t="s">
        <v>25</v>
      </c>
      <c r="C38" s="1" t="s">
        <v>48</v>
      </c>
      <c r="D38" s="1" t="s">
        <v>26</v>
      </c>
      <c r="E38" s="1">
        <v>268.52999999999997</v>
      </c>
      <c r="H38" s="8"/>
    </row>
    <row r="39" spans="1:8" x14ac:dyDescent="0.25">
      <c r="A39" s="12">
        <v>45140</v>
      </c>
      <c r="B39" s="1" t="s">
        <v>32</v>
      </c>
      <c r="C39" s="1" t="s">
        <v>48</v>
      </c>
      <c r="D39" s="1" t="s">
        <v>30</v>
      </c>
      <c r="E39" s="1">
        <v>109.05</v>
      </c>
      <c r="H39" s="16" t="s">
        <v>16</v>
      </c>
    </row>
    <row r="40" spans="1:8" x14ac:dyDescent="0.25">
      <c r="A40" s="12">
        <v>45166</v>
      </c>
      <c r="B40" s="1" t="s">
        <v>23</v>
      </c>
      <c r="C40" s="1" t="s">
        <v>46</v>
      </c>
      <c r="D40" s="1" t="s">
        <v>30</v>
      </c>
      <c r="E40" s="1">
        <v>151.74</v>
      </c>
      <c r="G40" s="17" t="s">
        <v>42</v>
      </c>
      <c r="H40" s="17"/>
    </row>
    <row r="41" spans="1:8" x14ac:dyDescent="0.25">
      <c r="A41" s="12">
        <v>45164</v>
      </c>
      <c r="B41" s="1" t="s">
        <v>22</v>
      </c>
      <c r="C41" s="1" t="s">
        <v>47</v>
      </c>
      <c r="D41" s="1" t="s">
        <v>29</v>
      </c>
      <c r="E41" s="1">
        <v>204.19</v>
      </c>
      <c r="G41" s="1" t="s">
        <v>27</v>
      </c>
      <c r="H41" s="14">
        <f>_xlfn.MAXIFS(E12:E41,D12:D41,G41)</f>
        <v>266.74</v>
      </c>
    </row>
    <row r="42" spans="1:8" x14ac:dyDescent="0.25">
      <c r="H42" s="8"/>
    </row>
  </sheetData>
  <conditionalFormatting sqref="A12:E41">
    <cfRule type="expression" dxfId="10" priority="2">
      <formula>$C12=$H$17</formula>
    </cfRule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D9084-C33C-4ED2-95ED-20191EBA678B}">
  <sheetPr>
    <tabColor rgb="FF0070C0"/>
  </sheetPr>
  <dimension ref="A1:M41"/>
  <sheetViews>
    <sheetView workbookViewId="0"/>
  </sheetViews>
  <sheetFormatPr defaultRowHeight="15" x14ac:dyDescent="0.25"/>
  <cols>
    <col min="1" max="1" width="17" customWidth="1"/>
    <col min="2" max="2" width="11.7109375" customWidth="1"/>
    <col min="3" max="3" width="17" customWidth="1"/>
    <col min="4" max="4" width="19.5703125" customWidth="1"/>
    <col min="5" max="5" width="16.42578125" customWidth="1"/>
    <col min="6" max="6" width="5.85546875" customWidth="1"/>
    <col min="7" max="7" width="17.28515625" customWidth="1"/>
    <col min="8" max="8" width="25.28515625" customWidth="1"/>
    <col min="9" max="9" width="3.85546875" customWidth="1"/>
    <col min="10" max="10" width="49.28515625" customWidth="1"/>
    <col min="11" max="11" width="4.28515625" customWidth="1"/>
    <col min="12" max="12" width="18.5703125" customWidth="1"/>
    <col min="13" max="13" width="15.42578125" customWidth="1"/>
    <col min="17" max="17" width="9.5703125" bestFit="1" customWidth="1"/>
    <col min="18" max="18" width="11.5703125" customWidth="1"/>
  </cols>
  <sheetData>
    <row r="1" spans="1:13" ht="21" x14ac:dyDescent="0.35">
      <c r="A1" s="7" t="s">
        <v>171</v>
      </c>
      <c r="B1" s="6"/>
      <c r="C1" s="6"/>
      <c r="D1" s="6"/>
      <c r="E1" s="6"/>
      <c r="F1" s="6"/>
      <c r="G1" s="6"/>
      <c r="H1" s="6"/>
    </row>
    <row r="2" spans="1:13" ht="15.75" x14ac:dyDescent="0.25">
      <c r="A2" s="29" t="s">
        <v>52</v>
      </c>
      <c r="B2" s="30"/>
      <c r="C2" s="30"/>
      <c r="D2" s="30"/>
      <c r="E2" s="28"/>
    </row>
    <row r="3" spans="1:13" ht="15.75" x14ac:dyDescent="0.25">
      <c r="A3" s="30" t="s">
        <v>63</v>
      </c>
      <c r="B3" s="30"/>
      <c r="C3" s="30"/>
      <c r="D3" s="30"/>
      <c r="E3" s="28"/>
      <c r="G3" s="46" t="s">
        <v>55</v>
      </c>
      <c r="H3" s="45" t="s">
        <v>56</v>
      </c>
    </row>
    <row r="4" spans="1:13" ht="15.75" x14ac:dyDescent="0.25">
      <c r="A4" s="30" t="s">
        <v>69</v>
      </c>
      <c r="B4" s="30"/>
      <c r="C4" s="30"/>
      <c r="D4" s="30"/>
      <c r="E4" s="27"/>
      <c r="L4" s="77" t="s">
        <v>94</v>
      </c>
      <c r="M4" s="77"/>
    </row>
    <row r="5" spans="1:13" ht="15.75" x14ac:dyDescent="0.25">
      <c r="A5" s="30" t="s">
        <v>68</v>
      </c>
      <c r="B5" s="29"/>
      <c r="C5" s="30"/>
      <c r="D5" s="30"/>
      <c r="E5" s="27"/>
      <c r="L5" s="78" t="s">
        <v>95</v>
      </c>
      <c r="M5" s="78" t="s">
        <v>19</v>
      </c>
    </row>
    <row r="6" spans="1:13" x14ac:dyDescent="0.25">
      <c r="B6" s="10"/>
      <c r="L6" s="1" t="str" cm="1">
        <f t="array" ref="L6:L8">_xlfn._xlws.SORT(_xlfn.UNIQUE(D12:D41))</f>
        <v>Hot Wheels</v>
      </c>
      <c r="M6" s="1" t="str" cm="1">
        <f t="array" ref="M6:M8">_xlfn._xlws.SORT(_xlfn.UNIQUE(C12:C41))</f>
        <v>Cinderelli</v>
      </c>
    </row>
    <row r="7" spans="1:13" x14ac:dyDescent="0.25">
      <c r="A7" s="10" t="s">
        <v>7</v>
      </c>
      <c r="B7" t="s">
        <v>86</v>
      </c>
      <c r="G7" s="39" t="s">
        <v>42</v>
      </c>
      <c r="H7" s="39"/>
      <c r="L7" s="1" t="str">
        <v>LOL OMG Surprise</v>
      </c>
      <c r="M7" s="1" t="str">
        <v>Miles</v>
      </c>
    </row>
    <row r="8" spans="1:13" ht="15.75" x14ac:dyDescent="0.25">
      <c r="B8" s="10"/>
      <c r="G8" s="38" t="s">
        <v>20</v>
      </c>
      <c r="H8" s="38" t="s">
        <v>19</v>
      </c>
      <c r="L8" s="1" t="str">
        <v>LOL Surprise</v>
      </c>
      <c r="M8" s="1" t="str">
        <v>Tiana</v>
      </c>
    </row>
    <row r="9" spans="1:13" ht="22.15" customHeight="1" x14ac:dyDescent="0.25">
      <c r="A9" s="46"/>
      <c r="B9" s="47"/>
      <c r="C9" s="47"/>
      <c r="D9" s="47"/>
      <c r="E9" s="47"/>
      <c r="G9" s="1" t="s">
        <v>29</v>
      </c>
      <c r="H9" s="1" t="s">
        <v>2</v>
      </c>
    </row>
    <row r="10" spans="1:13" ht="15.75" x14ac:dyDescent="0.25">
      <c r="G10" s="40" t="s">
        <v>64</v>
      </c>
      <c r="H10" s="48"/>
      <c r="J10" s="44" t="str">
        <f ca="1">IF(_xlfn.ISFORMULA(H10),_xlfn.FORMULATEXT(H10),"")</f>
        <v/>
      </c>
      <c r="K10" s="8"/>
    </row>
    <row r="11" spans="1:13" ht="15.75" x14ac:dyDescent="0.25">
      <c r="A11" s="65" t="s">
        <v>1</v>
      </c>
      <c r="B11" s="66" t="s">
        <v>18</v>
      </c>
      <c r="C11" s="66" t="s">
        <v>19</v>
      </c>
      <c r="D11" s="66" t="s">
        <v>20</v>
      </c>
      <c r="E11" s="67" t="s">
        <v>21</v>
      </c>
    </row>
    <row r="12" spans="1:13" ht="21" x14ac:dyDescent="0.35">
      <c r="A12" s="68">
        <v>45162</v>
      </c>
      <c r="B12" s="69" t="s">
        <v>24</v>
      </c>
      <c r="C12" s="69" t="s">
        <v>47</v>
      </c>
      <c r="D12" s="69" t="s">
        <v>29</v>
      </c>
      <c r="E12" s="70">
        <v>23935.3</v>
      </c>
      <c r="G12" s="60" t="s">
        <v>70</v>
      </c>
    </row>
    <row r="13" spans="1:13" x14ac:dyDescent="0.25">
      <c r="A13" s="71">
        <v>45161</v>
      </c>
      <c r="B13" s="72" t="s">
        <v>24</v>
      </c>
      <c r="C13" s="72" t="s">
        <v>45</v>
      </c>
      <c r="D13" s="72" t="s">
        <v>27</v>
      </c>
      <c r="E13" s="73">
        <v>46241.84</v>
      </c>
    </row>
    <row r="14" spans="1:13" x14ac:dyDescent="0.25">
      <c r="A14" s="68">
        <v>45145</v>
      </c>
      <c r="B14" s="69" t="s">
        <v>25</v>
      </c>
      <c r="C14" s="69" t="s">
        <v>2</v>
      </c>
      <c r="D14" s="69" t="s">
        <v>27</v>
      </c>
      <c r="E14" s="70">
        <v>20003.13</v>
      </c>
      <c r="G14" s="49" t="s">
        <v>18</v>
      </c>
      <c r="H14" s="51" t="s">
        <v>64</v>
      </c>
    </row>
    <row r="15" spans="1:13" ht="15.75" x14ac:dyDescent="0.25">
      <c r="A15" s="71">
        <v>45149</v>
      </c>
      <c r="B15" s="72" t="s">
        <v>25</v>
      </c>
      <c r="C15" s="72" t="s">
        <v>2</v>
      </c>
      <c r="D15" s="72" t="s">
        <v>29</v>
      </c>
      <c r="E15" s="73">
        <v>24148.61</v>
      </c>
      <c r="G15" s="50" t="s">
        <v>24</v>
      </c>
      <c r="H15" s="52"/>
      <c r="J15" s="44" t="str">
        <f ca="1">IF(_xlfn.ISFORMULA(H15),_xlfn.FORMULATEXT(H15),"")</f>
        <v/>
      </c>
    </row>
    <row r="16" spans="1:13" ht="15.75" x14ac:dyDescent="0.25">
      <c r="A16" s="68">
        <v>45164</v>
      </c>
      <c r="B16" s="69" t="s">
        <v>24</v>
      </c>
      <c r="C16" s="69" t="s">
        <v>47</v>
      </c>
      <c r="D16" s="69" t="s">
        <v>29</v>
      </c>
      <c r="E16" s="70">
        <v>43173.32</v>
      </c>
      <c r="G16" s="50" t="s">
        <v>65</v>
      </c>
      <c r="H16" s="52"/>
      <c r="J16" s="30" t="s">
        <v>161</v>
      </c>
      <c r="K16" s="28"/>
      <c r="L16" s="28"/>
    </row>
    <row r="17" spans="1:10" x14ac:dyDescent="0.25">
      <c r="A17" s="71">
        <v>45160</v>
      </c>
      <c r="B17" s="72" t="s">
        <v>23</v>
      </c>
      <c r="C17" s="72" t="s">
        <v>47</v>
      </c>
      <c r="D17" s="72" t="s">
        <v>28</v>
      </c>
      <c r="E17" s="73">
        <v>23553.65</v>
      </c>
      <c r="G17" s="50" t="s">
        <v>23</v>
      </c>
      <c r="H17" s="52"/>
    </row>
    <row r="18" spans="1:10" x14ac:dyDescent="0.25">
      <c r="A18" s="68">
        <v>45164</v>
      </c>
      <c r="B18" s="69" t="s">
        <v>25</v>
      </c>
      <c r="C18" s="69" t="s">
        <v>2</v>
      </c>
      <c r="D18" s="69" t="s">
        <v>29</v>
      </c>
      <c r="E18" s="70">
        <v>26863.98</v>
      </c>
      <c r="G18" s="34" t="s">
        <v>25</v>
      </c>
      <c r="H18" s="53"/>
    </row>
    <row r="19" spans="1:10" x14ac:dyDescent="0.25">
      <c r="A19" s="71">
        <v>45153</v>
      </c>
      <c r="B19" s="72" t="s">
        <v>65</v>
      </c>
      <c r="C19" s="72" t="s">
        <v>47</v>
      </c>
      <c r="D19" s="72" t="s">
        <v>28</v>
      </c>
      <c r="E19" s="73">
        <v>35320.76</v>
      </c>
    </row>
    <row r="20" spans="1:10" x14ac:dyDescent="0.25">
      <c r="A20" s="68">
        <v>45144</v>
      </c>
      <c r="B20" s="69" t="s">
        <v>25</v>
      </c>
      <c r="C20" s="69" t="s">
        <v>45</v>
      </c>
      <c r="D20" s="69" t="s">
        <v>29</v>
      </c>
      <c r="E20" s="70">
        <v>15196.59</v>
      </c>
      <c r="G20" s="10" t="s">
        <v>71</v>
      </c>
    </row>
    <row r="21" spans="1:10" x14ac:dyDescent="0.25">
      <c r="A21" s="71">
        <v>45149</v>
      </c>
      <c r="B21" s="72" t="s">
        <v>25</v>
      </c>
      <c r="C21" s="72" t="s">
        <v>2</v>
      </c>
      <c r="D21" s="72" t="s">
        <v>27</v>
      </c>
      <c r="E21" s="73">
        <v>48533.17</v>
      </c>
      <c r="G21" t="s">
        <v>72</v>
      </c>
    </row>
    <row r="22" spans="1:10" x14ac:dyDescent="0.25">
      <c r="A22" s="68">
        <v>45157</v>
      </c>
      <c r="B22" s="69" t="s">
        <v>23</v>
      </c>
      <c r="C22" s="69" t="s">
        <v>45</v>
      </c>
      <c r="D22" s="69" t="s">
        <v>27</v>
      </c>
      <c r="E22" s="70">
        <v>30517.67</v>
      </c>
      <c r="G22" t="s">
        <v>73</v>
      </c>
    </row>
    <row r="23" spans="1:10" x14ac:dyDescent="0.25">
      <c r="A23" s="71">
        <v>45148</v>
      </c>
      <c r="B23" s="72" t="s">
        <v>23</v>
      </c>
      <c r="C23" s="72" t="s">
        <v>2</v>
      </c>
      <c r="D23" s="72" t="s">
        <v>28</v>
      </c>
      <c r="E23" s="73">
        <v>22962.38</v>
      </c>
      <c r="G23" t="s">
        <v>74</v>
      </c>
    </row>
    <row r="24" spans="1:10" x14ac:dyDescent="0.25">
      <c r="A24" s="68">
        <v>45143</v>
      </c>
      <c r="B24" s="69" t="s">
        <v>25</v>
      </c>
      <c r="C24" s="69" t="s">
        <v>45</v>
      </c>
      <c r="D24" s="69" t="s">
        <v>28</v>
      </c>
      <c r="E24" s="70">
        <v>26230.06</v>
      </c>
    </row>
    <row r="25" spans="1:10" x14ac:dyDescent="0.25">
      <c r="A25" s="71">
        <v>45149</v>
      </c>
      <c r="B25" s="72" t="s">
        <v>65</v>
      </c>
      <c r="C25" s="72" t="s">
        <v>45</v>
      </c>
      <c r="D25" s="72" t="s">
        <v>27</v>
      </c>
      <c r="E25" s="73">
        <v>34445.910000000003</v>
      </c>
      <c r="G25" t="s">
        <v>75</v>
      </c>
    </row>
    <row r="26" spans="1:10" x14ac:dyDescent="0.25">
      <c r="A26" s="68">
        <v>45148</v>
      </c>
      <c r="B26" s="69" t="s">
        <v>65</v>
      </c>
      <c r="C26" s="69" t="s">
        <v>45</v>
      </c>
      <c r="D26" s="69" t="s">
        <v>28</v>
      </c>
      <c r="E26" s="70">
        <v>41175.589999999997</v>
      </c>
    </row>
    <row r="27" spans="1:10" x14ac:dyDescent="0.25">
      <c r="A27" s="71">
        <v>45156</v>
      </c>
      <c r="B27" s="72" t="s">
        <v>25</v>
      </c>
      <c r="C27" s="72" t="s">
        <v>2</v>
      </c>
      <c r="D27" s="72" t="s">
        <v>28</v>
      </c>
      <c r="E27" s="73">
        <v>28456.15</v>
      </c>
    </row>
    <row r="28" spans="1:10" x14ac:dyDescent="0.25">
      <c r="A28" s="68">
        <v>45168</v>
      </c>
      <c r="B28" s="69" t="s">
        <v>24</v>
      </c>
      <c r="C28" s="69" t="s">
        <v>47</v>
      </c>
      <c r="D28" s="69" t="s">
        <v>29</v>
      </c>
      <c r="E28" s="70">
        <v>46883.49</v>
      </c>
      <c r="J28" t="s">
        <v>0</v>
      </c>
    </row>
    <row r="29" spans="1:10" x14ac:dyDescent="0.25">
      <c r="A29" s="71">
        <v>45152</v>
      </c>
      <c r="B29" s="72" t="s">
        <v>25</v>
      </c>
      <c r="C29" s="72" t="s">
        <v>47</v>
      </c>
      <c r="D29" s="72" t="s">
        <v>29</v>
      </c>
      <c r="E29" s="73">
        <v>48675.77</v>
      </c>
    </row>
    <row r="30" spans="1:10" x14ac:dyDescent="0.25">
      <c r="A30" s="68">
        <v>45144</v>
      </c>
      <c r="B30" s="69" t="s">
        <v>23</v>
      </c>
      <c r="C30" s="69" t="s">
        <v>2</v>
      </c>
      <c r="D30" s="69" t="s">
        <v>27</v>
      </c>
      <c r="E30" s="70">
        <v>19604.95</v>
      </c>
    </row>
    <row r="31" spans="1:10" x14ac:dyDescent="0.25">
      <c r="A31" s="71">
        <v>45158</v>
      </c>
      <c r="B31" s="72" t="s">
        <v>23</v>
      </c>
      <c r="C31" s="72" t="s">
        <v>47</v>
      </c>
      <c r="D31" s="72" t="s">
        <v>27</v>
      </c>
      <c r="E31" s="73">
        <v>48922.29</v>
      </c>
    </row>
    <row r="32" spans="1:10" x14ac:dyDescent="0.25">
      <c r="A32" s="68">
        <v>45169</v>
      </c>
      <c r="B32" s="69" t="s">
        <v>25</v>
      </c>
      <c r="C32" s="69" t="s">
        <v>2</v>
      </c>
      <c r="D32" s="69" t="s">
        <v>29</v>
      </c>
      <c r="E32" s="70">
        <v>42727.99</v>
      </c>
    </row>
    <row r="33" spans="1:5" x14ac:dyDescent="0.25">
      <c r="A33" s="71">
        <v>45140</v>
      </c>
      <c r="B33" s="72" t="s">
        <v>24</v>
      </c>
      <c r="C33" s="72" t="s">
        <v>45</v>
      </c>
      <c r="D33" s="72" t="s">
        <v>28</v>
      </c>
      <c r="E33" s="73">
        <v>21408.69</v>
      </c>
    </row>
    <row r="34" spans="1:5" x14ac:dyDescent="0.25">
      <c r="A34" s="68">
        <v>45141</v>
      </c>
      <c r="B34" s="69" t="s">
        <v>24</v>
      </c>
      <c r="C34" s="69" t="s">
        <v>45</v>
      </c>
      <c r="D34" s="69" t="s">
        <v>27</v>
      </c>
      <c r="E34" s="70">
        <v>24455.63</v>
      </c>
    </row>
    <row r="35" spans="1:5" x14ac:dyDescent="0.25">
      <c r="A35" s="71">
        <v>45146</v>
      </c>
      <c r="B35" s="72" t="s">
        <v>65</v>
      </c>
      <c r="C35" s="72" t="s">
        <v>2</v>
      </c>
      <c r="D35" s="72" t="s">
        <v>29</v>
      </c>
      <c r="E35" s="73">
        <v>28107.26</v>
      </c>
    </row>
    <row r="36" spans="1:5" x14ac:dyDescent="0.25">
      <c r="A36" s="68">
        <v>45164</v>
      </c>
      <c r="B36" s="69" t="s">
        <v>24</v>
      </c>
      <c r="C36" s="69" t="s">
        <v>45</v>
      </c>
      <c r="D36" s="69" t="s">
        <v>29</v>
      </c>
      <c r="E36" s="70">
        <v>45728.49</v>
      </c>
    </row>
    <row r="37" spans="1:5" x14ac:dyDescent="0.25">
      <c r="A37" s="71">
        <v>45146</v>
      </c>
      <c r="B37" s="72" t="s">
        <v>65</v>
      </c>
      <c r="C37" s="72" t="s">
        <v>47</v>
      </c>
      <c r="D37" s="72" t="s">
        <v>29</v>
      </c>
      <c r="E37" s="73">
        <v>34664.89</v>
      </c>
    </row>
    <row r="38" spans="1:5" x14ac:dyDescent="0.25">
      <c r="A38" s="68">
        <v>45166</v>
      </c>
      <c r="B38" s="69" t="s">
        <v>23</v>
      </c>
      <c r="C38" s="69" t="s">
        <v>47</v>
      </c>
      <c r="D38" s="69" t="s">
        <v>29</v>
      </c>
      <c r="E38" s="70">
        <v>19825.72</v>
      </c>
    </row>
    <row r="39" spans="1:5" x14ac:dyDescent="0.25">
      <c r="A39" s="71">
        <v>45140</v>
      </c>
      <c r="B39" s="72" t="s">
        <v>25</v>
      </c>
      <c r="C39" s="72" t="s">
        <v>47</v>
      </c>
      <c r="D39" s="72" t="s">
        <v>27</v>
      </c>
      <c r="E39" s="73">
        <v>38828.720000000001</v>
      </c>
    </row>
    <row r="40" spans="1:5" x14ac:dyDescent="0.25">
      <c r="A40" s="68">
        <v>45166</v>
      </c>
      <c r="B40" s="69" t="s">
        <v>24</v>
      </c>
      <c r="C40" s="69" t="s">
        <v>2</v>
      </c>
      <c r="D40" s="69" t="s">
        <v>27</v>
      </c>
      <c r="E40" s="70">
        <v>33850.26</v>
      </c>
    </row>
    <row r="41" spans="1:5" x14ac:dyDescent="0.25">
      <c r="A41" s="74">
        <v>45164</v>
      </c>
      <c r="B41" s="75" t="s">
        <v>25</v>
      </c>
      <c r="C41" s="75" t="s">
        <v>47</v>
      </c>
      <c r="D41" s="75" t="s">
        <v>29</v>
      </c>
      <c r="E41" s="76">
        <v>19003.09</v>
      </c>
    </row>
  </sheetData>
  <dataValidations count="2">
    <dataValidation type="list" allowBlank="1" showInputMessage="1" showErrorMessage="1" sqref="H9" xr:uid="{E0AE7317-72C7-4DB2-A0FC-70BF71C36ADA}">
      <formula1>$M$6:$M$8</formula1>
    </dataValidation>
    <dataValidation type="list" allowBlank="1" showInputMessage="1" showErrorMessage="1" sqref="G9" xr:uid="{A104AED3-3C3E-486B-95DF-CD0AA94C1327}">
      <formula1>$L$6:$L$8</formula1>
    </dataValidation>
  </dataValidations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3A6A6-AC68-426E-918F-224F1FFA8860}">
  <sheetPr>
    <tabColor rgb="FFFFFF00"/>
  </sheetPr>
  <dimension ref="A1:M41"/>
  <sheetViews>
    <sheetView workbookViewId="0"/>
  </sheetViews>
  <sheetFormatPr defaultRowHeight="15" x14ac:dyDescent="0.25"/>
  <cols>
    <col min="1" max="1" width="17" customWidth="1"/>
    <col min="2" max="2" width="11.7109375" customWidth="1"/>
    <col min="3" max="3" width="17" customWidth="1"/>
    <col min="4" max="4" width="19.5703125" customWidth="1"/>
    <col min="5" max="5" width="16.42578125" customWidth="1"/>
    <col min="6" max="6" width="5.85546875" customWidth="1"/>
    <col min="7" max="7" width="17.28515625" customWidth="1"/>
    <col min="8" max="8" width="25.28515625" customWidth="1"/>
    <col min="9" max="9" width="3.85546875" customWidth="1"/>
    <col min="10" max="10" width="49.28515625" customWidth="1"/>
    <col min="11" max="11" width="4.28515625" customWidth="1"/>
    <col min="12" max="12" width="18.5703125" customWidth="1"/>
    <col min="13" max="13" width="15.42578125" customWidth="1"/>
    <col min="17" max="17" width="9.5703125" bestFit="1" customWidth="1"/>
    <col min="18" max="18" width="11.5703125" customWidth="1"/>
  </cols>
  <sheetData>
    <row r="1" spans="1:13" ht="21" x14ac:dyDescent="0.35">
      <c r="A1" s="7" t="s">
        <v>171</v>
      </c>
      <c r="B1" s="6"/>
      <c r="C1" s="6"/>
      <c r="D1" s="6"/>
      <c r="E1" s="6"/>
      <c r="F1" s="6"/>
      <c r="G1" s="6"/>
      <c r="H1" s="6"/>
    </row>
    <row r="2" spans="1:13" ht="15.75" x14ac:dyDescent="0.25">
      <c r="A2" s="29" t="s">
        <v>52</v>
      </c>
      <c r="B2" s="30"/>
      <c r="C2" s="30"/>
      <c r="D2" s="30"/>
      <c r="E2" s="28"/>
    </row>
    <row r="3" spans="1:13" ht="15.75" x14ac:dyDescent="0.25">
      <c r="A3" s="30" t="s">
        <v>63</v>
      </c>
      <c r="B3" s="30"/>
      <c r="C3" s="30"/>
      <c r="D3" s="30"/>
      <c r="E3" s="28"/>
      <c r="G3" s="46" t="s">
        <v>55</v>
      </c>
      <c r="H3" s="45" t="s">
        <v>56</v>
      </c>
    </row>
    <row r="4" spans="1:13" ht="15.75" x14ac:dyDescent="0.25">
      <c r="A4" s="30" t="s">
        <v>69</v>
      </c>
      <c r="B4" s="30"/>
      <c r="C4" s="30"/>
      <c r="D4" s="30"/>
      <c r="E4" s="27"/>
      <c r="L4" s="77" t="s">
        <v>94</v>
      </c>
      <c r="M4" s="77"/>
    </row>
    <row r="5" spans="1:13" ht="15.75" x14ac:dyDescent="0.25">
      <c r="A5" s="30" t="s">
        <v>68</v>
      </c>
      <c r="B5" s="29"/>
      <c r="C5" s="30"/>
      <c r="D5" s="30"/>
      <c r="E5" s="27"/>
      <c r="L5" s="78" t="s">
        <v>95</v>
      </c>
      <c r="M5" s="78" t="s">
        <v>19</v>
      </c>
    </row>
    <row r="6" spans="1:13" x14ac:dyDescent="0.25">
      <c r="B6" s="10"/>
      <c r="L6" s="1" t="str" cm="1">
        <f t="array" ref="L6:L8">_xlfn._xlws.SORT(_xlfn.UNIQUE(D12:D41))</f>
        <v>Hot Wheels</v>
      </c>
      <c r="M6" s="1" t="str" cm="1">
        <f t="array" ref="M6:M8">_xlfn._xlws.SORT(_xlfn.UNIQUE(C12:C41))</f>
        <v>Cinderelli</v>
      </c>
    </row>
    <row r="7" spans="1:13" x14ac:dyDescent="0.25">
      <c r="A7" s="10" t="s">
        <v>7</v>
      </c>
      <c r="B7" t="s">
        <v>86</v>
      </c>
      <c r="G7" s="39" t="s">
        <v>42</v>
      </c>
      <c r="H7" s="39"/>
      <c r="L7" s="1" t="str">
        <v>LOL OMG Surprise</v>
      </c>
      <c r="M7" s="1" t="str">
        <v>Miles</v>
      </c>
    </row>
    <row r="8" spans="1:13" ht="15.75" x14ac:dyDescent="0.25">
      <c r="B8" s="10"/>
      <c r="G8" s="38" t="s">
        <v>20</v>
      </c>
      <c r="H8" s="38" t="s">
        <v>19</v>
      </c>
      <c r="L8" s="1" t="str">
        <v>LOL Surprise</v>
      </c>
      <c r="M8" s="1" t="str">
        <v>Tiana</v>
      </c>
    </row>
    <row r="9" spans="1:13" ht="22.15" customHeight="1" x14ac:dyDescent="0.25">
      <c r="A9" s="46"/>
      <c r="B9" s="47"/>
      <c r="C9" s="47"/>
      <c r="D9" s="47"/>
      <c r="E9" s="47"/>
      <c r="G9" s="1" t="s">
        <v>29</v>
      </c>
      <c r="H9" s="1" t="s">
        <v>47</v>
      </c>
    </row>
    <row r="10" spans="1:13" ht="15.75" x14ac:dyDescent="0.25">
      <c r="G10" s="40" t="s">
        <v>64</v>
      </c>
      <c r="H10" s="48">
        <f>SUMIFS(RevenueTotalAn[Revenue],RevenueTotalAn[Product],G9,RevenueTotalAn[SalesRep],H9)</f>
        <v>236161.57999999996</v>
      </c>
      <c r="J10" s="44" t="str">
        <f ca="1">IF(_xlfn.ISFORMULA(H10),_xlfn.FORMULATEXT(H10),"")</f>
        <v>=SUMIFS(RevenueTotalAn[Revenue],RevenueTotalAn[Product],G9,RevenueTotalAn[SalesRep],H9)</v>
      </c>
      <c r="K10" s="8"/>
    </row>
    <row r="11" spans="1:13" ht="15.75" x14ac:dyDescent="0.25">
      <c r="A11" s="154" t="s">
        <v>1</v>
      </c>
      <c r="B11" s="155" t="s">
        <v>18</v>
      </c>
      <c r="C11" s="155" t="s">
        <v>19</v>
      </c>
      <c r="D11" s="155" t="s">
        <v>20</v>
      </c>
      <c r="E11" s="155" t="s">
        <v>21</v>
      </c>
    </row>
    <row r="12" spans="1:13" ht="21" x14ac:dyDescent="0.35">
      <c r="A12" s="151">
        <v>45162</v>
      </c>
      <c r="B12" s="69" t="s">
        <v>24</v>
      </c>
      <c r="C12" s="69" t="s">
        <v>47</v>
      </c>
      <c r="D12" s="69" t="s">
        <v>29</v>
      </c>
      <c r="E12" s="153">
        <v>23935.3</v>
      </c>
      <c r="G12" s="60" t="s">
        <v>70</v>
      </c>
    </row>
    <row r="13" spans="1:13" x14ac:dyDescent="0.25">
      <c r="A13" s="152">
        <v>45161</v>
      </c>
      <c r="B13" s="72" t="s">
        <v>24</v>
      </c>
      <c r="C13" s="72" t="s">
        <v>45</v>
      </c>
      <c r="D13" s="72" t="s">
        <v>27</v>
      </c>
      <c r="E13" s="43">
        <v>46241.84</v>
      </c>
    </row>
    <row r="14" spans="1:13" x14ac:dyDescent="0.25">
      <c r="A14" s="151">
        <v>45145</v>
      </c>
      <c r="B14" s="69" t="s">
        <v>25</v>
      </c>
      <c r="C14" s="69" t="s">
        <v>2</v>
      </c>
      <c r="D14" s="69" t="s">
        <v>27</v>
      </c>
      <c r="E14" s="153">
        <v>20003.13</v>
      </c>
      <c r="G14" s="49" t="s">
        <v>18</v>
      </c>
      <c r="H14" s="51" t="s">
        <v>64</v>
      </c>
    </row>
    <row r="15" spans="1:13" ht="15.75" x14ac:dyDescent="0.25">
      <c r="A15" s="152">
        <v>45149</v>
      </c>
      <c r="B15" s="72" t="s">
        <v>25</v>
      </c>
      <c r="C15" s="72" t="s">
        <v>2</v>
      </c>
      <c r="D15" s="72" t="s">
        <v>29</v>
      </c>
      <c r="E15" s="43">
        <v>24148.61</v>
      </c>
      <c r="G15" s="50" t="s">
        <v>24</v>
      </c>
      <c r="H15" s="52">
        <f>SUMIFS(RevenueTotalAn[Revenue],RevenueTotalAn[Region],RegionRev51128[[#This Row],[Region]],RevenueTotalAn[SalesRep],$H$9,RevenueTotalAn[Product],$G$9)</f>
        <v>113992.10999999999</v>
      </c>
      <c r="J15" s="44" t="str">
        <f ca="1">IF(_xlfn.ISFORMULA(H15),_xlfn.FORMULATEXT(H15),"")</f>
        <v>=SUMIFS(RevenueTotalAn[Revenue],RevenueTotalAn[Region],[@Region],RevenueTotalAn[SalesRep],$H$9,RevenueTotalAn[Product],$G$9)</v>
      </c>
    </row>
    <row r="16" spans="1:13" ht="15.75" x14ac:dyDescent="0.25">
      <c r="A16" s="151">
        <v>45164</v>
      </c>
      <c r="B16" s="69" t="s">
        <v>24</v>
      </c>
      <c r="C16" s="69" t="s">
        <v>47</v>
      </c>
      <c r="D16" s="69" t="s">
        <v>29</v>
      </c>
      <c r="E16" s="153">
        <v>43173.32</v>
      </c>
      <c r="G16" s="50" t="s">
        <v>65</v>
      </c>
      <c r="H16" s="52">
        <f>SUMIFS(RevenueTotalAn[Revenue],RevenueTotalAn[Region],RegionRev51128[[#This Row],[Region]],RevenueTotalAn[SalesRep],$H$9,RevenueTotalAn[Product],$G$9)</f>
        <v>34664.89</v>
      </c>
      <c r="J16" s="30" t="s">
        <v>161</v>
      </c>
      <c r="K16" s="28"/>
      <c r="L16" s="28"/>
    </row>
    <row r="17" spans="1:10" x14ac:dyDescent="0.25">
      <c r="A17" s="152">
        <v>45160</v>
      </c>
      <c r="B17" s="72" t="s">
        <v>23</v>
      </c>
      <c r="C17" s="72" t="s">
        <v>47</v>
      </c>
      <c r="D17" s="72" t="s">
        <v>28</v>
      </c>
      <c r="E17" s="43">
        <v>23553.65</v>
      </c>
      <c r="G17" s="50" t="s">
        <v>23</v>
      </c>
      <c r="H17" s="52">
        <f>SUMIFS(RevenueTotalAn[Revenue],RevenueTotalAn[Region],RegionRev51128[[#This Row],[Region]],RevenueTotalAn[SalesRep],$H$9,RevenueTotalAn[Product],$G$9)</f>
        <v>19825.72</v>
      </c>
    </row>
    <row r="18" spans="1:10" x14ac:dyDescent="0.25">
      <c r="A18" s="151">
        <v>45164</v>
      </c>
      <c r="B18" s="69" t="s">
        <v>25</v>
      </c>
      <c r="C18" s="69" t="s">
        <v>2</v>
      </c>
      <c r="D18" s="69" t="s">
        <v>29</v>
      </c>
      <c r="E18" s="153">
        <v>26863.98</v>
      </c>
      <c r="G18" s="34" t="s">
        <v>25</v>
      </c>
      <c r="H18" s="53">
        <f>SUMIFS(RevenueTotalAn[Revenue],RevenueTotalAn[Region],RegionRev51128[[#This Row],[Region]],RevenueTotalAn[SalesRep],$H$9,RevenueTotalAn[Product],$G$9)</f>
        <v>67678.86</v>
      </c>
    </row>
    <row r="19" spans="1:10" x14ac:dyDescent="0.25">
      <c r="A19" s="152">
        <v>45153</v>
      </c>
      <c r="B19" s="72" t="s">
        <v>65</v>
      </c>
      <c r="C19" s="72" t="s">
        <v>47</v>
      </c>
      <c r="D19" s="72" t="s">
        <v>28</v>
      </c>
      <c r="E19" s="43">
        <v>35320.76</v>
      </c>
    </row>
    <row r="20" spans="1:10" x14ac:dyDescent="0.25">
      <c r="A20" s="151">
        <v>45144</v>
      </c>
      <c r="B20" s="69" t="s">
        <v>25</v>
      </c>
      <c r="C20" s="69" t="s">
        <v>45</v>
      </c>
      <c r="D20" s="69" t="s">
        <v>29</v>
      </c>
      <c r="E20" s="153">
        <v>15196.59</v>
      </c>
      <c r="G20" s="10" t="s">
        <v>71</v>
      </c>
    </row>
    <row r="21" spans="1:10" x14ac:dyDescent="0.25">
      <c r="A21" s="152">
        <v>45149</v>
      </c>
      <c r="B21" s="72" t="s">
        <v>25</v>
      </c>
      <c r="C21" s="72" t="s">
        <v>2</v>
      </c>
      <c r="D21" s="72" t="s">
        <v>27</v>
      </c>
      <c r="E21" s="43">
        <v>48533.17</v>
      </c>
      <c r="G21" t="s">
        <v>72</v>
      </c>
    </row>
    <row r="22" spans="1:10" x14ac:dyDescent="0.25">
      <c r="A22" s="151">
        <v>45157</v>
      </c>
      <c r="B22" s="69" t="s">
        <v>23</v>
      </c>
      <c r="C22" s="69" t="s">
        <v>45</v>
      </c>
      <c r="D22" s="69" t="s">
        <v>27</v>
      </c>
      <c r="E22" s="153">
        <v>30517.67</v>
      </c>
      <c r="G22" t="s">
        <v>73</v>
      </c>
    </row>
    <row r="23" spans="1:10" x14ac:dyDescent="0.25">
      <c r="A23" s="152">
        <v>45148</v>
      </c>
      <c r="B23" s="72" t="s">
        <v>23</v>
      </c>
      <c r="C23" s="72" t="s">
        <v>2</v>
      </c>
      <c r="D23" s="72" t="s">
        <v>28</v>
      </c>
      <c r="E23" s="43">
        <v>22962.38</v>
      </c>
      <c r="G23" t="s">
        <v>74</v>
      </c>
    </row>
    <row r="24" spans="1:10" x14ac:dyDescent="0.25">
      <c r="A24" s="151">
        <v>45143</v>
      </c>
      <c r="B24" s="69" t="s">
        <v>25</v>
      </c>
      <c r="C24" s="69" t="s">
        <v>45</v>
      </c>
      <c r="D24" s="69" t="s">
        <v>28</v>
      </c>
      <c r="E24" s="153">
        <v>26230.06</v>
      </c>
    </row>
    <row r="25" spans="1:10" x14ac:dyDescent="0.25">
      <c r="A25" s="152">
        <v>45149</v>
      </c>
      <c r="B25" s="72" t="s">
        <v>65</v>
      </c>
      <c r="C25" s="72" t="s">
        <v>45</v>
      </c>
      <c r="D25" s="72" t="s">
        <v>27</v>
      </c>
      <c r="E25" s="43">
        <v>34445.910000000003</v>
      </c>
      <c r="G25" t="s">
        <v>75</v>
      </c>
    </row>
    <row r="26" spans="1:10" x14ac:dyDescent="0.25">
      <c r="A26" s="151">
        <v>45148</v>
      </c>
      <c r="B26" s="69" t="s">
        <v>65</v>
      </c>
      <c r="C26" s="69" t="s">
        <v>45</v>
      </c>
      <c r="D26" s="69" t="s">
        <v>28</v>
      </c>
      <c r="E26" s="153">
        <v>41175.589999999997</v>
      </c>
    </row>
    <row r="27" spans="1:10" x14ac:dyDescent="0.25">
      <c r="A27" s="152">
        <v>45156</v>
      </c>
      <c r="B27" s="72" t="s">
        <v>25</v>
      </c>
      <c r="C27" s="72" t="s">
        <v>2</v>
      </c>
      <c r="D27" s="72" t="s">
        <v>28</v>
      </c>
      <c r="E27" s="43">
        <v>28456.15</v>
      </c>
    </row>
    <row r="28" spans="1:10" x14ac:dyDescent="0.25">
      <c r="A28" s="151">
        <v>45168</v>
      </c>
      <c r="B28" s="69" t="s">
        <v>24</v>
      </c>
      <c r="C28" s="69" t="s">
        <v>47</v>
      </c>
      <c r="D28" s="69" t="s">
        <v>29</v>
      </c>
      <c r="E28" s="153">
        <v>46883.49</v>
      </c>
      <c r="J28" t="s">
        <v>0</v>
      </c>
    </row>
    <row r="29" spans="1:10" x14ac:dyDescent="0.25">
      <c r="A29" s="152">
        <v>45152</v>
      </c>
      <c r="B29" s="72" t="s">
        <v>25</v>
      </c>
      <c r="C29" s="72" t="s">
        <v>47</v>
      </c>
      <c r="D29" s="72" t="s">
        <v>29</v>
      </c>
      <c r="E29" s="43">
        <v>48675.77</v>
      </c>
    </row>
    <row r="30" spans="1:10" x14ac:dyDescent="0.25">
      <c r="A30" s="151">
        <v>45144</v>
      </c>
      <c r="B30" s="69" t="s">
        <v>23</v>
      </c>
      <c r="C30" s="69" t="s">
        <v>2</v>
      </c>
      <c r="D30" s="69" t="s">
        <v>27</v>
      </c>
      <c r="E30" s="153">
        <v>19604.95</v>
      </c>
      <c r="H30" t="s">
        <v>0</v>
      </c>
    </row>
    <row r="31" spans="1:10" x14ac:dyDescent="0.25">
      <c r="A31" s="152">
        <v>45158</v>
      </c>
      <c r="B31" s="72" t="s">
        <v>23</v>
      </c>
      <c r="C31" s="72" t="s">
        <v>47</v>
      </c>
      <c r="D31" s="72" t="s">
        <v>27</v>
      </c>
      <c r="E31" s="43">
        <v>48922.29</v>
      </c>
    </row>
    <row r="32" spans="1:10" x14ac:dyDescent="0.25">
      <c r="A32" s="151">
        <v>45169</v>
      </c>
      <c r="B32" s="69" t="s">
        <v>25</v>
      </c>
      <c r="C32" s="69" t="s">
        <v>2</v>
      </c>
      <c r="D32" s="69" t="s">
        <v>29</v>
      </c>
      <c r="E32" s="153">
        <v>42727.99</v>
      </c>
    </row>
    <row r="33" spans="1:5" x14ac:dyDescent="0.25">
      <c r="A33" s="152">
        <v>45140</v>
      </c>
      <c r="B33" s="72" t="s">
        <v>24</v>
      </c>
      <c r="C33" s="72" t="s">
        <v>45</v>
      </c>
      <c r="D33" s="72" t="s">
        <v>28</v>
      </c>
      <c r="E33" s="43">
        <v>21408.69</v>
      </c>
    </row>
    <row r="34" spans="1:5" x14ac:dyDescent="0.25">
      <c r="A34" s="151">
        <v>45141</v>
      </c>
      <c r="B34" s="69" t="s">
        <v>24</v>
      </c>
      <c r="C34" s="69" t="s">
        <v>45</v>
      </c>
      <c r="D34" s="69" t="s">
        <v>27</v>
      </c>
      <c r="E34" s="153">
        <v>24455.63</v>
      </c>
    </row>
    <row r="35" spans="1:5" x14ac:dyDescent="0.25">
      <c r="A35" s="152">
        <v>45146</v>
      </c>
      <c r="B35" s="72" t="s">
        <v>65</v>
      </c>
      <c r="C35" s="72" t="s">
        <v>2</v>
      </c>
      <c r="D35" s="72" t="s">
        <v>29</v>
      </c>
      <c r="E35" s="43">
        <v>28107.26</v>
      </c>
    </row>
    <row r="36" spans="1:5" x14ac:dyDescent="0.25">
      <c r="A36" s="151">
        <v>45164</v>
      </c>
      <c r="B36" s="69" t="s">
        <v>24</v>
      </c>
      <c r="C36" s="69" t="s">
        <v>45</v>
      </c>
      <c r="D36" s="69" t="s">
        <v>29</v>
      </c>
      <c r="E36" s="153">
        <v>45728.49</v>
      </c>
    </row>
    <row r="37" spans="1:5" x14ac:dyDescent="0.25">
      <c r="A37" s="152">
        <v>45146</v>
      </c>
      <c r="B37" s="72" t="s">
        <v>65</v>
      </c>
      <c r="C37" s="72" t="s">
        <v>47</v>
      </c>
      <c r="D37" s="72" t="s">
        <v>29</v>
      </c>
      <c r="E37" s="43">
        <v>34664.89</v>
      </c>
    </row>
    <row r="38" spans="1:5" x14ac:dyDescent="0.25">
      <c r="A38" s="151">
        <v>45166</v>
      </c>
      <c r="B38" s="69" t="s">
        <v>23</v>
      </c>
      <c r="C38" s="69" t="s">
        <v>47</v>
      </c>
      <c r="D38" s="69" t="s">
        <v>29</v>
      </c>
      <c r="E38" s="153">
        <v>19825.72</v>
      </c>
    </row>
    <row r="39" spans="1:5" x14ac:dyDescent="0.25">
      <c r="A39" s="152">
        <v>45140</v>
      </c>
      <c r="B39" s="72" t="s">
        <v>25</v>
      </c>
      <c r="C39" s="72" t="s">
        <v>47</v>
      </c>
      <c r="D39" s="72" t="s">
        <v>27</v>
      </c>
      <c r="E39" s="43">
        <v>38828.720000000001</v>
      </c>
    </row>
    <row r="40" spans="1:5" x14ac:dyDescent="0.25">
      <c r="A40" s="151">
        <v>45166</v>
      </c>
      <c r="B40" s="69" t="s">
        <v>24</v>
      </c>
      <c r="C40" s="69" t="s">
        <v>2</v>
      </c>
      <c r="D40" s="69" t="s">
        <v>27</v>
      </c>
      <c r="E40" s="153">
        <v>33850.26</v>
      </c>
    </row>
    <row r="41" spans="1:5" x14ac:dyDescent="0.25">
      <c r="A41" s="152">
        <v>45164</v>
      </c>
      <c r="B41" s="72" t="s">
        <v>25</v>
      </c>
      <c r="C41" s="72" t="s">
        <v>47</v>
      </c>
      <c r="D41" s="72" t="s">
        <v>29</v>
      </c>
      <c r="E41" s="43">
        <v>19003.09</v>
      </c>
    </row>
  </sheetData>
  <dataValidations count="2">
    <dataValidation type="list" allowBlank="1" showInputMessage="1" showErrorMessage="1" sqref="G9" xr:uid="{27CC902F-3DD1-412E-A3EE-63527236AA79}">
      <formula1>$L$6:$L$8</formula1>
    </dataValidation>
    <dataValidation type="list" allowBlank="1" showInputMessage="1" showErrorMessage="1" sqref="H9" xr:uid="{75D13D9E-1B9B-4D7B-ADBE-E0BFED857D3B}">
      <formula1>$M$6:$M$8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7A952-067E-40E3-BF0D-3FF26AF65A19}">
  <sheetPr>
    <tabColor rgb="FF0070C0"/>
  </sheetPr>
  <dimension ref="A1:N22"/>
  <sheetViews>
    <sheetView workbookViewId="0"/>
  </sheetViews>
  <sheetFormatPr defaultRowHeight="15" x14ac:dyDescent="0.25"/>
  <cols>
    <col min="1" max="1" width="25.140625" customWidth="1"/>
    <col min="2" max="2" width="13.85546875" customWidth="1"/>
    <col min="3" max="3" width="3.28515625" customWidth="1"/>
    <col min="4" max="4" width="22.85546875" customWidth="1"/>
    <col min="5" max="5" width="3.42578125" customWidth="1"/>
    <col min="6" max="6" width="25.140625" customWidth="1"/>
    <col min="7" max="7" width="13.85546875" customWidth="1"/>
    <col min="8" max="8" width="3.28515625" customWidth="1"/>
    <col min="9" max="9" width="22.85546875" customWidth="1"/>
    <col min="10" max="10" width="2.7109375" customWidth="1"/>
    <col min="11" max="11" width="25.140625" customWidth="1"/>
    <col min="12" max="12" width="13.85546875" customWidth="1"/>
    <col min="13" max="13" width="4" customWidth="1"/>
    <col min="14" max="14" width="22.85546875" customWidth="1"/>
  </cols>
  <sheetData>
    <row r="1" spans="1:14" ht="21" x14ac:dyDescent="0.35">
      <c r="A1" s="7" t="s">
        <v>173</v>
      </c>
      <c r="B1" s="6"/>
      <c r="C1" s="6"/>
      <c r="D1" s="6"/>
      <c r="E1" s="6"/>
      <c r="F1" s="6"/>
      <c r="G1" s="6"/>
      <c r="H1" s="6"/>
    </row>
    <row r="2" spans="1:14" ht="15.75" x14ac:dyDescent="0.25">
      <c r="A2" s="101" t="s">
        <v>121</v>
      </c>
      <c r="B2" s="101"/>
      <c r="C2" s="102"/>
      <c r="D2" s="102"/>
      <c r="E2" s="102"/>
      <c r="F2" s="102"/>
    </row>
    <row r="4" spans="1:14" ht="15.75" x14ac:dyDescent="0.25">
      <c r="A4" s="103" t="s">
        <v>107</v>
      </c>
      <c r="F4" s="103" t="s">
        <v>76</v>
      </c>
      <c r="K4" s="103" t="s">
        <v>70</v>
      </c>
    </row>
    <row r="6" spans="1:14" x14ac:dyDescent="0.25">
      <c r="A6" s="92" t="s">
        <v>103</v>
      </c>
      <c r="B6" s="1">
        <v>0.10199999999999999</v>
      </c>
      <c r="F6" s="92" t="s">
        <v>103</v>
      </c>
      <c r="G6" s="1">
        <v>0.10199999999999999</v>
      </c>
      <c r="K6" s="92" t="s">
        <v>103</v>
      </c>
      <c r="L6" s="1">
        <v>0.10199999999999999</v>
      </c>
    </row>
    <row r="7" spans="1:14" x14ac:dyDescent="0.25">
      <c r="A7" s="87"/>
      <c r="F7" s="87"/>
      <c r="K7" s="87"/>
    </row>
    <row r="8" spans="1:14" ht="31.5" x14ac:dyDescent="0.25">
      <c r="A8" s="88" t="s">
        <v>123</v>
      </c>
      <c r="B8" s="89" t="s">
        <v>122</v>
      </c>
      <c r="F8" s="88" t="s">
        <v>123</v>
      </c>
      <c r="G8" s="89" t="s">
        <v>122</v>
      </c>
      <c r="K8" s="88" t="s">
        <v>123</v>
      </c>
      <c r="L8" s="89" t="s">
        <v>122</v>
      </c>
    </row>
    <row r="9" spans="1:14" x14ac:dyDescent="0.25">
      <c r="A9" s="90">
        <v>4.6399999999999997</v>
      </c>
      <c r="B9" s="91"/>
      <c r="D9" t="str">
        <f ca="1">IF(_xlfn.ISFORMULA(B9), _xlfn.FORMULATEXT(B9),"")</f>
        <v/>
      </c>
      <c r="F9" s="90">
        <v>4.6399999999999997</v>
      </c>
      <c r="G9" s="91"/>
      <c r="I9" t="str">
        <f ca="1">IF(_xlfn.ISFORMULA(G9), _xlfn.FORMULATEXT(G9),"")</f>
        <v/>
      </c>
      <c r="K9" s="90">
        <v>4.6399999999999997</v>
      </c>
      <c r="L9" s="91"/>
      <c r="N9" t="str">
        <f ca="1">IF(_xlfn.ISFORMULA(L9), _xlfn.FORMULATEXT(L9),"")</f>
        <v/>
      </c>
    </row>
    <row r="10" spans="1:14" x14ac:dyDescent="0.25">
      <c r="A10" s="90">
        <v>6.97</v>
      </c>
      <c r="B10" s="91"/>
      <c r="F10" s="90">
        <v>6.97</v>
      </c>
      <c r="G10" s="91"/>
      <c r="K10" s="90">
        <v>6.97</v>
      </c>
      <c r="L10" s="91"/>
    </row>
    <row r="11" spans="1:14" x14ac:dyDescent="0.25">
      <c r="A11" s="90">
        <v>9.9700000000000006</v>
      </c>
      <c r="B11" s="91"/>
      <c r="F11" s="90">
        <v>9.9700000000000006</v>
      </c>
      <c r="G11" s="91"/>
      <c r="K11" s="90">
        <v>9.9700000000000006</v>
      </c>
      <c r="L11" s="91"/>
    </row>
    <row r="12" spans="1:14" x14ac:dyDescent="0.25">
      <c r="A12" s="90">
        <v>7.57</v>
      </c>
      <c r="B12" s="91"/>
      <c r="F12" s="90">
        <v>7.57</v>
      </c>
      <c r="G12" s="91"/>
      <c r="I12" t="str">
        <f ca="1">IF(_xlfn.ISFORMULA(G12), _xlfn.FORMULATEXT(G12),"")</f>
        <v/>
      </c>
      <c r="K12" s="90">
        <v>7.57</v>
      </c>
      <c r="L12" s="91"/>
      <c r="N12" t="str">
        <f ca="1">IF(_xlfn.ISFORMULA(L12), _xlfn.FORMULATEXT(L12),"")</f>
        <v/>
      </c>
    </row>
    <row r="13" spans="1:14" x14ac:dyDescent="0.25">
      <c r="B13" s="106"/>
      <c r="G13" s="106"/>
    </row>
    <row r="15" spans="1:14" ht="15.75" x14ac:dyDescent="0.25">
      <c r="A15" s="103" t="s">
        <v>124</v>
      </c>
      <c r="F15" s="103" t="s">
        <v>125</v>
      </c>
      <c r="K15" s="103" t="s">
        <v>125</v>
      </c>
    </row>
    <row r="22" spans="1:1" ht="15.75" x14ac:dyDescent="0.25">
      <c r="A22" s="103" t="s">
        <v>126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96BEC-591D-4A42-B4A0-BCB923FDA578}">
  <sheetPr>
    <tabColor rgb="FFFFFF00"/>
  </sheetPr>
  <dimension ref="A1:N34"/>
  <sheetViews>
    <sheetView workbookViewId="0"/>
  </sheetViews>
  <sheetFormatPr defaultRowHeight="15" x14ac:dyDescent="0.25"/>
  <cols>
    <col min="1" max="1" width="25.140625" customWidth="1"/>
    <col min="2" max="2" width="13.85546875" customWidth="1"/>
    <col min="3" max="3" width="3.28515625" customWidth="1"/>
    <col min="4" max="4" width="22.85546875" customWidth="1"/>
    <col min="5" max="5" width="3.42578125" customWidth="1"/>
    <col min="6" max="6" width="25.140625" customWidth="1"/>
    <col min="7" max="7" width="13.85546875" customWidth="1"/>
    <col min="8" max="8" width="3.28515625" customWidth="1"/>
    <col min="9" max="9" width="22.85546875" customWidth="1"/>
    <col min="10" max="10" width="2.7109375" customWidth="1"/>
    <col min="11" max="11" width="25.140625" customWidth="1"/>
    <col min="12" max="12" width="15" customWidth="1"/>
    <col min="13" max="13" width="4" customWidth="1"/>
    <col min="14" max="14" width="22.85546875" customWidth="1"/>
  </cols>
  <sheetData>
    <row r="1" spans="1:14" ht="21" x14ac:dyDescent="0.35">
      <c r="A1" s="7" t="s">
        <v>173</v>
      </c>
      <c r="B1" s="6"/>
      <c r="C1" s="6"/>
      <c r="D1" s="6"/>
      <c r="E1" s="6"/>
      <c r="F1" s="6"/>
      <c r="G1" s="6"/>
      <c r="H1" s="6"/>
    </row>
    <row r="2" spans="1:14" ht="15.75" x14ac:dyDescent="0.25">
      <c r="A2" s="101" t="s">
        <v>121</v>
      </c>
      <c r="B2" s="101"/>
      <c r="C2" s="102"/>
      <c r="D2" s="102"/>
      <c r="E2" s="102"/>
      <c r="F2" s="102"/>
    </row>
    <row r="4" spans="1:14" ht="15.75" x14ac:dyDescent="0.25">
      <c r="A4" s="103" t="s">
        <v>107</v>
      </c>
      <c r="F4" s="103" t="s">
        <v>76</v>
      </c>
      <c r="K4" s="103" t="s">
        <v>70</v>
      </c>
    </row>
    <row r="6" spans="1:14" x14ac:dyDescent="0.25">
      <c r="A6" s="92" t="s">
        <v>103</v>
      </c>
      <c r="B6" s="1">
        <v>0.10199999999999999</v>
      </c>
      <c r="F6" s="92" t="s">
        <v>103</v>
      </c>
      <c r="G6" s="1">
        <v>0.10199999999999999</v>
      </c>
      <c r="K6" s="92" t="s">
        <v>103</v>
      </c>
      <c r="L6" s="1">
        <v>0.10199999999999999</v>
      </c>
    </row>
    <row r="7" spans="1:14" x14ac:dyDescent="0.25">
      <c r="A7" s="87"/>
      <c r="F7" s="87"/>
      <c r="K7" s="87"/>
    </row>
    <row r="8" spans="1:14" ht="15.75" x14ac:dyDescent="0.25">
      <c r="A8" s="108" t="s">
        <v>123</v>
      </c>
      <c r="B8" s="109" t="s">
        <v>122</v>
      </c>
      <c r="F8" s="108" t="s">
        <v>123</v>
      </c>
      <c r="G8" s="109" t="s">
        <v>122</v>
      </c>
      <c r="K8" s="110" t="s">
        <v>123</v>
      </c>
      <c r="L8" s="111" t="s">
        <v>122</v>
      </c>
    </row>
    <row r="9" spans="1:14" x14ac:dyDescent="0.25">
      <c r="A9" s="90">
        <v>4.6399999999999997</v>
      </c>
      <c r="B9" s="91">
        <f>ROUND(A9*$B$6,2)</f>
        <v>0.47</v>
      </c>
      <c r="D9" t="str">
        <f ca="1">IF(_xlfn.ISFORMULA(B9), _xlfn.FORMULATEXT(B9),"")</f>
        <v>=ROUND(A9*$B$6,2)</v>
      </c>
      <c r="F9" s="90">
        <v>4.6399999999999997</v>
      </c>
      <c r="G9" s="91" cm="1">
        <f t="array" ref="G9:G12">ROUND(F9:F12*G6,2)</f>
        <v>0.47</v>
      </c>
      <c r="I9" t="str">
        <f ca="1">IF(_xlfn.ISFORMULA(G9), _xlfn.FORMULATEXT(G9),"")</f>
        <v>=ROUND(F9:F12*G6,2)</v>
      </c>
      <c r="K9" s="93">
        <v>4.6399999999999997</v>
      </c>
      <c r="L9" s="94">
        <f>ROUND(SalesTax[[#This Row],[Sales]]*$L$6,2)</f>
        <v>0.47</v>
      </c>
      <c r="N9" t="str">
        <f ca="1">IF(_xlfn.ISFORMULA(L9), _xlfn.FORMULATEXT(L9),"")</f>
        <v>=ROUND([@Sales]*$L$6,2)</v>
      </c>
    </row>
    <row r="10" spans="1:14" x14ac:dyDescent="0.25">
      <c r="A10" s="90">
        <v>6.97</v>
      </c>
      <c r="B10" s="91">
        <f t="shared" ref="B10:B12" si="0">ROUND(A10*$B$6,2)</f>
        <v>0.71</v>
      </c>
      <c r="F10" s="90">
        <v>6.97</v>
      </c>
      <c r="G10" s="91">
        <v>0.71</v>
      </c>
      <c r="K10" s="93">
        <v>6.97</v>
      </c>
      <c r="L10" s="94">
        <f>ROUND(SalesTax[[#This Row],[Sales]]*$L$6,2)</f>
        <v>0.71</v>
      </c>
    </row>
    <row r="11" spans="1:14" x14ac:dyDescent="0.25">
      <c r="A11" s="90">
        <v>9.9700000000000006</v>
      </c>
      <c r="B11" s="91">
        <f t="shared" si="0"/>
        <v>1.02</v>
      </c>
      <c r="F11" s="90">
        <v>9.9700000000000006</v>
      </c>
      <c r="G11" s="91">
        <v>1.02</v>
      </c>
      <c r="K11" s="93">
        <v>9.9700000000000006</v>
      </c>
      <c r="L11" s="94">
        <f>ROUND(SalesTax[[#This Row],[Sales]]*$L$6,2)</f>
        <v>1.02</v>
      </c>
    </row>
    <row r="12" spans="1:14" x14ac:dyDescent="0.25">
      <c r="A12" s="90">
        <v>7.57</v>
      </c>
      <c r="B12" s="91">
        <f t="shared" si="0"/>
        <v>0.77</v>
      </c>
      <c r="F12" s="90">
        <v>7.57</v>
      </c>
      <c r="G12" s="91">
        <v>0.77</v>
      </c>
      <c r="I12" t="str">
        <f ca="1">IF(_xlfn.ISFORMULA(G12), _xlfn.FORMULATEXT(G12),"")</f>
        <v/>
      </c>
      <c r="K12" s="95">
        <v>7.57</v>
      </c>
      <c r="L12" s="96">
        <f>ROUND(SalesTax[[#This Row],[Sales]]*$L$6,2)</f>
        <v>0.77</v>
      </c>
      <c r="N12" t="str">
        <f ca="1">IF(_xlfn.ISFORMULA(L12), _xlfn.FORMULATEXT(L12),"")</f>
        <v>=ROUND([@Sales]*$L$6,2)</v>
      </c>
    </row>
    <row r="13" spans="1:14" x14ac:dyDescent="0.25">
      <c r="B13" s="106"/>
      <c r="G13" s="106"/>
    </row>
    <row r="15" spans="1:14" ht="15.75" x14ac:dyDescent="0.25">
      <c r="A15" s="103" t="s">
        <v>109</v>
      </c>
      <c r="F15" s="103" t="s">
        <v>115</v>
      </c>
      <c r="K15" s="103" t="s">
        <v>109</v>
      </c>
    </row>
    <row r="16" spans="1:14" x14ac:dyDescent="0.25">
      <c r="A16" t="s">
        <v>110</v>
      </c>
      <c r="F16" t="s">
        <v>113</v>
      </c>
      <c r="K16" t="s">
        <v>116</v>
      </c>
    </row>
    <row r="17" spans="1:11" x14ac:dyDescent="0.25">
      <c r="A17" t="s">
        <v>111</v>
      </c>
      <c r="F17" t="s">
        <v>114</v>
      </c>
      <c r="K17" t="s">
        <v>117</v>
      </c>
    </row>
    <row r="18" spans="1:11" x14ac:dyDescent="0.25">
      <c r="A18" t="s">
        <v>112</v>
      </c>
      <c r="F18" t="s">
        <v>77</v>
      </c>
      <c r="K18" t="s">
        <v>118</v>
      </c>
    </row>
    <row r="22" spans="1:11" ht="15.75" x14ac:dyDescent="0.25">
      <c r="A22" s="103" t="s">
        <v>126</v>
      </c>
    </row>
    <row r="23" spans="1:11" x14ac:dyDescent="0.25">
      <c r="A23" s="107" t="s">
        <v>127</v>
      </c>
    </row>
    <row r="29" spans="1:11" x14ac:dyDescent="0.25">
      <c r="K29" t="s">
        <v>0</v>
      </c>
    </row>
    <row r="34" spans="12:12" x14ac:dyDescent="0.25">
      <c r="L34" t="s">
        <v>0</v>
      </c>
    </row>
  </sheetData>
  <pageMargins left="0.7" right="0.7" top="0.75" bottom="0.75" header="0.3" footer="0.3"/>
  <pageSetup orientation="portrait" horizontalDpi="4294967293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ECAD5-09A8-4645-AF05-9B7BB8AA24BF}">
  <sheetPr>
    <tabColor rgb="FFFFC000"/>
  </sheetPr>
  <dimension ref="A1:P300"/>
  <sheetViews>
    <sheetView workbookViewId="0">
      <selection activeCell="I45" sqref="I45"/>
    </sheetView>
  </sheetViews>
  <sheetFormatPr defaultRowHeight="15" x14ac:dyDescent="0.25"/>
  <cols>
    <col min="1" max="1" width="13.7109375" customWidth="1"/>
    <col min="2" max="2" width="11.7109375" customWidth="1"/>
    <col min="3" max="3" width="20.140625" customWidth="1"/>
    <col min="4" max="4" width="29.42578125" customWidth="1"/>
    <col min="5" max="5" width="9.5703125" bestFit="1" customWidth="1"/>
    <col min="6" max="6" width="6.5703125" customWidth="1"/>
    <col min="7" max="7" width="29" customWidth="1"/>
    <col min="8" max="8" width="28.42578125" customWidth="1"/>
    <col min="9" max="9" width="15.7109375" customWidth="1"/>
    <col min="10" max="10" width="5.7109375" customWidth="1"/>
    <col min="11" max="11" width="38.7109375" customWidth="1"/>
    <col min="12" max="12" width="16.140625" customWidth="1"/>
    <col min="13" max="13" width="15.42578125" customWidth="1"/>
    <col min="14" max="14" width="19.42578125" customWidth="1"/>
    <col min="15" max="15" width="12.28515625" customWidth="1"/>
    <col min="16" max="16" width="21.42578125" customWidth="1"/>
    <col min="17" max="17" width="9.5703125" bestFit="1" customWidth="1"/>
    <col min="18" max="18" width="11.5703125" customWidth="1"/>
    <col min="19" max="19" width="12.5703125" customWidth="1"/>
    <col min="20" max="20" width="11.5703125" customWidth="1"/>
    <col min="21" max="21" width="21.140625" customWidth="1"/>
  </cols>
  <sheetData>
    <row r="1" spans="1:11" ht="21" x14ac:dyDescent="0.35">
      <c r="A1" s="7" t="s">
        <v>128</v>
      </c>
      <c r="B1" s="6"/>
      <c r="C1" s="6"/>
      <c r="D1" s="6"/>
      <c r="E1" s="6"/>
    </row>
    <row r="2" spans="1:11" ht="21" x14ac:dyDescent="0.35">
      <c r="A2" s="7" t="s">
        <v>129</v>
      </c>
      <c r="B2" s="7"/>
      <c r="C2" s="7"/>
      <c r="D2" s="7"/>
      <c r="E2" s="6"/>
      <c r="G2" s="112" t="s">
        <v>52</v>
      </c>
      <c r="H2" s="113" t="s">
        <v>130</v>
      </c>
      <c r="I2" s="113"/>
      <c r="J2" s="113"/>
      <c r="K2" s="114"/>
    </row>
    <row r="3" spans="1:11" x14ac:dyDescent="0.25">
      <c r="G3" s="115"/>
      <c r="H3" s="104" t="s">
        <v>131</v>
      </c>
      <c r="I3" s="104"/>
      <c r="J3" s="104"/>
      <c r="K3" s="116"/>
    </row>
    <row r="4" spans="1:11" x14ac:dyDescent="0.25">
      <c r="G4" s="115"/>
      <c r="H4" s="104" t="s">
        <v>132</v>
      </c>
      <c r="I4" s="104"/>
      <c r="J4" s="104"/>
      <c r="K4" s="116"/>
    </row>
    <row r="5" spans="1:11" x14ac:dyDescent="0.25">
      <c r="G5" s="115"/>
      <c r="H5" s="104" t="s">
        <v>133</v>
      </c>
      <c r="I5" s="104"/>
      <c r="J5" s="104"/>
      <c r="K5" s="116"/>
    </row>
    <row r="6" spans="1:11" x14ac:dyDescent="0.25">
      <c r="B6" s="10" t="s">
        <v>7</v>
      </c>
      <c r="C6" t="s">
        <v>12</v>
      </c>
      <c r="E6" s="10"/>
      <c r="F6" s="10"/>
      <c r="G6" s="115"/>
      <c r="H6" s="104"/>
      <c r="I6" s="104"/>
      <c r="J6" s="104"/>
      <c r="K6" s="116"/>
    </row>
    <row r="7" spans="1:11" x14ac:dyDescent="0.25">
      <c r="E7" s="10"/>
      <c r="F7" s="10"/>
      <c r="G7" s="115" t="s">
        <v>55</v>
      </c>
      <c r="H7" s="104" t="s">
        <v>56</v>
      </c>
      <c r="I7" s="104"/>
      <c r="J7" s="104"/>
      <c r="K7" s="116"/>
    </row>
    <row r="8" spans="1:11" x14ac:dyDescent="0.25">
      <c r="B8" t="s">
        <v>134</v>
      </c>
      <c r="G8" s="117"/>
      <c r="H8" s="118"/>
      <c r="I8" s="118"/>
      <c r="J8" s="118"/>
      <c r="K8" s="119"/>
    </row>
    <row r="9" spans="1:11" x14ac:dyDescent="0.25">
      <c r="B9" t="s">
        <v>135</v>
      </c>
    </row>
    <row r="11" spans="1:11" ht="15.75" x14ac:dyDescent="0.25">
      <c r="A11" s="11" t="s">
        <v>1</v>
      </c>
      <c r="B11" s="11" t="s">
        <v>18</v>
      </c>
      <c r="C11" s="11" t="s">
        <v>19</v>
      </c>
      <c r="D11" s="11" t="s">
        <v>20</v>
      </c>
      <c r="E11" s="11" t="s">
        <v>123</v>
      </c>
    </row>
    <row r="12" spans="1:11" x14ac:dyDescent="0.25">
      <c r="A12" s="12">
        <v>45162</v>
      </c>
      <c r="B12" s="1" t="s">
        <v>24</v>
      </c>
      <c r="C12" s="1" t="s">
        <v>45</v>
      </c>
      <c r="D12" s="1" t="s">
        <v>31</v>
      </c>
      <c r="E12" s="120">
        <v>3022.34</v>
      </c>
      <c r="H12" s="107" t="s">
        <v>136</v>
      </c>
    </row>
    <row r="13" spans="1:11" x14ac:dyDescent="0.25">
      <c r="A13" s="12">
        <v>45161</v>
      </c>
      <c r="B13" s="1" t="s">
        <v>24</v>
      </c>
      <c r="C13" s="1" t="s">
        <v>45</v>
      </c>
      <c r="D13" s="1" t="s">
        <v>28</v>
      </c>
      <c r="E13" s="120">
        <v>3116.33</v>
      </c>
      <c r="G13" s="121" t="s">
        <v>137</v>
      </c>
    </row>
    <row r="14" spans="1:11" x14ac:dyDescent="0.25">
      <c r="A14" s="12">
        <v>45145</v>
      </c>
      <c r="B14" s="1" t="s">
        <v>25</v>
      </c>
      <c r="C14" s="1" t="s">
        <v>46</v>
      </c>
      <c r="D14" s="1" t="s">
        <v>28</v>
      </c>
      <c r="E14" s="120">
        <v>3007.85</v>
      </c>
      <c r="G14" s="10" t="s">
        <v>130</v>
      </c>
    </row>
    <row r="15" spans="1:11" ht="15.75" x14ac:dyDescent="0.25">
      <c r="A15" s="12">
        <v>45149</v>
      </c>
      <c r="B15" s="1" t="s">
        <v>32</v>
      </c>
      <c r="C15" s="1" t="s">
        <v>45</v>
      </c>
      <c r="D15" s="1" t="s">
        <v>28</v>
      </c>
      <c r="E15" s="120">
        <v>3203.5</v>
      </c>
      <c r="G15" s="11" t="s">
        <v>20</v>
      </c>
      <c r="H15" s="11" t="s">
        <v>138</v>
      </c>
      <c r="I15" s="11" t="s">
        <v>123</v>
      </c>
    </row>
    <row r="16" spans="1:11" x14ac:dyDescent="0.25">
      <c r="A16" s="12">
        <v>45164</v>
      </c>
      <c r="B16" s="1" t="s">
        <v>25</v>
      </c>
      <c r="C16" s="1" t="s">
        <v>48</v>
      </c>
      <c r="D16" s="1" t="s">
        <v>30</v>
      </c>
      <c r="E16" s="120">
        <v>2337.88</v>
      </c>
      <c r="G16" s="1" t="s">
        <v>29</v>
      </c>
      <c r="H16" s="14" cm="1">
        <f t="array" ref="H16:H21">SUMIFS(E12:E300,D12:D300,G16:G21)</f>
        <v>148541.69000000006</v>
      </c>
      <c r="I16" s="14">
        <f t="shared" ref="I16:I21" si="0">SUMIFS($E$12:$E$300,$D$12:$D$300,G16)</f>
        <v>148541.69000000006</v>
      </c>
      <c r="K16" t="str">
        <f ca="1">IF(_xlfn.ISFORMULA(H16),_xlfn.FORMULATEXT(H16),"")</f>
        <v>=SUMIFS(E12:E300,D12:D300,G16:G21)</v>
      </c>
    </row>
    <row r="17" spans="1:14" x14ac:dyDescent="0.25">
      <c r="A17" s="12">
        <v>45160</v>
      </c>
      <c r="B17" s="1" t="s">
        <v>22</v>
      </c>
      <c r="C17" s="1" t="s">
        <v>48</v>
      </c>
      <c r="D17" s="1" t="s">
        <v>27</v>
      </c>
      <c r="E17" s="120">
        <v>3568.9</v>
      </c>
      <c r="G17" s="1" t="s">
        <v>28</v>
      </c>
      <c r="H17" s="14">
        <v>157981.22</v>
      </c>
      <c r="I17" s="14">
        <f t="shared" si="0"/>
        <v>157981.22</v>
      </c>
      <c r="K17" t="str">
        <f ca="1">_xlfn.IFNA(_xlfn.FORMULATEXT(I16),"")</f>
        <v>=SUMIFS($E$12:$E$300,$D$12:$D$300,G16)</v>
      </c>
    </row>
    <row r="18" spans="1:14" x14ac:dyDescent="0.25">
      <c r="A18" s="12">
        <v>45164</v>
      </c>
      <c r="B18" s="1" t="s">
        <v>24</v>
      </c>
      <c r="C18" s="1" t="s">
        <v>2</v>
      </c>
      <c r="D18" s="1" t="s">
        <v>29</v>
      </c>
      <c r="E18" s="120">
        <v>2631.83</v>
      </c>
      <c r="G18" s="1" t="s">
        <v>27</v>
      </c>
      <c r="H18" s="14">
        <v>164509.40999999995</v>
      </c>
      <c r="I18" s="14">
        <f t="shared" si="0"/>
        <v>164509.40999999995</v>
      </c>
    </row>
    <row r="19" spans="1:14" x14ac:dyDescent="0.25">
      <c r="A19" s="12">
        <v>45153</v>
      </c>
      <c r="B19" s="1" t="s">
        <v>23</v>
      </c>
      <c r="C19" s="1" t="s">
        <v>47</v>
      </c>
      <c r="D19" s="1" t="s">
        <v>30</v>
      </c>
      <c r="E19" s="120">
        <v>3236.28</v>
      </c>
      <c r="G19" s="1" t="s">
        <v>30</v>
      </c>
      <c r="H19" s="14">
        <v>140733.50000000003</v>
      </c>
      <c r="I19" s="14">
        <f t="shared" si="0"/>
        <v>140733.50000000003</v>
      </c>
    </row>
    <row r="20" spans="1:14" x14ac:dyDescent="0.25">
      <c r="A20" s="12">
        <v>45144</v>
      </c>
      <c r="B20" s="1" t="s">
        <v>23</v>
      </c>
      <c r="C20" s="1" t="s">
        <v>48</v>
      </c>
      <c r="D20" s="1" t="s">
        <v>29</v>
      </c>
      <c r="E20" s="120">
        <v>3343.37</v>
      </c>
      <c r="G20" s="1" t="s">
        <v>26</v>
      </c>
      <c r="H20" s="14">
        <v>145090.25999999998</v>
      </c>
      <c r="I20" s="14">
        <f t="shared" si="0"/>
        <v>145090.25999999998</v>
      </c>
    </row>
    <row r="21" spans="1:14" x14ac:dyDescent="0.25">
      <c r="A21" s="12">
        <v>45149</v>
      </c>
      <c r="B21" s="1" t="s">
        <v>32</v>
      </c>
      <c r="C21" s="1" t="s">
        <v>46</v>
      </c>
      <c r="D21" s="1" t="s">
        <v>26</v>
      </c>
      <c r="E21" s="120">
        <v>3762.55</v>
      </c>
      <c r="G21" s="1" t="s">
        <v>31</v>
      </c>
      <c r="H21" s="61">
        <v>117456.63000000002</v>
      </c>
      <c r="I21" s="61">
        <f t="shared" si="0"/>
        <v>117456.63000000002</v>
      </c>
    </row>
    <row r="22" spans="1:14" ht="15.75" thickBot="1" x14ac:dyDescent="0.3">
      <c r="A22" s="12">
        <v>45157</v>
      </c>
      <c r="B22" s="1" t="s">
        <v>25</v>
      </c>
      <c r="C22" s="1" t="s">
        <v>46</v>
      </c>
      <c r="D22" s="1" t="s">
        <v>28</v>
      </c>
      <c r="E22" s="120">
        <v>2840.65</v>
      </c>
      <c r="G22" s="122" t="s">
        <v>139</v>
      </c>
      <c r="H22" s="123">
        <f>SUM(_xlfn.ANCHORARRAY(H16))</f>
        <v>874312.71</v>
      </c>
      <c r="I22" s="123">
        <f>SUM(_xlfn.ANCHORARRAY(I16))</f>
        <v>148541.69000000006</v>
      </c>
    </row>
    <row r="23" spans="1:14" ht="15.75" thickTop="1" x14ac:dyDescent="0.25">
      <c r="A23" s="12">
        <v>45148</v>
      </c>
      <c r="B23" s="1" t="s">
        <v>24</v>
      </c>
      <c r="C23" s="1" t="s">
        <v>45</v>
      </c>
      <c r="D23" s="1" t="s">
        <v>27</v>
      </c>
      <c r="E23" s="120">
        <v>2019.03</v>
      </c>
    </row>
    <row r="24" spans="1:14" x14ac:dyDescent="0.25">
      <c r="A24" s="12">
        <v>45143</v>
      </c>
      <c r="B24" s="1" t="s">
        <v>32</v>
      </c>
      <c r="C24" s="1" t="s">
        <v>47</v>
      </c>
      <c r="D24" s="1" t="s">
        <v>29</v>
      </c>
      <c r="E24" s="120">
        <v>3305.75</v>
      </c>
      <c r="G24" s="121" t="s">
        <v>140</v>
      </c>
    </row>
    <row r="25" spans="1:14" x14ac:dyDescent="0.25">
      <c r="A25" s="12">
        <v>45149</v>
      </c>
      <c r="B25" s="1" t="s">
        <v>23</v>
      </c>
      <c r="C25" s="1" t="s">
        <v>2</v>
      </c>
      <c r="D25" s="1" t="s">
        <v>27</v>
      </c>
      <c r="E25" s="120">
        <v>2919.19</v>
      </c>
      <c r="G25" s="10" t="s">
        <v>141</v>
      </c>
      <c r="H25" s="8"/>
    </row>
    <row r="26" spans="1:14" ht="15.75" x14ac:dyDescent="0.25">
      <c r="A26" s="12">
        <v>45148</v>
      </c>
      <c r="B26" s="1" t="s">
        <v>22</v>
      </c>
      <c r="C26" s="1" t="s">
        <v>45</v>
      </c>
      <c r="D26" s="1" t="s">
        <v>30</v>
      </c>
      <c r="E26" s="120">
        <v>2166.96</v>
      </c>
      <c r="G26" s="124" t="s">
        <v>142</v>
      </c>
      <c r="H26" s="125" t="s">
        <v>138</v>
      </c>
      <c r="I26" s="125" t="s">
        <v>123</v>
      </c>
    </row>
    <row r="27" spans="1:14" x14ac:dyDescent="0.25">
      <c r="A27" s="12">
        <v>45156</v>
      </c>
      <c r="B27" s="1" t="s">
        <v>22</v>
      </c>
      <c r="C27" s="1" t="s">
        <v>45</v>
      </c>
      <c r="D27" s="1" t="s">
        <v>30</v>
      </c>
      <c r="E27" s="120">
        <v>3939.65</v>
      </c>
      <c r="G27" s="1" t="s">
        <v>46</v>
      </c>
      <c r="H27" s="48" cm="1">
        <f t="array" ref="H27:H31">SUMIFS(E12:E300,C12:C300,G27:G31)</f>
        <v>153559.21000000005</v>
      </c>
      <c r="I27" s="48">
        <f>SUMIFS($E$12:$E$300,$C$12:$C$300,G27)</f>
        <v>153559.21000000005</v>
      </c>
      <c r="K27" t="str">
        <f ca="1">IF(_xlfn.ISFORMULA(H27),_xlfn.FORMULATEXT(H27),"")</f>
        <v>=SUMIFS(E12:E300,C12:C300,G27:G31)</v>
      </c>
    </row>
    <row r="28" spans="1:14" x14ac:dyDescent="0.25">
      <c r="A28" s="12">
        <v>45168</v>
      </c>
      <c r="B28" s="1" t="s">
        <v>22</v>
      </c>
      <c r="C28" s="1" t="s">
        <v>2</v>
      </c>
      <c r="D28" s="1" t="s">
        <v>29</v>
      </c>
      <c r="E28" s="120">
        <v>3932.6</v>
      </c>
      <c r="G28" s="1" t="s">
        <v>45</v>
      </c>
      <c r="H28" s="48">
        <v>164598.56</v>
      </c>
      <c r="I28" s="48">
        <f>SUMIFS($E$12:$E$300,$C$12:$C$300,G28)</f>
        <v>164598.56</v>
      </c>
      <c r="K28" t="str">
        <f ca="1">_xlfn.IFNA(_xlfn.FORMULATEXT(I27),"")</f>
        <v>=SUMIFS($E$12:$E$300,$C$12:$C$300,G27)</v>
      </c>
    </row>
    <row r="29" spans="1:14" x14ac:dyDescent="0.25">
      <c r="A29" s="12">
        <v>45152</v>
      </c>
      <c r="B29" s="1" t="s">
        <v>23</v>
      </c>
      <c r="C29" s="1" t="s">
        <v>45</v>
      </c>
      <c r="D29" s="1" t="s">
        <v>27</v>
      </c>
      <c r="E29" s="120">
        <v>3339.41</v>
      </c>
      <c r="G29" s="1" t="s">
        <v>48</v>
      </c>
      <c r="H29" s="48">
        <v>168258.54999999993</v>
      </c>
      <c r="I29" s="48">
        <f>SUMIFS($E$12:$E$300,$C$12:$C$300,G29)</f>
        <v>168258.54999999993</v>
      </c>
    </row>
    <row r="30" spans="1:14" x14ac:dyDescent="0.25">
      <c r="A30" s="12">
        <v>45144</v>
      </c>
      <c r="B30" s="1" t="s">
        <v>24</v>
      </c>
      <c r="C30" s="1" t="s">
        <v>45</v>
      </c>
      <c r="D30" s="1" t="s">
        <v>27</v>
      </c>
      <c r="E30" s="120">
        <v>2973.83</v>
      </c>
      <c r="G30" s="1" t="s">
        <v>47</v>
      </c>
      <c r="H30" s="48">
        <v>222142.28999999986</v>
      </c>
      <c r="I30" s="48">
        <f>SUMIFS($E$12:$E$300,$C$12:$C$300,G30)</f>
        <v>222142.28999999986</v>
      </c>
    </row>
    <row r="31" spans="1:14" x14ac:dyDescent="0.25">
      <c r="A31" s="12">
        <v>45158</v>
      </c>
      <c r="B31" s="1" t="s">
        <v>24</v>
      </c>
      <c r="C31" s="1" t="s">
        <v>48</v>
      </c>
      <c r="D31" s="1" t="s">
        <v>27</v>
      </c>
      <c r="E31" s="120">
        <v>3331.21</v>
      </c>
      <c r="G31" s="1" t="s">
        <v>2</v>
      </c>
      <c r="H31" s="62">
        <v>165754.1</v>
      </c>
      <c r="I31" s="48">
        <f>SUMIFS($E$12:$E$300,$C$12:$C$300,G31)</f>
        <v>165754.1</v>
      </c>
    </row>
    <row r="32" spans="1:14" ht="15.75" thickBot="1" x14ac:dyDescent="0.3">
      <c r="A32" s="12">
        <v>45169</v>
      </c>
      <c r="B32" s="1" t="s">
        <v>24</v>
      </c>
      <c r="C32" s="1" t="s">
        <v>46</v>
      </c>
      <c r="D32" s="1" t="s">
        <v>28</v>
      </c>
      <c r="E32" s="120">
        <v>3244.37</v>
      </c>
      <c r="G32" s="122" t="s">
        <v>139</v>
      </c>
      <c r="H32" s="126">
        <f>SUM(_xlfn.ANCHORARRAY(H27))</f>
        <v>874312.70999999985</v>
      </c>
      <c r="I32" s="126">
        <f>SUM(I27:I31)</f>
        <v>874312.70999999985</v>
      </c>
      <c r="N32" s="10" t="s">
        <v>96</v>
      </c>
    </row>
    <row r="33" spans="1:16" ht="15.75" thickTop="1" x14ac:dyDescent="0.25">
      <c r="A33" s="12">
        <v>45140</v>
      </c>
      <c r="B33" s="1" t="s">
        <v>24</v>
      </c>
      <c r="C33" s="1" t="s">
        <v>48</v>
      </c>
      <c r="D33" s="1" t="s">
        <v>29</v>
      </c>
      <c r="E33" s="120">
        <v>2545.61</v>
      </c>
      <c r="N33" s="10" t="s">
        <v>18</v>
      </c>
      <c r="O33" s="10" t="s">
        <v>143</v>
      </c>
      <c r="P33" s="10" t="s">
        <v>20</v>
      </c>
    </row>
    <row r="34" spans="1:16" x14ac:dyDescent="0.25">
      <c r="A34" s="12">
        <v>45141</v>
      </c>
      <c r="B34" s="1" t="s">
        <v>25</v>
      </c>
      <c r="C34" s="1" t="s">
        <v>45</v>
      </c>
      <c r="D34" s="1" t="s">
        <v>30</v>
      </c>
      <c r="E34" s="120">
        <v>2191.69</v>
      </c>
      <c r="G34" s="121" t="s">
        <v>144</v>
      </c>
      <c r="N34" t="str" cm="1">
        <f t="array" ref="N34:N38">_xlfn._xlws.SORT(_xlfn.UNIQUE(B12:B41))</f>
        <v>Central</v>
      </c>
      <c r="O34" t="str" cm="1">
        <f t="array" ref="O34:O38">_xlfn._xlws.SORT(_xlfn.UNIQUE(C12:C41))</f>
        <v>Carmen</v>
      </c>
      <c r="P34" t="str" cm="1">
        <f t="array" ref="P34:P39">_xlfn._xlws.SORT(_xlfn.UNIQUE(D12:D41))</f>
        <v>Hot Wheels</v>
      </c>
    </row>
    <row r="35" spans="1:16" x14ac:dyDescent="0.25">
      <c r="A35" s="12">
        <v>45146</v>
      </c>
      <c r="B35" s="1" t="s">
        <v>32</v>
      </c>
      <c r="C35" s="1" t="s">
        <v>47</v>
      </c>
      <c r="D35" s="1" t="s">
        <v>29</v>
      </c>
      <c r="E35" s="120">
        <v>2034.11</v>
      </c>
      <c r="G35" s="10" t="s">
        <v>145</v>
      </c>
      <c r="N35" t="str">
        <v xml:space="preserve">North </v>
      </c>
      <c r="O35" t="str">
        <v>Cinderelli</v>
      </c>
      <c r="P35" t="str">
        <v>LOL OMG Surprise</v>
      </c>
    </row>
    <row r="36" spans="1:16" x14ac:dyDescent="0.25">
      <c r="A36" s="12">
        <v>45164</v>
      </c>
      <c r="B36" s="1" t="s">
        <v>22</v>
      </c>
      <c r="C36" s="1" t="s">
        <v>47</v>
      </c>
      <c r="D36" s="1" t="s">
        <v>26</v>
      </c>
      <c r="E36" s="120">
        <v>2686.71</v>
      </c>
      <c r="G36" s="92" t="s">
        <v>142</v>
      </c>
      <c r="H36" s="1" t="s">
        <v>46</v>
      </c>
      <c r="N36" t="str">
        <v>NorthWest</v>
      </c>
      <c r="O36" t="str">
        <v>Macen</v>
      </c>
      <c r="P36" t="str">
        <v>LOL Surprise</v>
      </c>
    </row>
    <row r="37" spans="1:16" x14ac:dyDescent="0.25">
      <c r="A37" s="12">
        <v>45146</v>
      </c>
      <c r="B37" s="1" t="s">
        <v>32</v>
      </c>
      <c r="C37" s="1" t="s">
        <v>47</v>
      </c>
      <c r="D37" s="1" t="s">
        <v>26</v>
      </c>
      <c r="E37" s="120">
        <v>3446.64</v>
      </c>
      <c r="G37" s="92" t="s">
        <v>18</v>
      </c>
      <c r="H37" s="1" t="s">
        <v>23</v>
      </c>
      <c r="N37" t="str">
        <v>South</v>
      </c>
      <c r="O37" t="str">
        <v>Miles</v>
      </c>
      <c r="P37" t="str">
        <v>Monster Trucks</v>
      </c>
    </row>
    <row r="38" spans="1:16" x14ac:dyDescent="0.25">
      <c r="A38" s="12">
        <v>45166</v>
      </c>
      <c r="B38" s="1" t="s">
        <v>25</v>
      </c>
      <c r="C38" s="1" t="s">
        <v>48</v>
      </c>
      <c r="D38" s="1" t="s">
        <v>26</v>
      </c>
      <c r="E38" s="120">
        <v>3150.23</v>
      </c>
      <c r="G38" s="127" t="s">
        <v>139</v>
      </c>
      <c r="H38" s="48">
        <f>SUMIFS(E12:E300,C12:C300,H36,B12:B300,H37)</f>
        <v>32383.689999999995</v>
      </c>
      <c r="K38" t="str">
        <f ca="1">_xlfn.IFNA(_xlfn.FORMULATEXT(H38),"")</f>
        <v>=SUMIFS(E12:E300,C12:C300,H36,B12:B300,H37)</v>
      </c>
      <c r="N38" t="str">
        <v>West</v>
      </c>
      <c r="O38" t="str">
        <v>Tiana</v>
      </c>
      <c r="P38" t="str">
        <v>Rainbow High Dolls</v>
      </c>
    </row>
    <row r="39" spans="1:16" x14ac:dyDescent="0.25">
      <c r="A39" s="12">
        <v>45140</v>
      </c>
      <c r="B39" s="1" t="s">
        <v>32</v>
      </c>
      <c r="C39" s="1" t="s">
        <v>48</v>
      </c>
      <c r="D39" s="1" t="s">
        <v>30</v>
      </c>
      <c r="E39" s="120">
        <v>3417.71</v>
      </c>
      <c r="P39" t="str">
        <v>Stuffed Animals/Bears</v>
      </c>
    </row>
    <row r="40" spans="1:16" x14ac:dyDescent="0.25">
      <c r="A40" s="12">
        <v>45166</v>
      </c>
      <c r="B40" s="1" t="s">
        <v>23</v>
      </c>
      <c r="C40" s="1" t="s">
        <v>46</v>
      </c>
      <c r="D40" s="1" t="s">
        <v>30</v>
      </c>
      <c r="E40" s="120">
        <v>3269.6</v>
      </c>
      <c r="G40" s="121" t="s">
        <v>146</v>
      </c>
    </row>
    <row r="41" spans="1:16" x14ac:dyDescent="0.25">
      <c r="A41" s="12">
        <v>45164</v>
      </c>
      <c r="B41" s="1" t="s">
        <v>22</v>
      </c>
      <c r="C41" s="1" t="s">
        <v>47</v>
      </c>
      <c r="D41" s="1" t="s">
        <v>29</v>
      </c>
      <c r="E41" s="120">
        <v>2672.91</v>
      </c>
      <c r="G41" s="128" t="s">
        <v>132</v>
      </c>
    </row>
    <row r="42" spans="1:16" ht="15.75" x14ac:dyDescent="0.25">
      <c r="A42" s="12">
        <v>45142</v>
      </c>
      <c r="B42" s="1" t="s">
        <v>22</v>
      </c>
      <c r="C42" s="1" t="s">
        <v>48</v>
      </c>
      <c r="D42" s="1" t="s">
        <v>30</v>
      </c>
      <c r="E42" s="120">
        <v>3692.24</v>
      </c>
      <c r="G42" s="11" t="s">
        <v>18</v>
      </c>
      <c r="H42" s="11" t="s">
        <v>138</v>
      </c>
      <c r="I42" s="11" t="s">
        <v>123</v>
      </c>
    </row>
    <row r="43" spans="1:16" x14ac:dyDescent="0.25">
      <c r="A43" s="12">
        <v>45154</v>
      </c>
      <c r="B43" s="1" t="s">
        <v>24</v>
      </c>
      <c r="C43" s="1" t="s">
        <v>2</v>
      </c>
      <c r="D43" s="1" t="s">
        <v>30</v>
      </c>
      <c r="E43" s="120">
        <v>2669.7</v>
      </c>
      <c r="G43" s="1" t="s">
        <v>24</v>
      </c>
      <c r="H43" s="48" cm="1">
        <f t="array" ref="H43:H47">SUMIFS(E12:E300,B12:B300,G43:G47)</f>
        <v>153616.77999999997</v>
      </c>
      <c r="I43" s="48">
        <f>SUMIFS($E$12:$E$300,$B$12:$B$300,G43)</f>
        <v>153616.77999999997</v>
      </c>
      <c r="K43" t="str">
        <f ca="1">IF(_xlfn.ISFORMULA(H43),_xlfn.FORMULATEXT(H43),"")</f>
        <v>=SUMIFS(E12:E300,B12:B300,G43:G47)</v>
      </c>
    </row>
    <row r="44" spans="1:16" x14ac:dyDescent="0.25">
      <c r="A44" s="12">
        <v>45146</v>
      </c>
      <c r="B44" s="1" t="s">
        <v>23</v>
      </c>
      <c r="C44" s="1" t="s">
        <v>48</v>
      </c>
      <c r="D44" s="1" t="s">
        <v>28</v>
      </c>
      <c r="E44" s="120">
        <v>2975.8</v>
      </c>
      <c r="G44" s="1" t="s">
        <v>32</v>
      </c>
      <c r="H44" s="48">
        <v>198178.22</v>
      </c>
      <c r="I44" s="48">
        <f t="shared" ref="I44:I47" si="1">SUMIFS($E$12:$E$300,$B$12:$B$300,G44)</f>
        <v>198178.22</v>
      </c>
      <c r="K44" t="str">
        <f ca="1">_xlfn.IFNA(_xlfn.FORMULATEXT(I43),"")</f>
        <v>=SUMIFS($E$12:$E$300,$B$12:$B$300,G43)</v>
      </c>
    </row>
    <row r="45" spans="1:16" x14ac:dyDescent="0.25">
      <c r="A45" s="12">
        <v>45149</v>
      </c>
      <c r="B45" s="1" t="s">
        <v>22</v>
      </c>
      <c r="C45" s="1" t="s">
        <v>2</v>
      </c>
      <c r="D45" s="1" t="s">
        <v>29</v>
      </c>
      <c r="E45" s="120">
        <v>3446.79</v>
      </c>
      <c r="G45" s="1" t="s">
        <v>23</v>
      </c>
      <c r="H45" s="48">
        <v>188229.18999999994</v>
      </c>
      <c r="I45" s="48">
        <f t="shared" si="1"/>
        <v>188229.18999999994</v>
      </c>
    </row>
    <row r="46" spans="1:16" x14ac:dyDescent="0.25">
      <c r="A46" s="12">
        <v>45155</v>
      </c>
      <c r="B46" s="1" t="s">
        <v>25</v>
      </c>
      <c r="C46" s="1" t="s">
        <v>2</v>
      </c>
      <c r="D46" s="1" t="s">
        <v>28</v>
      </c>
      <c r="E46" s="120">
        <v>2378.88</v>
      </c>
      <c r="G46" s="1" t="s">
        <v>25</v>
      </c>
      <c r="H46" s="48">
        <v>140969.83000000002</v>
      </c>
      <c r="I46" s="48">
        <f t="shared" si="1"/>
        <v>140969.83000000002</v>
      </c>
    </row>
    <row r="47" spans="1:16" x14ac:dyDescent="0.25">
      <c r="A47" s="12">
        <v>45155</v>
      </c>
      <c r="B47" s="1" t="s">
        <v>32</v>
      </c>
      <c r="C47" s="1" t="s">
        <v>2</v>
      </c>
      <c r="D47" s="1" t="s">
        <v>31</v>
      </c>
      <c r="E47" s="120">
        <v>3307.94</v>
      </c>
      <c r="G47" s="1" t="s">
        <v>22</v>
      </c>
      <c r="H47" s="62">
        <v>193318.69000000003</v>
      </c>
      <c r="I47" s="48">
        <f t="shared" si="1"/>
        <v>193318.69000000003</v>
      </c>
    </row>
    <row r="48" spans="1:16" ht="15.75" thickBot="1" x14ac:dyDescent="0.3">
      <c r="A48" s="12">
        <v>45154</v>
      </c>
      <c r="B48" s="1" t="s">
        <v>25</v>
      </c>
      <c r="C48" s="1" t="s">
        <v>48</v>
      </c>
      <c r="D48" s="1" t="s">
        <v>30</v>
      </c>
      <c r="E48" s="120">
        <v>2246.25</v>
      </c>
      <c r="G48" s="122" t="s">
        <v>139</v>
      </c>
      <c r="H48" s="126">
        <f>SUM(_xlfn.ANCHORARRAY(H43))</f>
        <v>874312.71000000008</v>
      </c>
      <c r="I48" s="126">
        <f>SUM(I43:I47)</f>
        <v>874312.71000000008</v>
      </c>
    </row>
    <row r="49" spans="1:5" ht="15.75" thickTop="1" x14ac:dyDescent="0.25">
      <c r="A49" s="12">
        <v>45163</v>
      </c>
      <c r="B49" s="1" t="s">
        <v>23</v>
      </c>
      <c r="C49" s="1" t="s">
        <v>45</v>
      </c>
      <c r="D49" s="1" t="s">
        <v>30</v>
      </c>
      <c r="E49" s="120">
        <v>3720.02</v>
      </c>
    </row>
    <row r="50" spans="1:5" x14ac:dyDescent="0.25">
      <c r="A50" s="12">
        <v>45159</v>
      </c>
      <c r="B50" s="1" t="s">
        <v>32</v>
      </c>
      <c r="C50" s="1" t="s">
        <v>45</v>
      </c>
      <c r="D50" s="1" t="s">
        <v>31</v>
      </c>
      <c r="E50" s="120">
        <v>2176.7399999999998</v>
      </c>
    </row>
    <row r="51" spans="1:5" x14ac:dyDescent="0.25">
      <c r="A51" s="12">
        <v>45159</v>
      </c>
      <c r="B51" s="1" t="s">
        <v>25</v>
      </c>
      <c r="C51" s="1" t="s">
        <v>2</v>
      </c>
      <c r="D51" s="1" t="s">
        <v>26</v>
      </c>
      <c r="E51" s="120">
        <v>3373.27</v>
      </c>
    </row>
    <row r="52" spans="1:5" x14ac:dyDescent="0.25">
      <c r="A52" s="12">
        <v>45142</v>
      </c>
      <c r="B52" s="1" t="s">
        <v>23</v>
      </c>
      <c r="C52" s="1" t="s">
        <v>48</v>
      </c>
      <c r="D52" s="1" t="s">
        <v>26</v>
      </c>
      <c r="E52" s="120">
        <v>3138.69</v>
      </c>
    </row>
    <row r="53" spans="1:5" x14ac:dyDescent="0.25">
      <c r="A53" s="12">
        <v>45145</v>
      </c>
      <c r="B53" s="1" t="s">
        <v>32</v>
      </c>
      <c r="C53" s="1" t="s">
        <v>45</v>
      </c>
      <c r="D53" s="1" t="s">
        <v>28</v>
      </c>
      <c r="E53" s="120">
        <v>3353.36</v>
      </c>
    </row>
    <row r="54" spans="1:5" x14ac:dyDescent="0.25">
      <c r="A54" s="12">
        <v>45148</v>
      </c>
      <c r="B54" s="1" t="s">
        <v>24</v>
      </c>
      <c r="C54" s="1" t="s">
        <v>48</v>
      </c>
      <c r="D54" s="1" t="s">
        <v>29</v>
      </c>
      <c r="E54" s="120">
        <v>2611.86</v>
      </c>
    </row>
    <row r="55" spans="1:5" x14ac:dyDescent="0.25">
      <c r="A55" s="12">
        <v>45139</v>
      </c>
      <c r="B55" s="1" t="s">
        <v>22</v>
      </c>
      <c r="C55" s="1" t="s">
        <v>47</v>
      </c>
      <c r="D55" s="1" t="s">
        <v>26</v>
      </c>
      <c r="E55" s="120">
        <v>2585.0500000000002</v>
      </c>
    </row>
    <row r="56" spans="1:5" x14ac:dyDescent="0.25">
      <c r="A56" s="12">
        <v>45154</v>
      </c>
      <c r="B56" s="1" t="s">
        <v>23</v>
      </c>
      <c r="C56" s="1" t="s">
        <v>46</v>
      </c>
      <c r="D56" s="1" t="s">
        <v>30</v>
      </c>
      <c r="E56" s="120">
        <v>2934.85</v>
      </c>
    </row>
    <row r="57" spans="1:5" x14ac:dyDescent="0.25">
      <c r="A57" s="12">
        <v>45148</v>
      </c>
      <c r="B57" s="1" t="s">
        <v>22</v>
      </c>
      <c r="C57" s="1" t="s">
        <v>45</v>
      </c>
      <c r="D57" s="1" t="s">
        <v>30</v>
      </c>
      <c r="E57" s="120">
        <v>3710.5</v>
      </c>
    </row>
    <row r="58" spans="1:5" x14ac:dyDescent="0.25">
      <c r="A58" s="12">
        <v>45163</v>
      </c>
      <c r="B58" s="1" t="s">
        <v>24</v>
      </c>
      <c r="C58" s="1" t="s">
        <v>2</v>
      </c>
      <c r="D58" s="1" t="s">
        <v>27</v>
      </c>
      <c r="E58" s="120">
        <v>2973.73</v>
      </c>
    </row>
    <row r="59" spans="1:5" x14ac:dyDescent="0.25">
      <c r="A59" s="12">
        <v>45149</v>
      </c>
      <c r="B59" s="1" t="s">
        <v>24</v>
      </c>
      <c r="C59" s="1" t="s">
        <v>45</v>
      </c>
      <c r="D59" s="1" t="s">
        <v>26</v>
      </c>
      <c r="E59" s="120">
        <v>3704.03</v>
      </c>
    </row>
    <row r="60" spans="1:5" x14ac:dyDescent="0.25">
      <c r="A60" s="12">
        <v>45146</v>
      </c>
      <c r="B60" s="1" t="s">
        <v>25</v>
      </c>
      <c r="C60" s="1" t="s">
        <v>2</v>
      </c>
      <c r="D60" s="1" t="s">
        <v>30</v>
      </c>
      <c r="E60" s="120">
        <v>3019.2</v>
      </c>
    </row>
    <row r="61" spans="1:5" x14ac:dyDescent="0.25">
      <c r="A61" s="12">
        <v>45151</v>
      </c>
      <c r="B61" s="1" t="s">
        <v>23</v>
      </c>
      <c r="C61" s="1" t="s">
        <v>47</v>
      </c>
      <c r="D61" s="1" t="s">
        <v>27</v>
      </c>
      <c r="E61" s="120">
        <v>3447.66</v>
      </c>
    </row>
    <row r="62" spans="1:5" x14ac:dyDescent="0.25">
      <c r="A62" s="12">
        <v>45144</v>
      </c>
      <c r="B62" s="1" t="s">
        <v>23</v>
      </c>
      <c r="C62" s="1" t="s">
        <v>2</v>
      </c>
      <c r="D62" s="1" t="s">
        <v>30</v>
      </c>
      <c r="E62" s="120">
        <v>2125.0100000000002</v>
      </c>
    </row>
    <row r="63" spans="1:5" x14ac:dyDescent="0.25">
      <c r="A63" s="12">
        <v>45167</v>
      </c>
      <c r="B63" s="1" t="s">
        <v>25</v>
      </c>
      <c r="C63" s="1" t="s">
        <v>46</v>
      </c>
      <c r="D63" s="1" t="s">
        <v>26</v>
      </c>
      <c r="E63" s="120">
        <v>2084.6</v>
      </c>
    </row>
    <row r="64" spans="1:5" x14ac:dyDescent="0.25">
      <c r="A64" s="12">
        <v>45161</v>
      </c>
      <c r="B64" s="1" t="s">
        <v>23</v>
      </c>
      <c r="C64" s="1" t="s">
        <v>45</v>
      </c>
      <c r="D64" s="1" t="s">
        <v>30</v>
      </c>
      <c r="E64" s="120">
        <v>2781.9</v>
      </c>
    </row>
    <row r="65" spans="1:5" x14ac:dyDescent="0.25">
      <c r="A65" s="12">
        <v>45153</v>
      </c>
      <c r="B65" s="1" t="s">
        <v>22</v>
      </c>
      <c r="C65" s="1" t="s">
        <v>47</v>
      </c>
      <c r="D65" s="1" t="s">
        <v>31</v>
      </c>
      <c r="E65" s="120">
        <v>3176.89</v>
      </c>
    </row>
    <row r="66" spans="1:5" x14ac:dyDescent="0.25">
      <c r="A66" s="12">
        <v>45145</v>
      </c>
      <c r="B66" s="1" t="s">
        <v>25</v>
      </c>
      <c r="C66" s="1" t="s">
        <v>47</v>
      </c>
      <c r="D66" s="1" t="s">
        <v>29</v>
      </c>
      <c r="E66" s="120">
        <v>3936.46</v>
      </c>
    </row>
    <row r="67" spans="1:5" x14ac:dyDescent="0.25">
      <c r="A67" s="12">
        <v>45158</v>
      </c>
      <c r="B67" s="1" t="s">
        <v>32</v>
      </c>
      <c r="C67" s="1" t="s">
        <v>47</v>
      </c>
      <c r="D67" s="1" t="s">
        <v>31</v>
      </c>
      <c r="E67" s="120">
        <v>2483.84</v>
      </c>
    </row>
    <row r="68" spans="1:5" x14ac:dyDescent="0.25">
      <c r="A68" s="12">
        <v>45167</v>
      </c>
      <c r="B68" s="1" t="s">
        <v>24</v>
      </c>
      <c r="C68" s="1" t="s">
        <v>48</v>
      </c>
      <c r="D68" s="1" t="s">
        <v>30</v>
      </c>
      <c r="E68" s="120">
        <v>3503.23</v>
      </c>
    </row>
    <row r="69" spans="1:5" x14ac:dyDescent="0.25">
      <c r="A69" s="12">
        <v>45169</v>
      </c>
      <c r="B69" s="1" t="s">
        <v>23</v>
      </c>
      <c r="C69" s="1" t="s">
        <v>46</v>
      </c>
      <c r="D69" s="1" t="s">
        <v>31</v>
      </c>
      <c r="E69" s="120">
        <v>2654.67</v>
      </c>
    </row>
    <row r="70" spans="1:5" x14ac:dyDescent="0.25">
      <c r="A70" s="12">
        <v>45146</v>
      </c>
      <c r="B70" s="1" t="s">
        <v>23</v>
      </c>
      <c r="C70" s="1" t="s">
        <v>47</v>
      </c>
      <c r="D70" s="1" t="s">
        <v>26</v>
      </c>
      <c r="E70" s="120">
        <v>2532.0300000000002</v>
      </c>
    </row>
    <row r="71" spans="1:5" x14ac:dyDescent="0.25">
      <c r="A71" s="12">
        <v>45169</v>
      </c>
      <c r="B71" s="1" t="s">
        <v>23</v>
      </c>
      <c r="C71" s="1" t="s">
        <v>47</v>
      </c>
      <c r="D71" s="1" t="s">
        <v>26</v>
      </c>
      <c r="E71" s="120">
        <v>2973.9</v>
      </c>
    </row>
    <row r="72" spans="1:5" x14ac:dyDescent="0.25">
      <c r="A72" s="12">
        <v>45153</v>
      </c>
      <c r="B72" s="1" t="s">
        <v>25</v>
      </c>
      <c r="C72" s="1" t="s">
        <v>45</v>
      </c>
      <c r="D72" s="1" t="s">
        <v>26</v>
      </c>
      <c r="E72" s="120">
        <v>3296.7</v>
      </c>
    </row>
    <row r="73" spans="1:5" x14ac:dyDescent="0.25">
      <c r="A73" s="12">
        <v>45149</v>
      </c>
      <c r="B73" s="1" t="s">
        <v>25</v>
      </c>
      <c r="C73" s="1" t="s">
        <v>47</v>
      </c>
      <c r="D73" s="1" t="s">
        <v>27</v>
      </c>
      <c r="E73" s="120">
        <v>2081.84</v>
      </c>
    </row>
    <row r="74" spans="1:5" x14ac:dyDescent="0.25">
      <c r="A74" s="12">
        <v>45141</v>
      </c>
      <c r="B74" s="1" t="s">
        <v>22</v>
      </c>
      <c r="C74" s="1" t="s">
        <v>46</v>
      </c>
      <c r="D74" s="1" t="s">
        <v>31</v>
      </c>
      <c r="E74" s="120">
        <v>3875.37</v>
      </c>
    </row>
    <row r="75" spans="1:5" x14ac:dyDescent="0.25">
      <c r="A75" s="12">
        <v>45165</v>
      </c>
      <c r="B75" s="1" t="s">
        <v>25</v>
      </c>
      <c r="C75" s="1" t="s">
        <v>46</v>
      </c>
      <c r="D75" s="1" t="s">
        <v>29</v>
      </c>
      <c r="E75" s="120">
        <v>3316.91</v>
      </c>
    </row>
    <row r="76" spans="1:5" x14ac:dyDescent="0.25">
      <c r="A76" s="12">
        <v>45155</v>
      </c>
      <c r="B76" s="1" t="s">
        <v>32</v>
      </c>
      <c r="C76" s="1" t="s">
        <v>47</v>
      </c>
      <c r="D76" s="1" t="s">
        <v>29</v>
      </c>
      <c r="E76" s="120">
        <v>2311.9299999999998</v>
      </c>
    </row>
    <row r="77" spans="1:5" x14ac:dyDescent="0.25">
      <c r="A77" s="12">
        <v>45155</v>
      </c>
      <c r="B77" s="1" t="s">
        <v>24</v>
      </c>
      <c r="C77" s="1" t="s">
        <v>45</v>
      </c>
      <c r="D77" s="1" t="s">
        <v>29</v>
      </c>
      <c r="E77" s="120">
        <v>2556.6999999999998</v>
      </c>
    </row>
    <row r="78" spans="1:5" x14ac:dyDescent="0.25">
      <c r="A78" s="12">
        <v>45153</v>
      </c>
      <c r="B78" s="1" t="s">
        <v>23</v>
      </c>
      <c r="C78" s="1" t="s">
        <v>47</v>
      </c>
      <c r="D78" s="1" t="s">
        <v>26</v>
      </c>
      <c r="E78" s="120">
        <v>2980.81</v>
      </c>
    </row>
    <row r="79" spans="1:5" x14ac:dyDescent="0.25">
      <c r="A79" s="12">
        <v>45153</v>
      </c>
      <c r="B79" s="1" t="s">
        <v>24</v>
      </c>
      <c r="C79" s="1" t="s">
        <v>46</v>
      </c>
      <c r="D79" s="1" t="s">
        <v>28</v>
      </c>
      <c r="E79" s="120">
        <v>3677.71</v>
      </c>
    </row>
    <row r="80" spans="1:5" x14ac:dyDescent="0.25">
      <c r="A80" s="12">
        <v>45158</v>
      </c>
      <c r="B80" s="1" t="s">
        <v>32</v>
      </c>
      <c r="C80" s="1" t="s">
        <v>47</v>
      </c>
      <c r="D80" s="1" t="s">
        <v>26</v>
      </c>
      <c r="E80" s="120">
        <v>2632.3</v>
      </c>
    </row>
    <row r="81" spans="1:5" x14ac:dyDescent="0.25">
      <c r="A81" s="12">
        <v>45168</v>
      </c>
      <c r="B81" s="1" t="s">
        <v>23</v>
      </c>
      <c r="C81" s="1" t="s">
        <v>46</v>
      </c>
      <c r="D81" s="1" t="s">
        <v>30</v>
      </c>
      <c r="E81" s="120">
        <v>3320.73</v>
      </c>
    </row>
    <row r="82" spans="1:5" x14ac:dyDescent="0.25">
      <c r="A82" s="12">
        <v>45148</v>
      </c>
      <c r="B82" s="1" t="s">
        <v>22</v>
      </c>
      <c r="C82" s="1" t="s">
        <v>48</v>
      </c>
      <c r="D82" s="1" t="s">
        <v>26</v>
      </c>
      <c r="E82" s="120">
        <v>3458.04</v>
      </c>
    </row>
    <row r="83" spans="1:5" x14ac:dyDescent="0.25">
      <c r="A83" s="12">
        <v>45153</v>
      </c>
      <c r="B83" s="1" t="s">
        <v>22</v>
      </c>
      <c r="C83" s="1" t="s">
        <v>47</v>
      </c>
      <c r="D83" s="1" t="s">
        <v>28</v>
      </c>
      <c r="E83" s="120">
        <v>2871.88</v>
      </c>
    </row>
    <row r="84" spans="1:5" x14ac:dyDescent="0.25">
      <c r="A84" s="12">
        <v>45139</v>
      </c>
      <c r="B84" s="1" t="s">
        <v>23</v>
      </c>
      <c r="C84" s="1" t="s">
        <v>47</v>
      </c>
      <c r="D84" s="1" t="s">
        <v>29</v>
      </c>
      <c r="E84" s="120">
        <v>2257.15</v>
      </c>
    </row>
    <row r="85" spans="1:5" x14ac:dyDescent="0.25">
      <c r="A85" s="12">
        <v>45150</v>
      </c>
      <c r="B85" s="1" t="s">
        <v>32</v>
      </c>
      <c r="C85" s="1" t="s">
        <v>45</v>
      </c>
      <c r="D85" s="1" t="s">
        <v>26</v>
      </c>
      <c r="E85" s="120">
        <v>3974.75</v>
      </c>
    </row>
    <row r="86" spans="1:5" x14ac:dyDescent="0.25">
      <c r="A86" s="12">
        <v>45164</v>
      </c>
      <c r="B86" s="1" t="s">
        <v>22</v>
      </c>
      <c r="C86" s="1" t="s">
        <v>48</v>
      </c>
      <c r="D86" s="1" t="s">
        <v>28</v>
      </c>
      <c r="E86" s="120">
        <v>2287.04</v>
      </c>
    </row>
    <row r="87" spans="1:5" x14ac:dyDescent="0.25">
      <c r="A87" s="12">
        <v>45149</v>
      </c>
      <c r="B87" s="1" t="s">
        <v>32</v>
      </c>
      <c r="C87" s="1" t="s">
        <v>48</v>
      </c>
      <c r="D87" s="1" t="s">
        <v>29</v>
      </c>
      <c r="E87" s="120">
        <v>2244.73</v>
      </c>
    </row>
    <row r="88" spans="1:5" x14ac:dyDescent="0.25">
      <c r="A88" s="12">
        <v>45164</v>
      </c>
      <c r="B88" s="1" t="s">
        <v>22</v>
      </c>
      <c r="C88" s="1" t="s">
        <v>2</v>
      </c>
      <c r="D88" s="1" t="s">
        <v>26</v>
      </c>
      <c r="E88" s="120">
        <v>2619.16</v>
      </c>
    </row>
    <row r="89" spans="1:5" x14ac:dyDescent="0.25">
      <c r="A89" s="12">
        <v>45156</v>
      </c>
      <c r="B89" s="1" t="s">
        <v>22</v>
      </c>
      <c r="C89" s="1" t="s">
        <v>2</v>
      </c>
      <c r="D89" s="1" t="s">
        <v>28</v>
      </c>
      <c r="E89" s="120">
        <v>3886.82</v>
      </c>
    </row>
    <row r="90" spans="1:5" x14ac:dyDescent="0.25">
      <c r="A90" s="12">
        <v>45139</v>
      </c>
      <c r="B90" s="1" t="s">
        <v>25</v>
      </c>
      <c r="C90" s="1" t="s">
        <v>48</v>
      </c>
      <c r="D90" s="1" t="s">
        <v>29</v>
      </c>
      <c r="E90" s="120">
        <v>2561.94</v>
      </c>
    </row>
    <row r="91" spans="1:5" x14ac:dyDescent="0.25">
      <c r="A91" s="12">
        <v>45146</v>
      </c>
      <c r="B91" s="1" t="s">
        <v>24</v>
      </c>
      <c r="C91" s="1" t="s">
        <v>2</v>
      </c>
      <c r="D91" s="1" t="s">
        <v>28</v>
      </c>
      <c r="E91" s="120">
        <v>3324.02</v>
      </c>
    </row>
    <row r="92" spans="1:5" x14ac:dyDescent="0.25">
      <c r="A92" s="12">
        <v>45139</v>
      </c>
      <c r="B92" s="1" t="s">
        <v>22</v>
      </c>
      <c r="C92" s="1" t="s">
        <v>47</v>
      </c>
      <c r="D92" s="1" t="s">
        <v>30</v>
      </c>
      <c r="E92" s="120">
        <v>3767.84</v>
      </c>
    </row>
    <row r="93" spans="1:5" x14ac:dyDescent="0.25">
      <c r="A93" s="12">
        <v>45161</v>
      </c>
      <c r="B93" s="1" t="s">
        <v>23</v>
      </c>
      <c r="C93" s="1" t="s">
        <v>46</v>
      </c>
      <c r="D93" s="1" t="s">
        <v>27</v>
      </c>
      <c r="E93" s="120">
        <v>2840.09</v>
      </c>
    </row>
    <row r="94" spans="1:5" x14ac:dyDescent="0.25">
      <c r="A94" s="12">
        <v>45166</v>
      </c>
      <c r="B94" s="1" t="s">
        <v>24</v>
      </c>
      <c r="C94" s="1" t="s">
        <v>47</v>
      </c>
      <c r="D94" s="1" t="s">
        <v>27</v>
      </c>
      <c r="E94" s="120">
        <v>2815.5</v>
      </c>
    </row>
    <row r="95" spans="1:5" x14ac:dyDescent="0.25">
      <c r="A95" s="12">
        <v>45157</v>
      </c>
      <c r="B95" s="1" t="s">
        <v>24</v>
      </c>
      <c r="C95" s="1" t="s">
        <v>47</v>
      </c>
      <c r="D95" s="1" t="s">
        <v>26</v>
      </c>
      <c r="E95" s="120">
        <v>3299.57</v>
      </c>
    </row>
    <row r="96" spans="1:5" x14ac:dyDescent="0.25">
      <c r="A96" s="12">
        <v>45142</v>
      </c>
      <c r="B96" s="1" t="s">
        <v>32</v>
      </c>
      <c r="C96" s="1" t="s">
        <v>47</v>
      </c>
      <c r="D96" s="1" t="s">
        <v>30</v>
      </c>
      <c r="E96" s="120">
        <v>3609.86</v>
      </c>
    </row>
    <row r="97" spans="1:5" x14ac:dyDescent="0.25">
      <c r="A97" s="12">
        <v>45157</v>
      </c>
      <c r="B97" s="1" t="s">
        <v>32</v>
      </c>
      <c r="C97" s="1" t="s">
        <v>2</v>
      </c>
      <c r="D97" s="1" t="s">
        <v>28</v>
      </c>
      <c r="E97" s="120">
        <v>2686.61</v>
      </c>
    </row>
    <row r="98" spans="1:5" x14ac:dyDescent="0.25">
      <c r="A98" s="12">
        <v>45161</v>
      </c>
      <c r="B98" s="1" t="s">
        <v>25</v>
      </c>
      <c r="C98" s="1" t="s">
        <v>47</v>
      </c>
      <c r="D98" s="1" t="s">
        <v>29</v>
      </c>
      <c r="E98" s="120">
        <v>3331.42</v>
      </c>
    </row>
    <row r="99" spans="1:5" x14ac:dyDescent="0.25">
      <c r="A99" s="12">
        <v>45140</v>
      </c>
      <c r="B99" s="1" t="s">
        <v>32</v>
      </c>
      <c r="C99" s="1" t="s">
        <v>46</v>
      </c>
      <c r="D99" s="1" t="s">
        <v>29</v>
      </c>
      <c r="E99" s="120">
        <v>2441.39</v>
      </c>
    </row>
    <row r="100" spans="1:5" x14ac:dyDescent="0.25">
      <c r="A100" s="12">
        <v>45146</v>
      </c>
      <c r="B100" s="1" t="s">
        <v>32</v>
      </c>
      <c r="C100" s="1" t="s">
        <v>47</v>
      </c>
      <c r="D100" s="1" t="s">
        <v>30</v>
      </c>
      <c r="E100" s="120">
        <v>3777.86</v>
      </c>
    </row>
    <row r="101" spans="1:5" x14ac:dyDescent="0.25">
      <c r="A101" s="12">
        <v>45146</v>
      </c>
      <c r="B101" s="1" t="s">
        <v>22</v>
      </c>
      <c r="C101" s="1" t="s">
        <v>48</v>
      </c>
      <c r="D101" s="1" t="s">
        <v>27</v>
      </c>
      <c r="E101" s="120">
        <v>3682.62</v>
      </c>
    </row>
    <row r="102" spans="1:5" x14ac:dyDescent="0.25">
      <c r="A102" s="12">
        <v>45160</v>
      </c>
      <c r="B102" s="1" t="s">
        <v>22</v>
      </c>
      <c r="C102" s="1" t="s">
        <v>46</v>
      </c>
      <c r="D102" s="1" t="s">
        <v>26</v>
      </c>
      <c r="E102" s="120">
        <v>2643.43</v>
      </c>
    </row>
    <row r="103" spans="1:5" x14ac:dyDescent="0.25">
      <c r="A103" s="12">
        <v>45162</v>
      </c>
      <c r="B103" s="1" t="s">
        <v>24</v>
      </c>
      <c r="C103" s="1" t="s">
        <v>48</v>
      </c>
      <c r="D103" s="1" t="s">
        <v>31</v>
      </c>
      <c r="E103" s="120">
        <v>3268.39</v>
      </c>
    </row>
    <row r="104" spans="1:5" x14ac:dyDescent="0.25">
      <c r="A104" s="12">
        <v>45141</v>
      </c>
      <c r="B104" s="1" t="s">
        <v>24</v>
      </c>
      <c r="C104" s="1" t="s">
        <v>45</v>
      </c>
      <c r="D104" s="1" t="s">
        <v>30</v>
      </c>
      <c r="E104" s="120">
        <v>2507.34</v>
      </c>
    </row>
    <row r="105" spans="1:5" x14ac:dyDescent="0.25">
      <c r="A105" s="12">
        <v>45150</v>
      </c>
      <c r="B105" s="1" t="s">
        <v>25</v>
      </c>
      <c r="C105" s="1" t="s">
        <v>48</v>
      </c>
      <c r="D105" s="1" t="s">
        <v>26</v>
      </c>
      <c r="E105" s="120">
        <v>3289.86</v>
      </c>
    </row>
    <row r="106" spans="1:5" x14ac:dyDescent="0.25">
      <c r="A106" s="12">
        <v>45144</v>
      </c>
      <c r="B106" s="1" t="s">
        <v>24</v>
      </c>
      <c r="C106" s="1" t="s">
        <v>47</v>
      </c>
      <c r="D106" s="1" t="s">
        <v>31</v>
      </c>
      <c r="E106" s="120">
        <v>2060.17</v>
      </c>
    </row>
    <row r="107" spans="1:5" x14ac:dyDescent="0.25">
      <c r="A107" s="12">
        <v>45164</v>
      </c>
      <c r="B107" s="1" t="s">
        <v>25</v>
      </c>
      <c r="C107" s="1" t="s">
        <v>2</v>
      </c>
      <c r="D107" s="1" t="s">
        <v>29</v>
      </c>
      <c r="E107" s="120">
        <v>3950.54</v>
      </c>
    </row>
    <row r="108" spans="1:5" x14ac:dyDescent="0.25">
      <c r="A108" s="12">
        <v>45155</v>
      </c>
      <c r="B108" s="1" t="s">
        <v>32</v>
      </c>
      <c r="C108" s="1" t="s">
        <v>45</v>
      </c>
      <c r="D108" s="1" t="s">
        <v>29</v>
      </c>
      <c r="E108" s="120">
        <v>2235.7399999999998</v>
      </c>
    </row>
    <row r="109" spans="1:5" x14ac:dyDescent="0.25">
      <c r="A109" s="12">
        <v>45145</v>
      </c>
      <c r="B109" s="1" t="s">
        <v>22</v>
      </c>
      <c r="C109" s="1" t="s">
        <v>48</v>
      </c>
      <c r="D109" s="1" t="s">
        <v>26</v>
      </c>
      <c r="E109" s="120">
        <v>3713.98</v>
      </c>
    </row>
    <row r="110" spans="1:5" x14ac:dyDescent="0.25">
      <c r="A110" s="12">
        <v>45159</v>
      </c>
      <c r="B110" s="1" t="s">
        <v>22</v>
      </c>
      <c r="C110" s="1" t="s">
        <v>48</v>
      </c>
      <c r="D110" s="1" t="s">
        <v>28</v>
      </c>
      <c r="E110" s="120">
        <v>2273.7399999999998</v>
      </c>
    </row>
    <row r="111" spans="1:5" x14ac:dyDescent="0.25">
      <c r="A111" s="12">
        <v>45162</v>
      </c>
      <c r="B111" s="1" t="s">
        <v>23</v>
      </c>
      <c r="C111" s="1" t="s">
        <v>2</v>
      </c>
      <c r="D111" s="1" t="s">
        <v>27</v>
      </c>
      <c r="E111" s="120">
        <v>3741.98</v>
      </c>
    </row>
    <row r="112" spans="1:5" x14ac:dyDescent="0.25">
      <c r="A112" s="12">
        <v>45155</v>
      </c>
      <c r="B112" s="1" t="s">
        <v>32</v>
      </c>
      <c r="C112" s="1" t="s">
        <v>45</v>
      </c>
      <c r="D112" s="1" t="s">
        <v>28</v>
      </c>
      <c r="E112" s="120">
        <v>2968.57</v>
      </c>
    </row>
    <row r="113" spans="1:5" x14ac:dyDescent="0.25">
      <c r="A113" s="12">
        <v>45140</v>
      </c>
      <c r="B113" s="1" t="s">
        <v>32</v>
      </c>
      <c r="C113" s="1" t="s">
        <v>46</v>
      </c>
      <c r="D113" s="1" t="s">
        <v>28</v>
      </c>
      <c r="E113" s="120">
        <v>3495.91</v>
      </c>
    </row>
    <row r="114" spans="1:5" x14ac:dyDescent="0.25">
      <c r="A114" s="12">
        <v>45141</v>
      </c>
      <c r="B114" s="1" t="s">
        <v>23</v>
      </c>
      <c r="C114" s="1" t="s">
        <v>45</v>
      </c>
      <c r="D114" s="1" t="s">
        <v>27</v>
      </c>
      <c r="E114" s="120">
        <v>3878.41</v>
      </c>
    </row>
    <row r="115" spans="1:5" x14ac:dyDescent="0.25">
      <c r="A115" s="12">
        <v>45141</v>
      </c>
      <c r="B115" s="1" t="s">
        <v>24</v>
      </c>
      <c r="C115" s="1" t="s">
        <v>47</v>
      </c>
      <c r="D115" s="1" t="s">
        <v>27</v>
      </c>
      <c r="E115" s="120">
        <v>3453.11</v>
      </c>
    </row>
    <row r="116" spans="1:5" x14ac:dyDescent="0.25">
      <c r="A116" s="12">
        <v>45165</v>
      </c>
      <c r="B116" s="1" t="s">
        <v>32</v>
      </c>
      <c r="C116" s="1" t="s">
        <v>47</v>
      </c>
      <c r="D116" s="1" t="s">
        <v>27</v>
      </c>
      <c r="E116" s="120">
        <v>2917.03</v>
      </c>
    </row>
    <row r="117" spans="1:5" x14ac:dyDescent="0.25">
      <c r="A117" s="12">
        <v>45167</v>
      </c>
      <c r="B117" s="1" t="s">
        <v>32</v>
      </c>
      <c r="C117" s="1" t="s">
        <v>46</v>
      </c>
      <c r="D117" s="1" t="s">
        <v>27</v>
      </c>
      <c r="E117" s="120">
        <v>3596.44</v>
      </c>
    </row>
    <row r="118" spans="1:5" x14ac:dyDescent="0.25">
      <c r="A118" s="12">
        <v>45156</v>
      </c>
      <c r="B118" s="1" t="s">
        <v>24</v>
      </c>
      <c r="C118" s="1" t="s">
        <v>47</v>
      </c>
      <c r="D118" s="1" t="s">
        <v>30</v>
      </c>
      <c r="E118" s="120">
        <v>2080.25</v>
      </c>
    </row>
    <row r="119" spans="1:5" x14ac:dyDescent="0.25">
      <c r="A119" s="12">
        <v>45169</v>
      </c>
      <c r="B119" s="1" t="s">
        <v>24</v>
      </c>
      <c r="C119" s="1" t="s">
        <v>47</v>
      </c>
      <c r="D119" s="1" t="s">
        <v>28</v>
      </c>
      <c r="E119" s="120">
        <v>2138.71</v>
      </c>
    </row>
    <row r="120" spans="1:5" x14ac:dyDescent="0.25">
      <c r="A120" s="12">
        <v>45140</v>
      </c>
      <c r="B120" s="1" t="s">
        <v>25</v>
      </c>
      <c r="C120" s="1" t="s">
        <v>2</v>
      </c>
      <c r="D120" s="1" t="s">
        <v>30</v>
      </c>
      <c r="E120" s="120">
        <v>3022.95</v>
      </c>
    </row>
    <row r="121" spans="1:5" x14ac:dyDescent="0.25">
      <c r="A121" s="12">
        <v>45145</v>
      </c>
      <c r="B121" s="1" t="s">
        <v>24</v>
      </c>
      <c r="C121" s="1" t="s">
        <v>2</v>
      </c>
      <c r="D121" s="1" t="s">
        <v>28</v>
      </c>
      <c r="E121" s="120">
        <v>2581.5</v>
      </c>
    </row>
    <row r="122" spans="1:5" x14ac:dyDescent="0.25">
      <c r="A122" s="12">
        <v>45153</v>
      </c>
      <c r="B122" s="1" t="s">
        <v>23</v>
      </c>
      <c r="C122" s="1" t="s">
        <v>45</v>
      </c>
      <c r="D122" s="1" t="s">
        <v>27</v>
      </c>
      <c r="E122" s="120">
        <v>2409.89</v>
      </c>
    </row>
    <row r="123" spans="1:5" x14ac:dyDescent="0.25">
      <c r="A123" s="12">
        <v>45163</v>
      </c>
      <c r="B123" s="1" t="s">
        <v>22</v>
      </c>
      <c r="C123" s="1" t="s">
        <v>47</v>
      </c>
      <c r="D123" s="1" t="s">
        <v>26</v>
      </c>
      <c r="E123" s="120">
        <v>2892.02</v>
      </c>
    </row>
    <row r="124" spans="1:5" x14ac:dyDescent="0.25">
      <c r="A124" s="12">
        <v>45159</v>
      </c>
      <c r="B124" s="1" t="s">
        <v>22</v>
      </c>
      <c r="C124" s="1" t="s">
        <v>48</v>
      </c>
      <c r="D124" s="1" t="s">
        <v>26</v>
      </c>
      <c r="E124" s="120">
        <v>3773.23</v>
      </c>
    </row>
    <row r="125" spans="1:5" x14ac:dyDescent="0.25">
      <c r="A125" s="12">
        <v>45158</v>
      </c>
      <c r="B125" s="1" t="s">
        <v>32</v>
      </c>
      <c r="C125" s="1" t="s">
        <v>47</v>
      </c>
      <c r="D125" s="1" t="s">
        <v>27</v>
      </c>
      <c r="E125" s="120">
        <v>2368.42</v>
      </c>
    </row>
    <row r="126" spans="1:5" x14ac:dyDescent="0.25">
      <c r="A126" s="12">
        <v>45152</v>
      </c>
      <c r="B126" s="1" t="s">
        <v>25</v>
      </c>
      <c r="C126" s="1" t="s">
        <v>48</v>
      </c>
      <c r="D126" s="1" t="s">
        <v>27</v>
      </c>
      <c r="E126" s="120">
        <v>3821.53</v>
      </c>
    </row>
    <row r="127" spans="1:5" x14ac:dyDescent="0.25">
      <c r="A127" s="12">
        <v>45144</v>
      </c>
      <c r="B127" s="1" t="s">
        <v>23</v>
      </c>
      <c r="C127" s="1" t="s">
        <v>48</v>
      </c>
      <c r="D127" s="1" t="s">
        <v>26</v>
      </c>
      <c r="E127" s="120">
        <v>3984.38</v>
      </c>
    </row>
    <row r="128" spans="1:5" x14ac:dyDescent="0.25">
      <c r="A128" s="12">
        <v>45166</v>
      </c>
      <c r="B128" s="1" t="s">
        <v>25</v>
      </c>
      <c r="C128" s="1" t="s">
        <v>2</v>
      </c>
      <c r="D128" s="1" t="s">
        <v>29</v>
      </c>
      <c r="E128" s="120">
        <v>2980</v>
      </c>
    </row>
    <row r="129" spans="1:5" x14ac:dyDescent="0.25">
      <c r="A129" s="12">
        <v>45154</v>
      </c>
      <c r="B129" s="1" t="s">
        <v>24</v>
      </c>
      <c r="C129" s="1" t="s">
        <v>2</v>
      </c>
      <c r="D129" s="1" t="s">
        <v>31</v>
      </c>
      <c r="E129" s="120">
        <v>3829.54</v>
      </c>
    </row>
    <row r="130" spans="1:5" x14ac:dyDescent="0.25">
      <c r="A130" s="12">
        <v>45151</v>
      </c>
      <c r="B130" s="1" t="s">
        <v>32</v>
      </c>
      <c r="C130" s="1" t="s">
        <v>2</v>
      </c>
      <c r="D130" s="1" t="s">
        <v>27</v>
      </c>
      <c r="E130" s="120">
        <v>2641.17</v>
      </c>
    </row>
    <row r="131" spans="1:5" x14ac:dyDescent="0.25">
      <c r="A131" s="12">
        <v>45164</v>
      </c>
      <c r="B131" s="1" t="s">
        <v>23</v>
      </c>
      <c r="C131" s="1" t="s">
        <v>47</v>
      </c>
      <c r="D131" s="1" t="s">
        <v>27</v>
      </c>
      <c r="E131" s="120">
        <v>3097.92</v>
      </c>
    </row>
    <row r="132" spans="1:5" x14ac:dyDescent="0.25">
      <c r="A132" s="12">
        <v>45164</v>
      </c>
      <c r="B132" s="1" t="s">
        <v>24</v>
      </c>
      <c r="C132" s="1" t="s">
        <v>45</v>
      </c>
      <c r="D132" s="1" t="s">
        <v>27</v>
      </c>
      <c r="E132" s="120">
        <v>2946.25</v>
      </c>
    </row>
    <row r="133" spans="1:5" x14ac:dyDescent="0.25">
      <c r="A133" s="12">
        <v>45140</v>
      </c>
      <c r="B133" s="1" t="s">
        <v>25</v>
      </c>
      <c r="C133" s="1" t="s">
        <v>2</v>
      </c>
      <c r="D133" s="1" t="s">
        <v>31</v>
      </c>
      <c r="E133" s="120">
        <v>3432.67</v>
      </c>
    </row>
    <row r="134" spans="1:5" x14ac:dyDescent="0.25">
      <c r="A134" s="12">
        <v>45149</v>
      </c>
      <c r="B134" s="1" t="s">
        <v>22</v>
      </c>
      <c r="C134" s="1" t="s">
        <v>47</v>
      </c>
      <c r="D134" s="1" t="s">
        <v>28</v>
      </c>
      <c r="E134" s="120">
        <v>2905.02</v>
      </c>
    </row>
    <row r="135" spans="1:5" x14ac:dyDescent="0.25">
      <c r="A135" s="12">
        <v>45146</v>
      </c>
      <c r="B135" s="1" t="s">
        <v>25</v>
      </c>
      <c r="C135" s="1" t="s">
        <v>48</v>
      </c>
      <c r="D135" s="1" t="s">
        <v>29</v>
      </c>
      <c r="E135" s="120">
        <v>3917.87</v>
      </c>
    </row>
    <row r="136" spans="1:5" x14ac:dyDescent="0.25">
      <c r="A136" s="12">
        <v>45141</v>
      </c>
      <c r="B136" s="1" t="s">
        <v>32</v>
      </c>
      <c r="C136" s="1" t="s">
        <v>46</v>
      </c>
      <c r="D136" s="1" t="s">
        <v>29</v>
      </c>
      <c r="E136" s="120">
        <v>2859.39</v>
      </c>
    </row>
    <row r="137" spans="1:5" x14ac:dyDescent="0.25">
      <c r="A137" s="12">
        <v>45143</v>
      </c>
      <c r="B137" s="1" t="s">
        <v>22</v>
      </c>
      <c r="C137" s="1" t="s">
        <v>47</v>
      </c>
      <c r="D137" s="1" t="s">
        <v>31</v>
      </c>
      <c r="E137" s="120">
        <v>2023.48</v>
      </c>
    </row>
    <row r="138" spans="1:5" x14ac:dyDescent="0.25">
      <c r="A138" s="12">
        <v>45139</v>
      </c>
      <c r="B138" s="1" t="s">
        <v>23</v>
      </c>
      <c r="C138" s="1" t="s">
        <v>45</v>
      </c>
      <c r="D138" s="1" t="s">
        <v>27</v>
      </c>
      <c r="E138" s="120">
        <v>2557.63</v>
      </c>
    </row>
    <row r="139" spans="1:5" x14ac:dyDescent="0.25">
      <c r="A139" s="12">
        <v>45153</v>
      </c>
      <c r="B139" s="1" t="s">
        <v>25</v>
      </c>
      <c r="C139" s="1" t="s">
        <v>48</v>
      </c>
      <c r="D139" s="1" t="s">
        <v>31</v>
      </c>
      <c r="E139" s="120">
        <v>2545.1799999999998</v>
      </c>
    </row>
    <row r="140" spans="1:5" x14ac:dyDescent="0.25">
      <c r="A140" s="12">
        <v>45155</v>
      </c>
      <c r="B140" s="1" t="s">
        <v>24</v>
      </c>
      <c r="C140" s="1" t="s">
        <v>45</v>
      </c>
      <c r="D140" s="1" t="s">
        <v>26</v>
      </c>
      <c r="E140" s="120">
        <v>2664.28</v>
      </c>
    </row>
    <row r="141" spans="1:5" x14ac:dyDescent="0.25">
      <c r="A141" s="12">
        <v>45157</v>
      </c>
      <c r="B141" s="1" t="s">
        <v>24</v>
      </c>
      <c r="C141" s="1" t="s">
        <v>2</v>
      </c>
      <c r="D141" s="1" t="s">
        <v>26</v>
      </c>
      <c r="E141" s="120">
        <v>2039.36</v>
      </c>
    </row>
    <row r="142" spans="1:5" x14ac:dyDescent="0.25">
      <c r="A142" s="12">
        <v>45163</v>
      </c>
      <c r="B142" s="1" t="s">
        <v>22</v>
      </c>
      <c r="C142" s="1" t="s">
        <v>47</v>
      </c>
      <c r="D142" s="1" t="s">
        <v>28</v>
      </c>
      <c r="E142" s="120">
        <v>3143.68</v>
      </c>
    </row>
    <row r="143" spans="1:5" x14ac:dyDescent="0.25">
      <c r="A143" s="12">
        <v>45147</v>
      </c>
      <c r="B143" s="1" t="s">
        <v>23</v>
      </c>
      <c r="C143" s="1" t="s">
        <v>47</v>
      </c>
      <c r="D143" s="1" t="s">
        <v>26</v>
      </c>
      <c r="E143" s="120">
        <v>2922.11</v>
      </c>
    </row>
    <row r="144" spans="1:5" x14ac:dyDescent="0.25">
      <c r="A144" s="12">
        <v>45139</v>
      </c>
      <c r="B144" s="1" t="s">
        <v>32</v>
      </c>
      <c r="C144" s="1" t="s">
        <v>47</v>
      </c>
      <c r="D144" s="1" t="s">
        <v>27</v>
      </c>
      <c r="E144" s="120">
        <v>3665.62</v>
      </c>
    </row>
    <row r="145" spans="1:5" x14ac:dyDescent="0.25">
      <c r="A145" s="12">
        <v>45156</v>
      </c>
      <c r="B145" s="1" t="s">
        <v>23</v>
      </c>
      <c r="C145" s="1" t="s">
        <v>47</v>
      </c>
      <c r="D145" s="1" t="s">
        <v>27</v>
      </c>
      <c r="E145" s="120">
        <v>3598.18</v>
      </c>
    </row>
    <row r="146" spans="1:5" x14ac:dyDescent="0.25">
      <c r="A146" s="12">
        <v>45152</v>
      </c>
      <c r="B146" s="1" t="s">
        <v>32</v>
      </c>
      <c r="C146" s="1" t="s">
        <v>45</v>
      </c>
      <c r="D146" s="1" t="s">
        <v>26</v>
      </c>
      <c r="E146" s="120">
        <v>3621.8</v>
      </c>
    </row>
    <row r="147" spans="1:5" x14ac:dyDescent="0.25">
      <c r="A147" s="12">
        <v>45149</v>
      </c>
      <c r="B147" s="1" t="s">
        <v>32</v>
      </c>
      <c r="C147" s="1" t="s">
        <v>45</v>
      </c>
      <c r="D147" s="1" t="s">
        <v>27</v>
      </c>
      <c r="E147" s="120">
        <v>3103.41</v>
      </c>
    </row>
    <row r="148" spans="1:5" x14ac:dyDescent="0.25">
      <c r="A148" s="12">
        <v>45144</v>
      </c>
      <c r="B148" s="1" t="s">
        <v>24</v>
      </c>
      <c r="C148" s="1" t="s">
        <v>46</v>
      </c>
      <c r="D148" s="1" t="s">
        <v>31</v>
      </c>
      <c r="E148" s="120">
        <v>3645.33</v>
      </c>
    </row>
    <row r="149" spans="1:5" x14ac:dyDescent="0.25">
      <c r="A149" s="12">
        <v>45166</v>
      </c>
      <c r="B149" s="1" t="s">
        <v>22</v>
      </c>
      <c r="C149" s="1" t="s">
        <v>47</v>
      </c>
      <c r="D149" s="1" t="s">
        <v>31</v>
      </c>
      <c r="E149" s="120">
        <v>3790.28</v>
      </c>
    </row>
    <row r="150" spans="1:5" x14ac:dyDescent="0.25">
      <c r="A150" s="12">
        <v>45156</v>
      </c>
      <c r="B150" s="1" t="s">
        <v>25</v>
      </c>
      <c r="C150" s="1" t="s">
        <v>46</v>
      </c>
      <c r="D150" s="1" t="s">
        <v>31</v>
      </c>
      <c r="E150" s="120">
        <v>2557.34</v>
      </c>
    </row>
    <row r="151" spans="1:5" x14ac:dyDescent="0.25">
      <c r="A151" s="12">
        <v>45161</v>
      </c>
      <c r="B151" s="1" t="s">
        <v>32</v>
      </c>
      <c r="C151" s="1" t="s">
        <v>48</v>
      </c>
      <c r="D151" s="1" t="s">
        <v>28</v>
      </c>
      <c r="E151" s="120">
        <v>2981.72</v>
      </c>
    </row>
    <row r="152" spans="1:5" x14ac:dyDescent="0.25">
      <c r="A152" s="12">
        <v>45155</v>
      </c>
      <c r="B152" s="1" t="s">
        <v>24</v>
      </c>
      <c r="C152" s="1" t="s">
        <v>46</v>
      </c>
      <c r="D152" s="1" t="s">
        <v>29</v>
      </c>
      <c r="E152" s="120">
        <v>3179.57</v>
      </c>
    </row>
    <row r="153" spans="1:5" x14ac:dyDescent="0.25">
      <c r="A153" s="12">
        <v>45150</v>
      </c>
      <c r="B153" s="1" t="s">
        <v>23</v>
      </c>
      <c r="C153" s="1" t="s">
        <v>45</v>
      </c>
      <c r="D153" s="1" t="s">
        <v>28</v>
      </c>
      <c r="E153" s="120">
        <v>2774.84</v>
      </c>
    </row>
    <row r="154" spans="1:5" x14ac:dyDescent="0.25">
      <c r="A154" s="12">
        <v>45152</v>
      </c>
      <c r="B154" s="1" t="s">
        <v>24</v>
      </c>
      <c r="C154" s="1" t="s">
        <v>47</v>
      </c>
      <c r="D154" s="1" t="s">
        <v>30</v>
      </c>
      <c r="E154" s="120">
        <v>3670.5</v>
      </c>
    </row>
    <row r="155" spans="1:5" x14ac:dyDescent="0.25">
      <c r="A155" s="12">
        <v>45169</v>
      </c>
      <c r="B155" s="1" t="s">
        <v>23</v>
      </c>
      <c r="C155" s="1" t="s">
        <v>2</v>
      </c>
      <c r="D155" s="1" t="s">
        <v>26</v>
      </c>
      <c r="E155" s="120">
        <v>3872.73</v>
      </c>
    </row>
    <row r="156" spans="1:5" x14ac:dyDescent="0.25">
      <c r="A156" s="12">
        <v>45165</v>
      </c>
      <c r="B156" s="1" t="s">
        <v>32</v>
      </c>
      <c r="C156" s="1" t="s">
        <v>47</v>
      </c>
      <c r="D156" s="1" t="s">
        <v>30</v>
      </c>
      <c r="E156" s="120">
        <v>2299.86</v>
      </c>
    </row>
    <row r="157" spans="1:5" x14ac:dyDescent="0.25">
      <c r="A157" s="12">
        <v>45155</v>
      </c>
      <c r="B157" s="1" t="s">
        <v>25</v>
      </c>
      <c r="C157" s="1" t="s">
        <v>46</v>
      </c>
      <c r="D157" s="1" t="s">
        <v>26</v>
      </c>
      <c r="E157" s="120">
        <v>2947.95</v>
      </c>
    </row>
    <row r="158" spans="1:5" x14ac:dyDescent="0.25">
      <c r="A158" s="12">
        <v>45169</v>
      </c>
      <c r="B158" s="1" t="s">
        <v>22</v>
      </c>
      <c r="C158" s="1" t="s">
        <v>46</v>
      </c>
      <c r="D158" s="1" t="s">
        <v>29</v>
      </c>
      <c r="E158" s="120">
        <v>2111.27</v>
      </c>
    </row>
    <row r="159" spans="1:5" x14ac:dyDescent="0.25">
      <c r="A159" s="12">
        <v>45160</v>
      </c>
      <c r="B159" s="1" t="s">
        <v>22</v>
      </c>
      <c r="C159" s="1" t="s">
        <v>2</v>
      </c>
      <c r="D159" s="1" t="s">
        <v>26</v>
      </c>
      <c r="E159" s="120">
        <v>3073.53</v>
      </c>
    </row>
    <row r="160" spans="1:5" x14ac:dyDescent="0.25">
      <c r="A160" s="12">
        <v>45167</v>
      </c>
      <c r="B160" s="1" t="s">
        <v>32</v>
      </c>
      <c r="C160" s="1" t="s">
        <v>48</v>
      </c>
      <c r="D160" s="1" t="s">
        <v>29</v>
      </c>
      <c r="E160" s="120">
        <v>2608.0100000000002</v>
      </c>
    </row>
    <row r="161" spans="1:5" x14ac:dyDescent="0.25">
      <c r="A161" s="12">
        <v>45153</v>
      </c>
      <c r="B161" s="1" t="s">
        <v>32</v>
      </c>
      <c r="C161" s="1" t="s">
        <v>46</v>
      </c>
      <c r="D161" s="1" t="s">
        <v>30</v>
      </c>
      <c r="E161" s="120">
        <v>3358.34</v>
      </c>
    </row>
    <row r="162" spans="1:5" x14ac:dyDescent="0.25">
      <c r="A162" s="12">
        <v>45141</v>
      </c>
      <c r="B162" s="1" t="s">
        <v>24</v>
      </c>
      <c r="C162" s="1" t="s">
        <v>2</v>
      </c>
      <c r="D162" s="1" t="s">
        <v>28</v>
      </c>
      <c r="E162" s="120">
        <v>3646.11</v>
      </c>
    </row>
    <row r="163" spans="1:5" x14ac:dyDescent="0.25">
      <c r="A163" s="12">
        <v>45140</v>
      </c>
      <c r="B163" s="1" t="s">
        <v>32</v>
      </c>
      <c r="C163" s="1" t="s">
        <v>2</v>
      </c>
      <c r="D163" s="1" t="s">
        <v>28</v>
      </c>
      <c r="E163" s="120">
        <v>2472.86</v>
      </c>
    </row>
    <row r="164" spans="1:5" x14ac:dyDescent="0.25">
      <c r="A164" s="12">
        <v>45141</v>
      </c>
      <c r="B164" s="1" t="s">
        <v>23</v>
      </c>
      <c r="C164" s="1" t="s">
        <v>47</v>
      </c>
      <c r="D164" s="1" t="s">
        <v>28</v>
      </c>
      <c r="E164" s="120">
        <v>3520.84</v>
      </c>
    </row>
    <row r="165" spans="1:5" x14ac:dyDescent="0.25">
      <c r="A165" s="12">
        <v>45142</v>
      </c>
      <c r="B165" s="1" t="s">
        <v>32</v>
      </c>
      <c r="C165" s="1" t="s">
        <v>47</v>
      </c>
      <c r="D165" s="1" t="s">
        <v>29</v>
      </c>
      <c r="E165" s="120">
        <v>3096</v>
      </c>
    </row>
    <row r="166" spans="1:5" x14ac:dyDescent="0.25">
      <c r="A166" s="12">
        <v>45155</v>
      </c>
      <c r="B166" s="1" t="s">
        <v>24</v>
      </c>
      <c r="C166" s="1" t="s">
        <v>45</v>
      </c>
      <c r="D166" s="1" t="s">
        <v>29</v>
      </c>
      <c r="E166" s="120">
        <v>3876.65</v>
      </c>
    </row>
    <row r="167" spans="1:5" x14ac:dyDescent="0.25">
      <c r="A167" s="12">
        <v>45169</v>
      </c>
      <c r="B167" s="1" t="s">
        <v>24</v>
      </c>
      <c r="C167" s="1" t="s">
        <v>46</v>
      </c>
      <c r="D167" s="1" t="s">
        <v>29</v>
      </c>
      <c r="E167" s="120">
        <v>2138.79</v>
      </c>
    </row>
    <row r="168" spans="1:5" x14ac:dyDescent="0.25">
      <c r="A168" s="12">
        <v>45164</v>
      </c>
      <c r="B168" s="1" t="s">
        <v>22</v>
      </c>
      <c r="C168" s="1" t="s">
        <v>46</v>
      </c>
      <c r="D168" s="1" t="s">
        <v>28</v>
      </c>
      <c r="E168" s="120">
        <v>2568.46</v>
      </c>
    </row>
    <row r="169" spans="1:5" x14ac:dyDescent="0.25">
      <c r="A169" s="12">
        <v>45143</v>
      </c>
      <c r="B169" s="1" t="s">
        <v>24</v>
      </c>
      <c r="C169" s="1" t="s">
        <v>47</v>
      </c>
      <c r="D169" s="1" t="s">
        <v>26</v>
      </c>
      <c r="E169" s="120">
        <v>2671.15</v>
      </c>
    </row>
    <row r="170" spans="1:5" x14ac:dyDescent="0.25">
      <c r="A170" s="12">
        <v>45147</v>
      </c>
      <c r="B170" s="1" t="s">
        <v>32</v>
      </c>
      <c r="C170" s="1" t="s">
        <v>2</v>
      </c>
      <c r="D170" s="1" t="s">
        <v>27</v>
      </c>
      <c r="E170" s="120">
        <v>3034.32</v>
      </c>
    </row>
    <row r="171" spans="1:5" x14ac:dyDescent="0.25">
      <c r="A171" s="12">
        <v>45151</v>
      </c>
      <c r="B171" s="1" t="s">
        <v>24</v>
      </c>
      <c r="C171" s="1" t="s">
        <v>48</v>
      </c>
      <c r="D171" s="1" t="s">
        <v>27</v>
      </c>
      <c r="E171" s="120">
        <v>3144.79</v>
      </c>
    </row>
    <row r="172" spans="1:5" x14ac:dyDescent="0.25">
      <c r="A172" s="12">
        <v>45143</v>
      </c>
      <c r="B172" s="1" t="s">
        <v>24</v>
      </c>
      <c r="C172" s="1" t="s">
        <v>47</v>
      </c>
      <c r="D172" s="1" t="s">
        <v>27</v>
      </c>
      <c r="E172" s="120">
        <v>3937.86</v>
      </c>
    </row>
    <row r="173" spans="1:5" x14ac:dyDescent="0.25">
      <c r="A173" s="12">
        <v>45165</v>
      </c>
      <c r="B173" s="1" t="s">
        <v>24</v>
      </c>
      <c r="C173" s="1" t="s">
        <v>2</v>
      </c>
      <c r="D173" s="1" t="s">
        <v>26</v>
      </c>
      <c r="E173" s="120">
        <v>3164.34</v>
      </c>
    </row>
    <row r="174" spans="1:5" x14ac:dyDescent="0.25">
      <c r="A174" s="12">
        <v>45164</v>
      </c>
      <c r="B174" s="1" t="s">
        <v>32</v>
      </c>
      <c r="C174" s="1" t="s">
        <v>47</v>
      </c>
      <c r="D174" s="1" t="s">
        <v>26</v>
      </c>
      <c r="E174" s="120">
        <v>3204.33</v>
      </c>
    </row>
    <row r="175" spans="1:5" x14ac:dyDescent="0.25">
      <c r="A175" s="12">
        <v>45162</v>
      </c>
      <c r="B175" s="1" t="s">
        <v>22</v>
      </c>
      <c r="C175" s="1" t="s">
        <v>47</v>
      </c>
      <c r="D175" s="1" t="s">
        <v>27</v>
      </c>
      <c r="E175" s="120">
        <v>2071.75</v>
      </c>
    </row>
    <row r="176" spans="1:5" x14ac:dyDescent="0.25">
      <c r="A176" s="12">
        <v>45152</v>
      </c>
      <c r="B176" s="1" t="s">
        <v>32</v>
      </c>
      <c r="C176" s="1" t="s">
        <v>47</v>
      </c>
      <c r="D176" s="1" t="s">
        <v>28</v>
      </c>
      <c r="E176" s="120">
        <v>3449.22</v>
      </c>
    </row>
    <row r="177" spans="1:5" x14ac:dyDescent="0.25">
      <c r="A177" s="12">
        <v>45156</v>
      </c>
      <c r="B177" s="1" t="s">
        <v>22</v>
      </c>
      <c r="C177" s="1" t="s">
        <v>45</v>
      </c>
      <c r="D177" s="1" t="s">
        <v>28</v>
      </c>
      <c r="E177" s="120">
        <v>2309.66</v>
      </c>
    </row>
    <row r="178" spans="1:5" x14ac:dyDescent="0.25">
      <c r="A178" s="12">
        <v>45139</v>
      </c>
      <c r="B178" s="1" t="s">
        <v>22</v>
      </c>
      <c r="C178" s="1" t="s">
        <v>45</v>
      </c>
      <c r="D178" s="1" t="s">
        <v>30</v>
      </c>
      <c r="E178" s="120">
        <v>3880.71</v>
      </c>
    </row>
    <row r="179" spans="1:5" x14ac:dyDescent="0.25">
      <c r="A179" s="12">
        <v>45145</v>
      </c>
      <c r="B179" s="1" t="s">
        <v>23</v>
      </c>
      <c r="C179" s="1" t="s">
        <v>48</v>
      </c>
      <c r="D179" s="1" t="s">
        <v>29</v>
      </c>
      <c r="E179" s="120">
        <v>2186.1</v>
      </c>
    </row>
    <row r="180" spans="1:5" x14ac:dyDescent="0.25">
      <c r="A180" s="12">
        <v>45144</v>
      </c>
      <c r="B180" s="1" t="s">
        <v>22</v>
      </c>
      <c r="C180" s="1" t="s">
        <v>47</v>
      </c>
      <c r="D180" s="1" t="s">
        <v>28</v>
      </c>
      <c r="E180" s="120">
        <v>2717.91</v>
      </c>
    </row>
    <row r="181" spans="1:5" x14ac:dyDescent="0.25">
      <c r="A181" s="12">
        <v>45147</v>
      </c>
      <c r="B181" s="1" t="s">
        <v>23</v>
      </c>
      <c r="C181" s="1" t="s">
        <v>46</v>
      </c>
      <c r="D181" s="1" t="s">
        <v>26</v>
      </c>
      <c r="E181" s="120">
        <v>3263.75</v>
      </c>
    </row>
    <row r="182" spans="1:5" x14ac:dyDescent="0.25">
      <c r="A182" s="12">
        <v>45159</v>
      </c>
      <c r="B182" s="1" t="s">
        <v>22</v>
      </c>
      <c r="C182" s="1" t="s">
        <v>2</v>
      </c>
      <c r="D182" s="1" t="s">
        <v>30</v>
      </c>
      <c r="E182" s="120">
        <v>2389.48</v>
      </c>
    </row>
    <row r="183" spans="1:5" x14ac:dyDescent="0.25">
      <c r="A183" s="12">
        <v>45155</v>
      </c>
      <c r="B183" s="1" t="s">
        <v>24</v>
      </c>
      <c r="C183" s="1" t="s">
        <v>2</v>
      </c>
      <c r="D183" s="1" t="s">
        <v>30</v>
      </c>
      <c r="E183" s="120">
        <v>3518.16</v>
      </c>
    </row>
    <row r="184" spans="1:5" x14ac:dyDescent="0.25">
      <c r="A184" s="12">
        <v>45143</v>
      </c>
      <c r="B184" s="1" t="s">
        <v>23</v>
      </c>
      <c r="C184" s="1" t="s">
        <v>48</v>
      </c>
      <c r="D184" s="1" t="s">
        <v>27</v>
      </c>
      <c r="E184" s="120">
        <v>3667.34</v>
      </c>
    </row>
    <row r="185" spans="1:5" x14ac:dyDescent="0.25">
      <c r="A185" s="12">
        <v>45158</v>
      </c>
      <c r="B185" s="1" t="s">
        <v>25</v>
      </c>
      <c r="C185" s="1" t="s">
        <v>47</v>
      </c>
      <c r="D185" s="1" t="s">
        <v>27</v>
      </c>
      <c r="E185" s="120">
        <v>2884.31</v>
      </c>
    </row>
    <row r="186" spans="1:5" x14ac:dyDescent="0.25">
      <c r="A186" s="12">
        <v>45168</v>
      </c>
      <c r="B186" s="1" t="s">
        <v>32</v>
      </c>
      <c r="C186" s="1" t="s">
        <v>2</v>
      </c>
      <c r="D186" s="1" t="s">
        <v>31</v>
      </c>
      <c r="E186" s="120">
        <v>2054.4899999999998</v>
      </c>
    </row>
    <row r="187" spans="1:5" x14ac:dyDescent="0.25">
      <c r="A187" s="12">
        <v>45163</v>
      </c>
      <c r="B187" s="1" t="s">
        <v>25</v>
      </c>
      <c r="C187" s="1" t="s">
        <v>47</v>
      </c>
      <c r="D187" s="1" t="s">
        <v>29</v>
      </c>
      <c r="E187" s="120">
        <v>2634.08</v>
      </c>
    </row>
    <row r="188" spans="1:5" x14ac:dyDescent="0.25">
      <c r="A188" s="12">
        <v>45147</v>
      </c>
      <c r="B188" s="1" t="s">
        <v>32</v>
      </c>
      <c r="C188" s="1" t="s">
        <v>48</v>
      </c>
      <c r="D188" s="1" t="s">
        <v>26</v>
      </c>
      <c r="E188" s="120">
        <v>2721.51</v>
      </c>
    </row>
    <row r="189" spans="1:5" x14ac:dyDescent="0.25">
      <c r="A189" s="12">
        <v>45145</v>
      </c>
      <c r="B189" s="1" t="s">
        <v>23</v>
      </c>
      <c r="C189" s="1" t="s">
        <v>2</v>
      </c>
      <c r="D189" s="1" t="s">
        <v>31</v>
      </c>
      <c r="E189" s="120">
        <v>3261.02</v>
      </c>
    </row>
    <row r="190" spans="1:5" x14ac:dyDescent="0.25">
      <c r="A190" s="12">
        <v>45154</v>
      </c>
      <c r="B190" s="1" t="s">
        <v>32</v>
      </c>
      <c r="C190" s="1" t="s">
        <v>45</v>
      </c>
      <c r="D190" s="1" t="s">
        <v>30</v>
      </c>
      <c r="E190" s="120">
        <v>2239.02</v>
      </c>
    </row>
    <row r="191" spans="1:5" x14ac:dyDescent="0.25">
      <c r="A191" s="12">
        <v>45153</v>
      </c>
      <c r="B191" s="1" t="s">
        <v>24</v>
      </c>
      <c r="C191" s="1" t="s">
        <v>45</v>
      </c>
      <c r="D191" s="1" t="s">
        <v>27</v>
      </c>
      <c r="E191" s="120">
        <v>2791.73</v>
      </c>
    </row>
    <row r="192" spans="1:5" x14ac:dyDescent="0.25">
      <c r="A192" s="12">
        <v>45140</v>
      </c>
      <c r="B192" s="1" t="s">
        <v>23</v>
      </c>
      <c r="C192" s="1" t="s">
        <v>46</v>
      </c>
      <c r="D192" s="1" t="s">
        <v>27</v>
      </c>
      <c r="E192" s="120">
        <v>3709.03</v>
      </c>
    </row>
    <row r="193" spans="1:5" x14ac:dyDescent="0.25">
      <c r="A193" s="12">
        <v>45142</v>
      </c>
      <c r="B193" s="1" t="s">
        <v>32</v>
      </c>
      <c r="C193" s="1" t="s">
        <v>47</v>
      </c>
      <c r="D193" s="1" t="s">
        <v>29</v>
      </c>
      <c r="E193" s="120">
        <v>2837.24</v>
      </c>
    </row>
    <row r="194" spans="1:5" x14ac:dyDescent="0.25">
      <c r="A194" s="12">
        <v>45140</v>
      </c>
      <c r="B194" s="1" t="s">
        <v>23</v>
      </c>
      <c r="C194" s="1" t="s">
        <v>48</v>
      </c>
      <c r="D194" s="1" t="s">
        <v>29</v>
      </c>
      <c r="E194" s="120">
        <v>3400.79</v>
      </c>
    </row>
    <row r="195" spans="1:5" x14ac:dyDescent="0.25">
      <c r="A195" s="12">
        <v>45159</v>
      </c>
      <c r="B195" s="1" t="s">
        <v>23</v>
      </c>
      <c r="C195" s="1" t="s">
        <v>45</v>
      </c>
      <c r="D195" s="1" t="s">
        <v>27</v>
      </c>
      <c r="E195" s="120">
        <v>2913.2</v>
      </c>
    </row>
    <row r="196" spans="1:5" x14ac:dyDescent="0.25">
      <c r="A196" s="12">
        <v>45166</v>
      </c>
      <c r="B196" s="1" t="s">
        <v>22</v>
      </c>
      <c r="C196" s="1" t="s">
        <v>46</v>
      </c>
      <c r="D196" s="1" t="s">
        <v>26</v>
      </c>
      <c r="E196" s="120">
        <v>3610.46</v>
      </c>
    </row>
    <row r="197" spans="1:5" x14ac:dyDescent="0.25">
      <c r="A197" s="12">
        <v>45141</v>
      </c>
      <c r="B197" s="1" t="s">
        <v>22</v>
      </c>
      <c r="C197" s="1" t="s">
        <v>45</v>
      </c>
      <c r="D197" s="1" t="s">
        <v>31</v>
      </c>
      <c r="E197" s="120">
        <v>3928.57</v>
      </c>
    </row>
    <row r="198" spans="1:5" x14ac:dyDescent="0.25">
      <c r="A198" s="12">
        <v>45158</v>
      </c>
      <c r="B198" s="1" t="s">
        <v>24</v>
      </c>
      <c r="C198" s="1" t="s">
        <v>45</v>
      </c>
      <c r="D198" s="1" t="s">
        <v>26</v>
      </c>
      <c r="E198" s="120">
        <v>3071.31</v>
      </c>
    </row>
    <row r="199" spans="1:5" x14ac:dyDescent="0.25">
      <c r="A199" s="12">
        <v>45141</v>
      </c>
      <c r="B199" s="1" t="s">
        <v>32</v>
      </c>
      <c r="C199" s="1" t="s">
        <v>45</v>
      </c>
      <c r="D199" s="1" t="s">
        <v>28</v>
      </c>
      <c r="E199" s="120">
        <v>3838.46</v>
      </c>
    </row>
    <row r="200" spans="1:5" x14ac:dyDescent="0.25">
      <c r="A200" s="12">
        <v>45150</v>
      </c>
      <c r="B200" s="1" t="s">
        <v>23</v>
      </c>
      <c r="C200" s="1" t="s">
        <v>48</v>
      </c>
      <c r="D200" s="1" t="s">
        <v>26</v>
      </c>
      <c r="E200" s="120">
        <v>3658.18</v>
      </c>
    </row>
    <row r="201" spans="1:5" x14ac:dyDescent="0.25">
      <c r="A201" s="12">
        <v>45158</v>
      </c>
      <c r="B201" s="1" t="s">
        <v>32</v>
      </c>
      <c r="C201" s="1" t="s">
        <v>48</v>
      </c>
      <c r="D201" s="1" t="s">
        <v>29</v>
      </c>
      <c r="E201" s="120">
        <v>2632.29</v>
      </c>
    </row>
    <row r="202" spans="1:5" x14ac:dyDescent="0.25">
      <c r="A202" s="12">
        <v>45152</v>
      </c>
      <c r="B202" s="1" t="s">
        <v>25</v>
      </c>
      <c r="C202" s="1" t="s">
        <v>2</v>
      </c>
      <c r="D202" s="1" t="s">
        <v>29</v>
      </c>
      <c r="E202" s="120">
        <v>3230.27</v>
      </c>
    </row>
    <row r="203" spans="1:5" x14ac:dyDescent="0.25">
      <c r="A203" s="12">
        <v>45160</v>
      </c>
      <c r="B203" s="1" t="s">
        <v>23</v>
      </c>
      <c r="C203" s="1" t="s">
        <v>45</v>
      </c>
      <c r="D203" s="1" t="s">
        <v>31</v>
      </c>
      <c r="E203" s="120">
        <v>2950.34</v>
      </c>
    </row>
    <row r="204" spans="1:5" x14ac:dyDescent="0.25">
      <c r="A204" s="12">
        <v>45139</v>
      </c>
      <c r="B204" s="1" t="s">
        <v>32</v>
      </c>
      <c r="C204" s="1" t="s">
        <v>45</v>
      </c>
      <c r="D204" s="1" t="s">
        <v>30</v>
      </c>
      <c r="E204" s="120">
        <v>2092.7399999999998</v>
      </c>
    </row>
    <row r="205" spans="1:5" x14ac:dyDescent="0.25">
      <c r="A205" s="12">
        <v>45153</v>
      </c>
      <c r="B205" s="1" t="s">
        <v>25</v>
      </c>
      <c r="C205" s="1" t="s">
        <v>47</v>
      </c>
      <c r="D205" s="1" t="s">
        <v>31</v>
      </c>
      <c r="E205" s="120">
        <v>2631.81</v>
      </c>
    </row>
    <row r="206" spans="1:5" x14ac:dyDescent="0.25">
      <c r="A206" s="12">
        <v>45156</v>
      </c>
      <c r="B206" s="1" t="s">
        <v>22</v>
      </c>
      <c r="C206" s="1" t="s">
        <v>46</v>
      </c>
      <c r="D206" s="1" t="s">
        <v>29</v>
      </c>
      <c r="E206" s="120">
        <v>2775.19</v>
      </c>
    </row>
    <row r="207" spans="1:5" x14ac:dyDescent="0.25">
      <c r="A207" s="12">
        <v>45168</v>
      </c>
      <c r="B207" s="1" t="s">
        <v>22</v>
      </c>
      <c r="C207" s="1" t="s">
        <v>47</v>
      </c>
      <c r="D207" s="1" t="s">
        <v>31</v>
      </c>
      <c r="E207" s="120">
        <v>3458.02</v>
      </c>
    </row>
    <row r="208" spans="1:5" x14ac:dyDescent="0.25">
      <c r="A208" s="12">
        <v>45145</v>
      </c>
      <c r="B208" s="1" t="s">
        <v>24</v>
      </c>
      <c r="C208" s="1" t="s">
        <v>46</v>
      </c>
      <c r="D208" s="1" t="s">
        <v>30</v>
      </c>
      <c r="E208" s="120">
        <v>3854.06</v>
      </c>
    </row>
    <row r="209" spans="1:5" x14ac:dyDescent="0.25">
      <c r="A209" s="12">
        <v>45162</v>
      </c>
      <c r="B209" s="1" t="s">
        <v>32</v>
      </c>
      <c r="C209" s="1" t="s">
        <v>45</v>
      </c>
      <c r="D209" s="1" t="s">
        <v>26</v>
      </c>
      <c r="E209" s="120">
        <v>2520.2800000000002</v>
      </c>
    </row>
    <row r="210" spans="1:5" x14ac:dyDescent="0.25">
      <c r="A210" s="12">
        <v>45163</v>
      </c>
      <c r="B210" s="1" t="s">
        <v>25</v>
      </c>
      <c r="C210" s="1" t="s">
        <v>46</v>
      </c>
      <c r="D210" s="1" t="s">
        <v>29</v>
      </c>
      <c r="E210" s="120">
        <v>3316.71</v>
      </c>
    </row>
    <row r="211" spans="1:5" x14ac:dyDescent="0.25">
      <c r="A211" s="12">
        <v>45159</v>
      </c>
      <c r="B211" s="1" t="s">
        <v>24</v>
      </c>
      <c r="C211" s="1" t="s">
        <v>2</v>
      </c>
      <c r="D211" s="1" t="s">
        <v>30</v>
      </c>
      <c r="E211" s="120">
        <v>3619.89</v>
      </c>
    </row>
    <row r="212" spans="1:5" x14ac:dyDescent="0.25">
      <c r="A212" s="12">
        <v>45169</v>
      </c>
      <c r="B212" s="1" t="s">
        <v>23</v>
      </c>
      <c r="C212" s="1" t="s">
        <v>48</v>
      </c>
      <c r="D212" s="1" t="s">
        <v>28</v>
      </c>
      <c r="E212" s="120">
        <v>3763.24</v>
      </c>
    </row>
    <row r="213" spans="1:5" x14ac:dyDescent="0.25">
      <c r="A213" s="12">
        <v>45148</v>
      </c>
      <c r="B213" s="1" t="s">
        <v>23</v>
      </c>
      <c r="C213" s="1" t="s">
        <v>46</v>
      </c>
      <c r="D213" s="1" t="s">
        <v>27</v>
      </c>
      <c r="E213" s="120">
        <v>3961.85</v>
      </c>
    </row>
    <row r="214" spans="1:5" x14ac:dyDescent="0.25">
      <c r="A214" s="12">
        <v>45167</v>
      </c>
      <c r="B214" s="1" t="s">
        <v>23</v>
      </c>
      <c r="C214" s="1" t="s">
        <v>45</v>
      </c>
      <c r="D214" s="1" t="s">
        <v>28</v>
      </c>
      <c r="E214" s="120">
        <v>2618.71</v>
      </c>
    </row>
    <row r="215" spans="1:5" x14ac:dyDescent="0.25">
      <c r="A215" s="12">
        <v>45142</v>
      </c>
      <c r="B215" s="1" t="s">
        <v>32</v>
      </c>
      <c r="C215" s="1" t="s">
        <v>46</v>
      </c>
      <c r="D215" s="1" t="s">
        <v>26</v>
      </c>
      <c r="E215" s="120">
        <v>3089.04</v>
      </c>
    </row>
    <row r="216" spans="1:5" x14ac:dyDescent="0.25">
      <c r="A216" s="12">
        <v>45154</v>
      </c>
      <c r="B216" s="1" t="s">
        <v>25</v>
      </c>
      <c r="C216" s="1" t="s">
        <v>2</v>
      </c>
      <c r="D216" s="1" t="s">
        <v>27</v>
      </c>
      <c r="E216" s="120">
        <v>3636.43</v>
      </c>
    </row>
    <row r="217" spans="1:5" x14ac:dyDescent="0.25">
      <c r="A217" s="12">
        <v>45167</v>
      </c>
      <c r="B217" s="1" t="s">
        <v>24</v>
      </c>
      <c r="C217" s="1" t="s">
        <v>47</v>
      </c>
      <c r="D217" s="1" t="s">
        <v>29</v>
      </c>
      <c r="E217" s="120">
        <v>2219.9699999999998</v>
      </c>
    </row>
    <row r="218" spans="1:5" x14ac:dyDescent="0.25">
      <c r="A218" s="12">
        <v>45153</v>
      </c>
      <c r="B218" s="1" t="s">
        <v>32</v>
      </c>
      <c r="C218" s="1" t="s">
        <v>2</v>
      </c>
      <c r="D218" s="1" t="s">
        <v>28</v>
      </c>
      <c r="E218" s="120">
        <v>2655.27</v>
      </c>
    </row>
    <row r="219" spans="1:5" x14ac:dyDescent="0.25">
      <c r="A219" s="12">
        <v>45145</v>
      </c>
      <c r="B219" s="1" t="s">
        <v>22</v>
      </c>
      <c r="C219" s="1" t="s">
        <v>2</v>
      </c>
      <c r="D219" s="1" t="s">
        <v>29</v>
      </c>
      <c r="E219" s="120">
        <v>3281.21</v>
      </c>
    </row>
    <row r="220" spans="1:5" x14ac:dyDescent="0.25">
      <c r="A220" s="12">
        <v>45163</v>
      </c>
      <c r="B220" s="1" t="s">
        <v>25</v>
      </c>
      <c r="C220" s="1" t="s">
        <v>46</v>
      </c>
      <c r="D220" s="1" t="s">
        <v>27</v>
      </c>
      <c r="E220" s="120">
        <v>2116.9699999999998</v>
      </c>
    </row>
    <row r="221" spans="1:5" x14ac:dyDescent="0.25">
      <c r="A221" s="12">
        <v>45146</v>
      </c>
      <c r="B221" s="1" t="s">
        <v>32</v>
      </c>
      <c r="C221" s="1" t="s">
        <v>48</v>
      </c>
      <c r="D221" s="1" t="s">
        <v>31</v>
      </c>
      <c r="E221" s="120">
        <v>2269.1999999999998</v>
      </c>
    </row>
    <row r="222" spans="1:5" x14ac:dyDescent="0.25">
      <c r="A222" s="12">
        <v>45141</v>
      </c>
      <c r="B222" s="1" t="s">
        <v>23</v>
      </c>
      <c r="C222" s="1" t="s">
        <v>48</v>
      </c>
      <c r="D222" s="1" t="s">
        <v>28</v>
      </c>
      <c r="E222" s="120">
        <v>2313.58</v>
      </c>
    </row>
    <row r="223" spans="1:5" x14ac:dyDescent="0.25">
      <c r="A223" s="12">
        <v>45141</v>
      </c>
      <c r="B223" s="1" t="s">
        <v>22</v>
      </c>
      <c r="C223" s="1" t="s">
        <v>46</v>
      </c>
      <c r="D223" s="1" t="s">
        <v>28</v>
      </c>
      <c r="E223" s="120">
        <v>2502.33</v>
      </c>
    </row>
    <row r="224" spans="1:5" x14ac:dyDescent="0.25">
      <c r="A224" s="12">
        <v>45143</v>
      </c>
      <c r="B224" s="1" t="s">
        <v>23</v>
      </c>
      <c r="C224" s="1" t="s">
        <v>47</v>
      </c>
      <c r="D224" s="1" t="s">
        <v>29</v>
      </c>
      <c r="E224" s="120">
        <v>2446.41</v>
      </c>
    </row>
    <row r="225" spans="1:5" x14ac:dyDescent="0.25">
      <c r="A225" s="12">
        <v>45156</v>
      </c>
      <c r="B225" s="1" t="s">
        <v>32</v>
      </c>
      <c r="C225" s="1" t="s">
        <v>45</v>
      </c>
      <c r="D225" s="1" t="s">
        <v>31</v>
      </c>
      <c r="E225" s="120">
        <v>3949.47</v>
      </c>
    </row>
    <row r="226" spans="1:5" x14ac:dyDescent="0.25">
      <c r="A226" s="12">
        <v>45146</v>
      </c>
      <c r="B226" s="1" t="s">
        <v>32</v>
      </c>
      <c r="C226" s="1" t="s">
        <v>46</v>
      </c>
      <c r="D226" s="1" t="s">
        <v>30</v>
      </c>
      <c r="E226" s="120">
        <v>3269.24</v>
      </c>
    </row>
    <row r="227" spans="1:5" x14ac:dyDescent="0.25">
      <c r="A227" s="12">
        <v>45162</v>
      </c>
      <c r="B227" s="1" t="s">
        <v>23</v>
      </c>
      <c r="C227" s="1" t="s">
        <v>48</v>
      </c>
      <c r="D227" s="1" t="s">
        <v>31</v>
      </c>
      <c r="E227" s="120">
        <v>2878.66</v>
      </c>
    </row>
    <row r="228" spans="1:5" x14ac:dyDescent="0.25">
      <c r="A228" s="12">
        <v>45158</v>
      </c>
      <c r="B228" s="1" t="s">
        <v>22</v>
      </c>
      <c r="C228" s="1" t="s">
        <v>2</v>
      </c>
      <c r="D228" s="1" t="s">
        <v>26</v>
      </c>
      <c r="E228" s="120">
        <v>2160.61</v>
      </c>
    </row>
    <row r="229" spans="1:5" x14ac:dyDescent="0.25">
      <c r="A229" s="12">
        <v>45153</v>
      </c>
      <c r="B229" s="1" t="s">
        <v>23</v>
      </c>
      <c r="C229" s="1" t="s">
        <v>2</v>
      </c>
      <c r="D229" s="1" t="s">
        <v>30</v>
      </c>
      <c r="E229" s="120">
        <v>3276.81</v>
      </c>
    </row>
    <row r="230" spans="1:5" x14ac:dyDescent="0.25">
      <c r="A230" s="12">
        <v>45161</v>
      </c>
      <c r="B230" s="1" t="s">
        <v>32</v>
      </c>
      <c r="C230" s="1" t="s">
        <v>48</v>
      </c>
      <c r="D230" s="1" t="s">
        <v>28</v>
      </c>
      <c r="E230" s="120">
        <v>3142.91</v>
      </c>
    </row>
    <row r="231" spans="1:5" x14ac:dyDescent="0.25">
      <c r="A231" s="12">
        <v>45169</v>
      </c>
      <c r="B231" s="1" t="s">
        <v>32</v>
      </c>
      <c r="C231" s="1" t="s">
        <v>45</v>
      </c>
      <c r="D231" s="1" t="s">
        <v>30</v>
      </c>
      <c r="E231" s="120">
        <v>2449.2600000000002</v>
      </c>
    </row>
    <row r="232" spans="1:5" x14ac:dyDescent="0.25">
      <c r="A232" s="12">
        <v>45156</v>
      </c>
      <c r="B232" s="1" t="s">
        <v>22</v>
      </c>
      <c r="C232" s="1" t="s">
        <v>47</v>
      </c>
      <c r="D232" s="1" t="s">
        <v>27</v>
      </c>
      <c r="E232" s="120">
        <v>2558.85</v>
      </c>
    </row>
    <row r="233" spans="1:5" x14ac:dyDescent="0.25">
      <c r="A233" s="12">
        <v>45164</v>
      </c>
      <c r="B233" s="1" t="s">
        <v>24</v>
      </c>
      <c r="C233" s="1" t="s">
        <v>46</v>
      </c>
      <c r="D233" s="1" t="s">
        <v>27</v>
      </c>
      <c r="E233" s="120">
        <v>2920.76</v>
      </c>
    </row>
    <row r="234" spans="1:5" x14ac:dyDescent="0.25">
      <c r="A234" s="12">
        <v>45146</v>
      </c>
      <c r="B234" s="1" t="s">
        <v>32</v>
      </c>
      <c r="C234" s="1" t="s">
        <v>47</v>
      </c>
      <c r="D234" s="1" t="s">
        <v>28</v>
      </c>
      <c r="E234" s="120">
        <v>2613.38</v>
      </c>
    </row>
    <row r="235" spans="1:5" x14ac:dyDescent="0.25">
      <c r="A235" s="12">
        <v>45141</v>
      </c>
      <c r="B235" s="1" t="s">
        <v>22</v>
      </c>
      <c r="C235" s="1" t="s">
        <v>2</v>
      </c>
      <c r="D235" s="1" t="s">
        <v>29</v>
      </c>
      <c r="E235" s="120">
        <v>2689.96</v>
      </c>
    </row>
    <row r="236" spans="1:5" x14ac:dyDescent="0.25">
      <c r="A236" s="12">
        <v>45146</v>
      </c>
      <c r="B236" s="1" t="s">
        <v>24</v>
      </c>
      <c r="C236" s="1" t="s">
        <v>47</v>
      </c>
      <c r="D236" s="1" t="s">
        <v>31</v>
      </c>
      <c r="E236" s="120">
        <v>2292.46</v>
      </c>
    </row>
    <row r="237" spans="1:5" x14ac:dyDescent="0.25">
      <c r="A237" s="12">
        <v>45149</v>
      </c>
      <c r="B237" s="1" t="s">
        <v>23</v>
      </c>
      <c r="C237" s="1" t="s">
        <v>2</v>
      </c>
      <c r="D237" s="1" t="s">
        <v>31</v>
      </c>
      <c r="E237" s="120">
        <v>3089.08</v>
      </c>
    </row>
    <row r="238" spans="1:5" x14ac:dyDescent="0.25">
      <c r="A238" s="12">
        <v>45147</v>
      </c>
      <c r="B238" s="1" t="s">
        <v>24</v>
      </c>
      <c r="C238" s="1" t="s">
        <v>48</v>
      </c>
      <c r="D238" s="1" t="s">
        <v>27</v>
      </c>
      <c r="E238" s="120">
        <v>3776.93</v>
      </c>
    </row>
    <row r="239" spans="1:5" x14ac:dyDescent="0.25">
      <c r="A239" s="12">
        <v>45159</v>
      </c>
      <c r="B239" s="1" t="s">
        <v>25</v>
      </c>
      <c r="C239" s="1" t="s">
        <v>47</v>
      </c>
      <c r="D239" s="1" t="s">
        <v>30</v>
      </c>
      <c r="E239" s="120">
        <v>3665.58</v>
      </c>
    </row>
    <row r="240" spans="1:5" x14ac:dyDescent="0.25">
      <c r="A240" s="12">
        <v>45157</v>
      </c>
      <c r="B240" s="1" t="s">
        <v>25</v>
      </c>
      <c r="C240" s="1" t="s">
        <v>47</v>
      </c>
      <c r="D240" s="1" t="s">
        <v>30</v>
      </c>
      <c r="E240" s="120">
        <v>2114.5300000000002</v>
      </c>
    </row>
    <row r="241" spans="1:5" x14ac:dyDescent="0.25">
      <c r="A241" s="12">
        <v>45142</v>
      </c>
      <c r="B241" s="1" t="s">
        <v>32</v>
      </c>
      <c r="C241" s="1" t="s">
        <v>47</v>
      </c>
      <c r="D241" s="1" t="s">
        <v>27</v>
      </c>
      <c r="E241" s="120">
        <v>3747.31</v>
      </c>
    </row>
    <row r="242" spans="1:5" x14ac:dyDescent="0.25">
      <c r="A242" s="12">
        <v>45150</v>
      </c>
      <c r="B242" s="1" t="s">
        <v>24</v>
      </c>
      <c r="C242" s="1" t="s">
        <v>48</v>
      </c>
      <c r="D242" s="1" t="s">
        <v>29</v>
      </c>
      <c r="E242" s="120">
        <v>3199.41</v>
      </c>
    </row>
    <row r="243" spans="1:5" x14ac:dyDescent="0.25">
      <c r="A243" s="12">
        <v>45151</v>
      </c>
      <c r="B243" s="1" t="s">
        <v>23</v>
      </c>
      <c r="C243" s="1" t="s">
        <v>2</v>
      </c>
      <c r="D243" s="1" t="s">
        <v>28</v>
      </c>
      <c r="E243" s="120">
        <v>2647.32</v>
      </c>
    </row>
    <row r="244" spans="1:5" x14ac:dyDescent="0.25">
      <c r="A244" s="12">
        <v>45161</v>
      </c>
      <c r="B244" s="1" t="s">
        <v>24</v>
      </c>
      <c r="C244" s="1" t="s">
        <v>2</v>
      </c>
      <c r="D244" s="1" t="s">
        <v>30</v>
      </c>
      <c r="E244" s="120">
        <v>3392.21</v>
      </c>
    </row>
    <row r="245" spans="1:5" x14ac:dyDescent="0.25">
      <c r="A245" s="12">
        <v>45156</v>
      </c>
      <c r="B245" s="1" t="s">
        <v>25</v>
      </c>
      <c r="C245" s="1" t="s">
        <v>47</v>
      </c>
      <c r="D245" s="1" t="s">
        <v>28</v>
      </c>
      <c r="E245" s="120">
        <v>3798.78</v>
      </c>
    </row>
    <row r="246" spans="1:5" x14ac:dyDescent="0.25">
      <c r="A246" s="12">
        <v>45169</v>
      </c>
      <c r="B246" s="1" t="s">
        <v>22</v>
      </c>
      <c r="C246" s="1" t="s">
        <v>46</v>
      </c>
      <c r="D246" s="1" t="s">
        <v>28</v>
      </c>
      <c r="E246" s="120">
        <v>3402.33</v>
      </c>
    </row>
    <row r="247" spans="1:5" x14ac:dyDescent="0.25">
      <c r="A247" s="12">
        <v>45155</v>
      </c>
      <c r="B247" s="1" t="s">
        <v>32</v>
      </c>
      <c r="C247" s="1" t="s">
        <v>2</v>
      </c>
      <c r="D247" s="1" t="s">
        <v>28</v>
      </c>
      <c r="E247" s="120">
        <v>3691.97</v>
      </c>
    </row>
    <row r="248" spans="1:5" x14ac:dyDescent="0.25">
      <c r="A248" s="12">
        <v>45155</v>
      </c>
      <c r="B248" s="1" t="s">
        <v>23</v>
      </c>
      <c r="C248" s="1" t="s">
        <v>46</v>
      </c>
      <c r="D248" s="1" t="s">
        <v>31</v>
      </c>
      <c r="E248" s="120">
        <v>3026.14</v>
      </c>
    </row>
    <row r="249" spans="1:5" x14ac:dyDescent="0.25">
      <c r="A249" s="12">
        <v>45141</v>
      </c>
      <c r="B249" s="1" t="s">
        <v>32</v>
      </c>
      <c r="C249" s="1" t="s">
        <v>2</v>
      </c>
      <c r="D249" s="1" t="s">
        <v>28</v>
      </c>
      <c r="E249" s="120">
        <v>2690.06</v>
      </c>
    </row>
    <row r="250" spans="1:5" x14ac:dyDescent="0.25">
      <c r="A250" s="12">
        <v>45147</v>
      </c>
      <c r="B250" s="1" t="s">
        <v>32</v>
      </c>
      <c r="C250" s="1" t="s">
        <v>45</v>
      </c>
      <c r="D250" s="1" t="s">
        <v>29</v>
      </c>
      <c r="E250" s="120">
        <v>2798.66</v>
      </c>
    </row>
    <row r="251" spans="1:5" x14ac:dyDescent="0.25">
      <c r="A251" s="12">
        <v>45152</v>
      </c>
      <c r="B251" s="1" t="s">
        <v>22</v>
      </c>
      <c r="C251" s="1" t="s">
        <v>2</v>
      </c>
      <c r="D251" s="1" t="s">
        <v>31</v>
      </c>
      <c r="E251" s="120">
        <v>3181.33</v>
      </c>
    </row>
    <row r="252" spans="1:5" x14ac:dyDescent="0.25">
      <c r="A252" s="12">
        <v>45163</v>
      </c>
      <c r="B252" s="1" t="s">
        <v>25</v>
      </c>
      <c r="C252" s="1" t="s">
        <v>46</v>
      </c>
      <c r="D252" s="1" t="s">
        <v>28</v>
      </c>
      <c r="E252" s="120">
        <v>3162.47</v>
      </c>
    </row>
    <row r="253" spans="1:5" x14ac:dyDescent="0.25">
      <c r="A253" s="12">
        <v>45154</v>
      </c>
      <c r="B253" s="1" t="s">
        <v>23</v>
      </c>
      <c r="C253" s="1" t="s">
        <v>47</v>
      </c>
      <c r="D253" s="1" t="s">
        <v>31</v>
      </c>
      <c r="E253" s="120">
        <v>3553.08</v>
      </c>
    </row>
    <row r="254" spans="1:5" x14ac:dyDescent="0.25">
      <c r="A254" s="12">
        <v>45155</v>
      </c>
      <c r="B254" s="1" t="s">
        <v>22</v>
      </c>
      <c r="C254" s="1" t="s">
        <v>48</v>
      </c>
      <c r="D254" s="1" t="s">
        <v>28</v>
      </c>
      <c r="E254" s="120">
        <v>3368.15</v>
      </c>
    </row>
    <row r="255" spans="1:5" x14ac:dyDescent="0.25">
      <c r="A255" s="12">
        <v>45162</v>
      </c>
      <c r="B255" s="1" t="s">
        <v>22</v>
      </c>
      <c r="C255" s="1" t="s">
        <v>45</v>
      </c>
      <c r="D255" s="1" t="s">
        <v>27</v>
      </c>
      <c r="E255" s="120">
        <v>3837.27</v>
      </c>
    </row>
    <row r="256" spans="1:5" x14ac:dyDescent="0.25">
      <c r="A256" s="12">
        <v>45167</v>
      </c>
      <c r="B256" s="1" t="s">
        <v>22</v>
      </c>
      <c r="C256" s="1" t="s">
        <v>45</v>
      </c>
      <c r="D256" s="1" t="s">
        <v>29</v>
      </c>
      <c r="E256" s="120">
        <v>2311.4499999999998</v>
      </c>
    </row>
    <row r="257" spans="1:5" x14ac:dyDescent="0.25">
      <c r="A257" s="12">
        <v>45168</v>
      </c>
      <c r="B257" s="1" t="s">
        <v>22</v>
      </c>
      <c r="C257" s="1" t="s">
        <v>45</v>
      </c>
      <c r="D257" s="1" t="s">
        <v>26</v>
      </c>
      <c r="E257" s="120">
        <v>2427.88</v>
      </c>
    </row>
    <row r="258" spans="1:5" x14ac:dyDescent="0.25">
      <c r="A258" s="12">
        <v>45158</v>
      </c>
      <c r="B258" s="1" t="s">
        <v>23</v>
      </c>
      <c r="C258" s="1" t="s">
        <v>48</v>
      </c>
      <c r="D258" s="1" t="s">
        <v>30</v>
      </c>
      <c r="E258" s="120">
        <v>3836.02</v>
      </c>
    </row>
    <row r="259" spans="1:5" x14ac:dyDescent="0.25">
      <c r="A259" s="12">
        <v>45139</v>
      </c>
      <c r="B259" s="1" t="s">
        <v>23</v>
      </c>
      <c r="C259" s="1" t="s">
        <v>45</v>
      </c>
      <c r="D259" s="1" t="s">
        <v>30</v>
      </c>
      <c r="E259" s="120">
        <v>3337.33</v>
      </c>
    </row>
    <row r="260" spans="1:5" x14ac:dyDescent="0.25">
      <c r="A260" s="12">
        <v>45146</v>
      </c>
      <c r="B260" s="1" t="s">
        <v>25</v>
      </c>
      <c r="C260" s="1" t="s">
        <v>48</v>
      </c>
      <c r="D260" s="1" t="s">
        <v>28</v>
      </c>
      <c r="E260" s="120">
        <v>3290.36</v>
      </c>
    </row>
    <row r="261" spans="1:5" x14ac:dyDescent="0.25">
      <c r="A261" s="12">
        <v>45162</v>
      </c>
      <c r="B261" s="1" t="s">
        <v>25</v>
      </c>
      <c r="C261" s="1" t="s">
        <v>46</v>
      </c>
      <c r="D261" s="1" t="s">
        <v>26</v>
      </c>
      <c r="E261" s="120">
        <v>3462.39</v>
      </c>
    </row>
    <row r="262" spans="1:5" x14ac:dyDescent="0.25">
      <c r="A262" s="12">
        <v>45144</v>
      </c>
      <c r="B262" s="1" t="s">
        <v>22</v>
      </c>
      <c r="C262" s="1" t="s">
        <v>47</v>
      </c>
      <c r="D262" s="1" t="s">
        <v>28</v>
      </c>
      <c r="E262" s="120">
        <v>3278.84</v>
      </c>
    </row>
    <row r="263" spans="1:5" x14ac:dyDescent="0.25">
      <c r="A263" s="12">
        <v>45143</v>
      </c>
      <c r="B263" s="1" t="s">
        <v>25</v>
      </c>
      <c r="C263" s="1" t="s">
        <v>46</v>
      </c>
      <c r="D263" s="1" t="s">
        <v>30</v>
      </c>
      <c r="E263" s="120">
        <v>3236.67</v>
      </c>
    </row>
    <row r="264" spans="1:5" x14ac:dyDescent="0.25">
      <c r="A264" s="12">
        <v>45156</v>
      </c>
      <c r="B264" s="1" t="s">
        <v>23</v>
      </c>
      <c r="C264" s="1" t="s">
        <v>2</v>
      </c>
      <c r="D264" s="1" t="s">
        <v>26</v>
      </c>
      <c r="E264" s="120">
        <v>2802.41</v>
      </c>
    </row>
    <row r="265" spans="1:5" x14ac:dyDescent="0.25">
      <c r="A265" s="12">
        <v>45157</v>
      </c>
      <c r="B265" s="1" t="s">
        <v>32</v>
      </c>
      <c r="C265" s="1" t="s">
        <v>48</v>
      </c>
      <c r="D265" s="1" t="s">
        <v>31</v>
      </c>
      <c r="E265" s="120">
        <v>3948.62</v>
      </c>
    </row>
    <row r="266" spans="1:5" x14ac:dyDescent="0.25">
      <c r="A266" s="12">
        <v>45142</v>
      </c>
      <c r="B266" s="1" t="s">
        <v>32</v>
      </c>
      <c r="C266" s="1" t="s">
        <v>47</v>
      </c>
      <c r="D266" s="1" t="s">
        <v>26</v>
      </c>
      <c r="E266" s="120">
        <v>2477.2800000000002</v>
      </c>
    </row>
    <row r="267" spans="1:5" x14ac:dyDescent="0.25">
      <c r="A267" s="12">
        <v>45162</v>
      </c>
      <c r="B267" s="1" t="s">
        <v>22</v>
      </c>
      <c r="C267" s="1" t="s">
        <v>2</v>
      </c>
      <c r="D267" s="1" t="s">
        <v>28</v>
      </c>
      <c r="E267" s="120">
        <v>3450.62</v>
      </c>
    </row>
    <row r="268" spans="1:5" x14ac:dyDescent="0.25">
      <c r="A268" s="12">
        <v>45149</v>
      </c>
      <c r="B268" s="1" t="s">
        <v>22</v>
      </c>
      <c r="C268" s="1" t="s">
        <v>45</v>
      </c>
      <c r="D268" s="1" t="s">
        <v>28</v>
      </c>
      <c r="E268" s="120">
        <v>2809.06</v>
      </c>
    </row>
    <row r="269" spans="1:5" x14ac:dyDescent="0.25">
      <c r="A269" s="12">
        <v>45168</v>
      </c>
      <c r="B269" s="1" t="s">
        <v>32</v>
      </c>
      <c r="C269" s="1" t="s">
        <v>48</v>
      </c>
      <c r="D269" s="1" t="s">
        <v>30</v>
      </c>
      <c r="E269" s="120">
        <v>2738.88</v>
      </c>
    </row>
    <row r="270" spans="1:5" x14ac:dyDescent="0.25">
      <c r="A270" s="12">
        <v>45153</v>
      </c>
      <c r="B270" s="1" t="s">
        <v>22</v>
      </c>
      <c r="C270" s="1" t="s">
        <v>46</v>
      </c>
      <c r="D270" s="1" t="s">
        <v>27</v>
      </c>
      <c r="E270" s="120">
        <v>2463.9499999999998</v>
      </c>
    </row>
    <row r="271" spans="1:5" x14ac:dyDescent="0.25">
      <c r="A271" s="12">
        <v>45148</v>
      </c>
      <c r="B271" s="1" t="s">
        <v>22</v>
      </c>
      <c r="C271" s="1" t="s">
        <v>45</v>
      </c>
      <c r="D271" s="1" t="s">
        <v>31</v>
      </c>
      <c r="E271" s="120">
        <v>2467.5300000000002</v>
      </c>
    </row>
    <row r="272" spans="1:5" x14ac:dyDescent="0.25">
      <c r="A272" s="12">
        <v>45152</v>
      </c>
      <c r="B272" s="1" t="s">
        <v>32</v>
      </c>
      <c r="C272" s="1" t="s">
        <v>48</v>
      </c>
      <c r="D272" s="1" t="s">
        <v>31</v>
      </c>
      <c r="E272" s="120">
        <v>2853.96</v>
      </c>
    </row>
    <row r="273" spans="1:5" x14ac:dyDescent="0.25">
      <c r="A273" s="12">
        <v>45160</v>
      </c>
      <c r="B273" s="1" t="s">
        <v>25</v>
      </c>
      <c r="C273" s="1" t="s">
        <v>45</v>
      </c>
      <c r="D273" s="1" t="s">
        <v>30</v>
      </c>
      <c r="E273" s="120">
        <v>2710.72</v>
      </c>
    </row>
    <row r="274" spans="1:5" x14ac:dyDescent="0.25">
      <c r="A274" s="12">
        <v>45146</v>
      </c>
      <c r="B274" s="1" t="s">
        <v>32</v>
      </c>
      <c r="C274" s="1" t="s">
        <v>46</v>
      </c>
      <c r="D274" s="1" t="s">
        <v>31</v>
      </c>
      <c r="E274" s="120">
        <v>3421.47</v>
      </c>
    </row>
    <row r="275" spans="1:5" x14ac:dyDescent="0.25">
      <c r="A275" s="12">
        <v>45149</v>
      </c>
      <c r="B275" s="1" t="s">
        <v>23</v>
      </c>
      <c r="C275" s="1" t="s">
        <v>48</v>
      </c>
      <c r="D275" s="1" t="s">
        <v>31</v>
      </c>
      <c r="E275" s="120">
        <v>3126.5</v>
      </c>
    </row>
    <row r="276" spans="1:5" x14ac:dyDescent="0.25">
      <c r="A276" s="12">
        <v>45151</v>
      </c>
      <c r="B276" s="1" t="s">
        <v>22</v>
      </c>
      <c r="C276" s="1" t="s">
        <v>2</v>
      </c>
      <c r="D276" s="1" t="s">
        <v>27</v>
      </c>
      <c r="E276" s="120">
        <v>3128.05</v>
      </c>
    </row>
    <row r="277" spans="1:5" x14ac:dyDescent="0.25">
      <c r="A277" s="12">
        <v>45149</v>
      </c>
      <c r="B277" s="1" t="s">
        <v>25</v>
      </c>
      <c r="C277" s="1" t="s">
        <v>47</v>
      </c>
      <c r="D277" s="1" t="s">
        <v>31</v>
      </c>
      <c r="E277" s="120">
        <v>3185.46</v>
      </c>
    </row>
    <row r="278" spans="1:5" x14ac:dyDescent="0.25">
      <c r="A278" s="12">
        <v>45141</v>
      </c>
      <c r="B278" s="1" t="s">
        <v>25</v>
      </c>
      <c r="C278" s="1" t="s">
        <v>47</v>
      </c>
      <c r="D278" s="1" t="s">
        <v>30</v>
      </c>
      <c r="E278" s="120">
        <v>2733.99</v>
      </c>
    </row>
    <row r="279" spans="1:5" x14ac:dyDescent="0.25">
      <c r="A279" s="12">
        <v>45150</v>
      </c>
      <c r="B279" s="1" t="s">
        <v>23</v>
      </c>
      <c r="C279" s="1" t="s">
        <v>47</v>
      </c>
      <c r="D279" s="1" t="s">
        <v>27</v>
      </c>
      <c r="E279" s="120">
        <v>2695</v>
      </c>
    </row>
    <row r="280" spans="1:5" x14ac:dyDescent="0.25">
      <c r="A280" s="12">
        <v>45148</v>
      </c>
      <c r="B280" s="1" t="s">
        <v>22</v>
      </c>
      <c r="C280" s="1" t="s">
        <v>46</v>
      </c>
      <c r="D280" s="1" t="s">
        <v>29</v>
      </c>
      <c r="E280" s="120">
        <v>2559.4499999999998</v>
      </c>
    </row>
    <row r="281" spans="1:5" x14ac:dyDescent="0.25">
      <c r="A281" s="12">
        <v>45139</v>
      </c>
      <c r="B281" s="1" t="s">
        <v>32</v>
      </c>
      <c r="C281" s="1" t="s">
        <v>45</v>
      </c>
      <c r="D281" s="1" t="s">
        <v>29</v>
      </c>
      <c r="E281" s="120">
        <v>2382.02</v>
      </c>
    </row>
    <row r="282" spans="1:5" x14ac:dyDescent="0.25">
      <c r="A282" s="12">
        <v>45157</v>
      </c>
      <c r="B282" s="1" t="s">
        <v>32</v>
      </c>
      <c r="C282" s="1" t="s">
        <v>46</v>
      </c>
      <c r="D282" s="1" t="s">
        <v>27</v>
      </c>
      <c r="E282" s="120">
        <v>2855.28</v>
      </c>
    </row>
    <row r="283" spans="1:5" x14ac:dyDescent="0.25">
      <c r="A283" s="12">
        <v>45142</v>
      </c>
      <c r="B283" s="1" t="s">
        <v>22</v>
      </c>
      <c r="C283" s="1" t="s">
        <v>48</v>
      </c>
      <c r="D283" s="1" t="s">
        <v>31</v>
      </c>
      <c r="E283" s="120">
        <v>2369.06</v>
      </c>
    </row>
    <row r="284" spans="1:5" x14ac:dyDescent="0.25">
      <c r="A284" s="12">
        <v>45162</v>
      </c>
      <c r="B284" s="1" t="s">
        <v>23</v>
      </c>
      <c r="C284" s="1" t="s">
        <v>47</v>
      </c>
      <c r="D284" s="1" t="s">
        <v>27</v>
      </c>
      <c r="E284" s="120">
        <v>3313.46</v>
      </c>
    </row>
    <row r="285" spans="1:5" x14ac:dyDescent="0.25">
      <c r="A285" s="12">
        <v>45164</v>
      </c>
      <c r="B285" s="1" t="s">
        <v>25</v>
      </c>
      <c r="C285" s="1" t="s">
        <v>2</v>
      </c>
      <c r="D285" s="1" t="s">
        <v>29</v>
      </c>
      <c r="E285" s="120">
        <v>3856.76</v>
      </c>
    </row>
    <row r="286" spans="1:5" x14ac:dyDescent="0.25">
      <c r="A286" s="12">
        <v>45155</v>
      </c>
      <c r="B286" s="1" t="s">
        <v>22</v>
      </c>
      <c r="C286" s="1" t="s">
        <v>2</v>
      </c>
      <c r="D286" s="1" t="s">
        <v>29</v>
      </c>
      <c r="E286" s="120">
        <v>2638.88</v>
      </c>
    </row>
    <row r="287" spans="1:5" x14ac:dyDescent="0.25">
      <c r="A287" s="12">
        <v>45163</v>
      </c>
      <c r="B287" s="1" t="s">
        <v>25</v>
      </c>
      <c r="C287" s="1" t="s">
        <v>47</v>
      </c>
      <c r="D287" s="1" t="s">
        <v>28</v>
      </c>
      <c r="E287" s="120">
        <v>2804.25</v>
      </c>
    </row>
    <row r="288" spans="1:5" x14ac:dyDescent="0.25">
      <c r="A288" s="12">
        <v>45143</v>
      </c>
      <c r="B288" s="1" t="s">
        <v>23</v>
      </c>
      <c r="C288" s="1" t="s">
        <v>46</v>
      </c>
      <c r="D288" s="1" t="s">
        <v>29</v>
      </c>
      <c r="E288" s="120">
        <v>3402.98</v>
      </c>
    </row>
    <row r="289" spans="1:5" x14ac:dyDescent="0.25">
      <c r="A289" s="12">
        <v>45160</v>
      </c>
      <c r="B289" s="1" t="s">
        <v>25</v>
      </c>
      <c r="C289" s="1" t="s">
        <v>45</v>
      </c>
      <c r="D289" s="1" t="s">
        <v>28</v>
      </c>
      <c r="E289" s="120">
        <v>2327.37</v>
      </c>
    </row>
    <row r="290" spans="1:5" x14ac:dyDescent="0.25">
      <c r="A290" s="12">
        <v>45165</v>
      </c>
      <c r="B290" s="1" t="s">
        <v>22</v>
      </c>
      <c r="C290" s="1" t="s">
        <v>47</v>
      </c>
      <c r="D290" s="1" t="s">
        <v>29</v>
      </c>
      <c r="E290" s="120">
        <v>3715.32</v>
      </c>
    </row>
    <row r="291" spans="1:5" x14ac:dyDescent="0.25">
      <c r="A291" s="12">
        <v>45153</v>
      </c>
      <c r="B291" s="1" t="s">
        <v>32</v>
      </c>
      <c r="C291" s="1" t="s">
        <v>48</v>
      </c>
      <c r="D291" s="1" t="s">
        <v>28</v>
      </c>
      <c r="E291" s="120">
        <v>2459.9299999999998</v>
      </c>
    </row>
    <row r="292" spans="1:5" x14ac:dyDescent="0.25">
      <c r="A292" s="12">
        <v>45160</v>
      </c>
      <c r="B292" s="1" t="s">
        <v>23</v>
      </c>
      <c r="C292" s="1" t="s">
        <v>48</v>
      </c>
      <c r="D292" s="1" t="s">
        <v>26</v>
      </c>
      <c r="E292" s="120">
        <v>3647.65</v>
      </c>
    </row>
    <row r="293" spans="1:5" x14ac:dyDescent="0.25">
      <c r="A293" s="12">
        <v>45164</v>
      </c>
      <c r="B293" s="1" t="s">
        <v>25</v>
      </c>
      <c r="C293" s="1" t="s">
        <v>45</v>
      </c>
      <c r="D293" s="1" t="s">
        <v>28</v>
      </c>
      <c r="E293" s="120">
        <v>2548.2600000000002</v>
      </c>
    </row>
    <row r="294" spans="1:5" x14ac:dyDescent="0.25">
      <c r="A294" s="12">
        <v>45148</v>
      </c>
      <c r="B294" s="1" t="s">
        <v>22</v>
      </c>
      <c r="C294" s="1" t="s">
        <v>46</v>
      </c>
      <c r="D294" s="1" t="s">
        <v>31</v>
      </c>
      <c r="E294" s="120">
        <v>3076.73</v>
      </c>
    </row>
    <row r="295" spans="1:5" x14ac:dyDescent="0.25">
      <c r="A295" s="12">
        <v>45145</v>
      </c>
      <c r="B295" s="1" t="s">
        <v>24</v>
      </c>
      <c r="C295" s="1" t="s">
        <v>45</v>
      </c>
      <c r="D295" s="1" t="s">
        <v>27</v>
      </c>
      <c r="E295" s="120">
        <v>2295.3000000000002</v>
      </c>
    </row>
    <row r="296" spans="1:5" x14ac:dyDescent="0.25">
      <c r="A296" s="12">
        <v>45167</v>
      </c>
      <c r="B296" s="1" t="s">
        <v>22</v>
      </c>
      <c r="C296" s="1" t="s">
        <v>46</v>
      </c>
      <c r="D296" s="1" t="s">
        <v>27</v>
      </c>
      <c r="E296" s="120">
        <v>2726.4</v>
      </c>
    </row>
    <row r="297" spans="1:5" x14ac:dyDescent="0.25">
      <c r="A297" s="12">
        <v>45167</v>
      </c>
      <c r="B297" s="1" t="s">
        <v>23</v>
      </c>
      <c r="C297" s="1" t="s">
        <v>47</v>
      </c>
      <c r="D297" s="1" t="s">
        <v>27</v>
      </c>
      <c r="E297" s="120">
        <v>3699.68</v>
      </c>
    </row>
    <row r="298" spans="1:5" x14ac:dyDescent="0.25">
      <c r="A298" s="12">
        <v>45159</v>
      </c>
      <c r="B298" s="1" t="s">
        <v>32</v>
      </c>
      <c r="C298" s="1" t="s">
        <v>48</v>
      </c>
      <c r="D298" s="1" t="s">
        <v>29</v>
      </c>
      <c r="E298" s="120">
        <v>3589.25</v>
      </c>
    </row>
    <row r="299" spans="1:5" x14ac:dyDescent="0.25">
      <c r="A299" s="12">
        <v>45144</v>
      </c>
      <c r="B299" s="1" t="s">
        <v>22</v>
      </c>
      <c r="C299" s="1" t="s">
        <v>47</v>
      </c>
      <c r="D299" s="1" t="s">
        <v>27</v>
      </c>
      <c r="E299" s="120">
        <v>2831.59</v>
      </c>
    </row>
    <row r="300" spans="1:5" x14ac:dyDescent="0.25">
      <c r="A300" s="12">
        <v>45158</v>
      </c>
      <c r="B300" s="1" t="s">
        <v>23</v>
      </c>
      <c r="C300" s="1" t="s">
        <v>2</v>
      </c>
      <c r="D300" s="1" t="s">
        <v>31</v>
      </c>
      <c r="E300" s="120">
        <v>2633.46</v>
      </c>
    </row>
  </sheetData>
  <conditionalFormatting sqref="E12:E41">
    <cfRule type="expression" dxfId="9" priority="1">
      <formula>$C12=$H$17</formula>
    </cfRule>
  </conditionalFormatting>
  <conditionalFormatting sqref="F12:F41">
    <cfRule type="expression" dxfId="8" priority="3">
      <formula>$C12=$I$21</formula>
    </cfRule>
  </conditionalFormatting>
  <conditionalFormatting sqref="G36:G37">
    <cfRule type="expression" dxfId="7" priority="2">
      <formula>$C21=$I$21</formula>
    </cfRule>
  </conditionalFormatting>
  <conditionalFormatting sqref="G38">
    <cfRule type="expression" dxfId="6" priority="5">
      <formula>$C24=$I$21</formula>
    </cfRule>
  </conditionalFormatting>
  <conditionalFormatting sqref="H12 A12:D41">
    <cfRule type="expression" dxfId="5" priority="4">
      <formula>$C12=$H$21</formula>
    </cfRule>
  </conditionalFormatting>
  <dataValidations count="2">
    <dataValidation type="list" allowBlank="1" showInputMessage="1" showErrorMessage="1" sqref="H36" xr:uid="{A09220CF-156B-48DF-ABEA-8AC4F732A61B}">
      <formula1>$O$34:$O$38</formula1>
    </dataValidation>
    <dataValidation type="list" allowBlank="1" showInputMessage="1" showErrorMessage="1" sqref="H37" xr:uid="{7019C3A2-5C15-40BE-AFBD-8DC13FD01647}">
      <formula1>$N$34:$N$38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ACFEB-6B63-4260-A9C0-8842D00D1458}">
  <sheetPr>
    <tabColor rgb="FFFFC000"/>
  </sheetPr>
  <dimension ref="B2:J14"/>
  <sheetViews>
    <sheetView showGridLines="0" showRowColHeaders="0" workbookViewId="0"/>
  </sheetViews>
  <sheetFormatPr defaultRowHeight="15" x14ac:dyDescent="0.25"/>
  <cols>
    <col min="2" max="2" width="3.7109375" customWidth="1"/>
    <col min="8" max="8" width="17.7109375" customWidth="1"/>
    <col min="9" max="10" width="8.85546875" customWidth="1"/>
  </cols>
  <sheetData>
    <row r="2" spans="2:10" ht="36.6" customHeight="1" x14ac:dyDescent="0.45">
      <c r="I2" s="23"/>
      <c r="J2" s="23"/>
    </row>
    <row r="3" spans="2:10" ht="26.45" customHeight="1" x14ac:dyDescent="0.35">
      <c r="I3" s="19"/>
      <c r="J3" s="19"/>
    </row>
    <row r="4" spans="2:10" ht="20.45" customHeight="1" x14ac:dyDescent="0.25"/>
    <row r="5" spans="2:10" ht="20.45" customHeight="1" x14ac:dyDescent="0.25"/>
    <row r="6" spans="2:10" ht="20.45" customHeight="1" x14ac:dyDescent="0.25"/>
    <row r="7" spans="2:10" ht="20.45" customHeight="1" x14ac:dyDescent="0.25"/>
    <row r="8" spans="2:10" ht="20.45" customHeight="1" x14ac:dyDescent="0.25"/>
    <row r="9" spans="2:10" ht="20.45" customHeight="1" x14ac:dyDescent="0.25"/>
    <row r="10" spans="2:10" ht="20.45" customHeight="1" x14ac:dyDescent="0.25"/>
    <row r="11" spans="2:10" ht="20.45" customHeight="1" x14ac:dyDescent="0.25"/>
    <row r="12" spans="2:10" ht="20.45" customHeight="1" x14ac:dyDescent="0.25"/>
    <row r="13" spans="2:10" ht="21" x14ac:dyDescent="0.35">
      <c r="B13" s="19"/>
      <c r="C13" s="19"/>
      <c r="D13" s="19"/>
    </row>
    <row r="14" spans="2:10" ht="18.75" x14ac:dyDescent="0.3">
      <c r="C14" s="18"/>
      <c r="D14" s="18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87748-439C-4195-92D3-8A27C772401F}">
  <sheetPr>
    <tabColor rgb="FF0070C0"/>
  </sheetPr>
  <dimension ref="A2:N18"/>
  <sheetViews>
    <sheetView workbookViewId="0"/>
  </sheetViews>
  <sheetFormatPr defaultRowHeight="15" x14ac:dyDescent="0.25"/>
  <cols>
    <col min="1" max="1" width="25.140625" customWidth="1"/>
    <col min="2" max="2" width="13.85546875" customWidth="1"/>
    <col min="3" max="3" width="3.28515625" customWidth="1"/>
    <col min="4" max="4" width="22.85546875" customWidth="1"/>
    <col min="5" max="5" width="3.42578125" customWidth="1"/>
    <col min="6" max="6" width="25.140625" customWidth="1"/>
    <col min="7" max="7" width="13.85546875" customWidth="1"/>
    <col min="8" max="8" width="3.28515625" customWidth="1"/>
    <col min="9" max="9" width="22.85546875" customWidth="1"/>
    <col min="10" max="10" width="2.7109375" customWidth="1"/>
    <col min="11" max="11" width="25.140625" customWidth="1"/>
    <col min="12" max="12" width="23.28515625" customWidth="1"/>
    <col min="13" max="13" width="4" customWidth="1"/>
    <col min="14" max="14" width="22.85546875" customWidth="1"/>
  </cols>
  <sheetData>
    <row r="2" spans="1:14" ht="15.75" x14ac:dyDescent="0.25">
      <c r="A2" s="101" t="s">
        <v>108</v>
      </c>
      <c r="B2" s="101"/>
      <c r="C2" s="102"/>
      <c r="D2" s="102"/>
      <c r="E2" s="102"/>
      <c r="F2" s="102"/>
    </row>
    <row r="4" spans="1:14" ht="15.75" x14ac:dyDescent="0.25">
      <c r="A4" s="103" t="s">
        <v>107</v>
      </c>
      <c r="F4" s="103" t="s">
        <v>76</v>
      </c>
      <c r="K4" s="103" t="s">
        <v>70</v>
      </c>
    </row>
    <row r="6" spans="1:14" x14ac:dyDescent="0.25">
      <c r="A6" s="92" t="s">
        <v>106</v>
      </c>
      <c r="B6" s="1">
        <v>5.7299999999999997E-2</v>
      </c>
      <c r="F6" s="92" t="s">
        <v>106</v>
      </c>
      <c r="G6" s="1">
        <v>5.7299999999999997E-2</v>
      </c>
      <c r="K6" s="92" t="s">
        <v>106</v>
      </c>
      <c r="L6" s="1">
        <v>5.7299999999999997E-2</v>
      </c>
    </row>
    <row r="7" spans="1:14" x14ac:dyDescent="0.25">
      <c r="A7" s="87"/>
      <c r="F7" s="87"/>
      <c r="K7" s="87"/>
    </row>
    <row r="8" spans="1:14" ht="31.5" x14ac:dyDescent="0.25">
      <c r="A8" s="99" t="s">
        <v>104</v>
      </c>
      <c r="B8" s="100" t="s">
        <v>105</v>
      </c>
      <c r="F8" s="99" t="s">
        <v>104</v>
      </c>
      <c r="G8" s="100" t="s">
        <v>105</v>
      </c>
      <c r="K8" s="97" t="s">
        <v>104</v>
      </c>
      <c r="L8" s="98" t="s">
        <v>105</v>
      </c>
    </row>
    <row r="9" spans="1:14" x14ac:dyDescent="0.25">
      <c r="A9" s="90">
        <v>20345.98</v>
      </c>
      <c r="B9" s="91">
        <f>ROUND(A9*$B$6,2)</f>
        <v>1165.82</v>
      </c>
      <c r="D9" t="str">
        <f ca="1">IF(_xlfn.ISFORMULA(B9), _xlfn.FORMULATEXT(B9),"")</f>
        <v>=ROUND(A9*$B$6,2)</v>
      </c>
      <c r="F9" s="90">
        <v>20345.98</v>
      </c>
      <c r="G9" s="91" cm="1">
        <f t="array" ref="G9:G12">ROUND(F9:F12*G6,2)</f>
        <v>1165.82</v>
      </c>
      <c r="I9" t="str">
        <f ca="1">IF(_xlfn.ISFORMULA(G9), _xlfn.FORMULATEXT(G9),"")</f>
        <v>=ROUND(F9:F12*G6,2)</v>
      </c>
      <c r="K9" s="90">
        <v>20345.98</v>
      </c>
      <c r="L9" s="91">
        <f>ROUND(SalesCommission[[#This Row],[Sales Amount]]*$L$6,2)</f>
        <v>1165.82</v>
      </c>
      <c r="N9" t="str">
        <f ca="1">IF(_xlfn.ISFORMULA(L9), _xlfn.FORMULATEXT(L9),"")</f>
        <v>=ROUND([@[Sales Amount]]*$L$6,2)</v>
      </c>
    </row>
    <row r="10" spans="1:14" x14ac:dyDescent="0.25">
      <c r="A10" s="90">
        <v>52345.49</v>
      </c>
      <c r="B10" s="91">
        <f t="shared" ref="B10:B12" si="0">ROUND(A10*$B$6,2)</f>
        <v>2999.4</v>
      </c>
      <c r="F10" s="90">
        <v>52345.49</v>
      </c>
      <c r="G10" s="91">
        <v>2999.4</v>
      </c>
      <c r="K10" s="90">
        <v>52345.49</v>
      </c>
      <c r="L10" s="91">
        <f>ROUND(SalesCommission[[#This Row],[Sales Amount]]*$L$6,2)</f>
        <v>2999.4</v>
      </c>
    </row>
    <row r="11" spans="1:14" x14ac:dyDescent="0.25">
      <c r="A11" s="90">
        <v>37235.800000000003</v>
      </c>
      <c r="B11" s="91">
        <f t="shared" si="0"/>
        <v>2133.61</v>
      </c>
      <c r="F11" s="90">
        <v>37235.800000000003</v>
      </c>
      <c r="G11" s="91">
        <v>2133.61</v>
      </c>
      <c r="K11" s="90">
        <v>37235.800000000003</v>
      </c>
      <c r="L11" s="91">
        <f>ROUND(SalesCommission[[#This Row],[Sales Amount]]*$L$6,2)</f>
        <v>2133.61</v>
      </c>
    </row>
    <row r="12" spans="1:14" x14ac:dyDescent="0.25">
      <c r="A12" s="90">
        <v>49541.120000000003</v>
      </c>
      <c r="B12" s="91">
        <f t="shared" si="0"/>
        <v>2838.71</v>
      </c>
      <c r="F12" s="90">
        <v>49541.120000000003</v>
      </c>
      <c r="G12" s="91">
        <v>2838.71</v>
      </c>
      <c r="I12" t="str">
        <f ca="1">IF(_xlfn.ISFORMULA(G12), _xlfn.FORMULATEXT(G12),"")</f>
        <v/>
      </c>
      <c r="K12" s="136">
        <v>49541.120000000003</v>
      </c>
      <c r="L12" s="137">
        <f>ROUND(SalesCommission[[#This Row],[Sales Amount]]*$L$6,2)</f>
        <v>2838.71</v>
      </c>
      <c r="N12" t="str">
        <f ca="1">IF(_xlfn.ISFORMULA(L12), _xlfn.FORMULATEXT(L12),"")</f>
        <v>=ROUND([@[Sales Amount]]*$L$6,2)</v>
      </c>
    </row>
    <row r="13" spans="1:14" x14ac:dyDescent="0.25">
      <c r="B13" s="106"/>
      <c r="G13" s="106"/>
    </row>
    <row r="15" spans="1:14" ht="15.75" x14ac:dyDescent="0.25">
      <c r="A15" s="103" t="s">
        <v>109</v>
      </c>
      <c r="F15" s="103" t="s">
        <v>115</v>
      </c>
      <c r="K15" s="103" t="s">
        <v>109</v>
      </c>
    </row>
    <row r="16" spans="1:14" x14ac:dyDescent="0.25">
      <c r="A16" t="s">
        <v>110</v>
      </c>
      <c r="F16" t="s">
        <v>113</v>
      </c>
      <c r="K16" t="s">
        <v>116</v>
      </c>
    </row>
    <row r="17" spans="1:11" x14ac:dyDescent="0.25">
      <c r="A17" t="s">
        <v>111</v>
      </c>
      <c r="F17" t="s">
        <v>114</v>
      </c>
      <c r="K17" t="s">
        <v>117</v>
      </c>
    </row>
    <row r="18" spans="1:11" x14ac:dyDescent="0.25">
      <c r="A18" t="s">
        <v>112</v>
      </c>
      <c r="F18" t="s">
        <v>77</v>
      </c>
      <c r="K18" t="s">
        <v>118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FB7FF-8B37-451D-A2A4-0A1691BB72B3}">
  <sheetPr>
    <tabColor rgb="FFFFFF00"/>
  </sheetPr>
  <dimension ref="A2:N17"/>
  <sheetViews>
    <sheetView workbookViewId="0"/>
  </sheetViews>
  <sheetFormatPr defaultRowHeight="15" x14ac:dyDescent="0.25"/>
  <cols>
    <col min="1" max="1" width="25.140625" customWidth="1"/>
    <col min="2" max="2" width="13.85546875" customWidth="1"/>
    <col min="3" max="3" width="3.85546875" customWidth="1"/>
    <col min="4" max="4" width="22.85546875" customWidth="1"/>
    <col min="5" max="5" width="3" customWidth="1"/>
    <col min="6" max="6" width="25.140625" customWidth="1"/>
    <col min="7" max="7" width="13.85546875" customWidth="1"/>
    <col min="8" max="8" width="3.140625" customWidth="1"/>
    <col min="9" max="9" width="22.85546875" customWidth="1"/>
    <col min="10" max="10" width="2.7109375" customWidth="1"/>
    <col min="11" max="11" width="25.140625" customWidth="1"/>
    <col min="12" max="12" width="23.28515625" customWidth="1"/>
    <col min="13" max="13" width="2.5703125" customWidth="1"/>
    <col min="14" max="14" width="34.140625" customWidth="1"/>
  </cols>
  <sheetData>
    <row r="2" spans="1:14" ht="15.75" x14ac:dyDescent="0.25">
      <c r="A2" s="101" t="s">
        <v>108</v>
      </c>
      <c r="B2" s="101"/>
      <c r="C2" s="102"/>
      <c r="D2" s="102"/>
      <c r="E2" s="102"/>
      <c r="F2" s="102"/>
    </row>
    <row r="4" spans="1:14" ht="15.75" x14ac:dyDescent="0.25">
      <c r="A4" s="103" t="s">
        <v>107</v>
      </c>
      <c r="F4" s="103" t="s">
        <v>76</v>
      </c>
      <c r="K4" s="103" t="s">
        <v>70</v>
      </c>
    </row>
    <row r="6" spans="1:14" x14ac:dyDescent="0.25">
      <c r="A6" s="92" t="s">
        <v>106</v>
      </c>
      <c r="B6" s="1">
        <v>5.7299999999999997E-2</v>
      </c>
      <c r="F6" s="92" t="s">
        <v>106</v>
      </c>
      <c r="G6" s="1">
        <v>5.7299999999999997E-2</v>
      </c>
      <c r="K6" s="92" t="s">
        <v>106</v>
      </c>
      <c r="L6" s="1">
        <v>5.7299999999999997E-2</v>
      </c>
    </row>
    <row r="7" spans="1:14" x14ac:dyDescent="0.25">
      <c r="A7" s="87"/>
      <c r="F7" s="87"/>
      <c r="K7" s="87"/>
    </row>
    <row r="8" spans="1:14" ht="31.5" x14ac:dyDescent="0.25">
      <c r="A8" s="99" t="s">
        <v>104</v>
      </c>
      <c r="B8" s="100" t="s">
        <v>105</v>
      </c>
      <c r="F8" s="99" t="s">
        <v>104</v>
      </c>
      <c r="G8" s="100" t="s">
        <v>105</v>
      </c>
      <c r="K8" s="97" t="s">
        <v>104</v>
      </c>
      <c r="L8" s="98" t="s">
        <v>105</v>
      </c>
    </row>
    <row r="9" spans="1:14" x14ac:dyDescent="0.25">
      <c r="A9" s="90">
        <v>20345.98</v>
      </c>
      <c r="B9" s="91">
        <f>ROUND(A9*$B$6,2)</f>
        <v>1165.82</v>
      </c>
      <c r="D9" t="str">
        <f ca="1">IF(_xlfn.ISFORMULA(B9), _xlfn.FORMULATEXT(B9),"")</f>
        <v>=ROUND(A9*$B$6,2)</v>
      </c>
      <c r="F9" s="90">
        <v>20345.98</v>
      </c>
      <c r="G9" s="91" cm="1">
        <f t="array" ref="G9:G12">ROUND(F9:F12*G6,2)</f>
        <v>1165.82</v>
      </c>
      <c r="I9" t="str">
        <f ca="1">IF(_xlfn.ISFORMULA(G9), _xlfn.FORMULATEXT(G9),"")</f>
        <v>=ROUND(F9:F12*G6,2)</v>
      </c>
      <c r="K9" s="93">
        <v>20345.98</v>
      </c>
      <c r="L9" s="94">
        <f>ROUND(SalesCommissionans[[#This Row],[Sales Amount]]*$L$6,2)</f>
        <v>1165.82</v>
      </c>
      <c r="N9" t="str">
        <f ca="1">IF(_xlfn.ISFORMULA(L9), _xlfn.FORMULATEXT(L9),"")</f>
        <v>=ROUND([@[Sales Amount]]*$L$6,2)</v>
      </c>
    </row>
    <row r="10" spans="1:14" x14ac:dyDescent="0.25">
      <c r="A10" s="90">
        <v>52345.49</v>
      </c>
      <c r="B10" s="91">
        <f t="shared" ref="B10:B12" si="0">ROUND(A10*$B$6,2)</f>
        <v>2999.4</v>
      </c>
      <c r="F10" s="90">
        <v>52345.49</v>
      </c>
      <c r="G10" s="91">
        <v>2999.4</v>
      </c>
      <c r="K10" s="93">
        <v>52345.49</v>
      </c>
      <c r="L10" s="94">
        <f>ROUND(SalesCommissionans[[#This Row],[Sales Amount]]*$L$6,2)</f>
        <v>2999.4</v>
      </c>
    </row>
    <row r="11" spans="1:14" x14ac:dyDescent="0.25">
      <c r="A11" s="90">
        <v>37235.800000000003</v>
      </c>
      <c r="B11" s="91">
        <f t="shared" si="0"/>
        <v>2133.61</v>
      </c>
      <c r="F11" s="90">
        <v>37235.800000000003</v>
      </c>
      <c r="G11" s="91">
        <v>2133.61</v>
      </c>
      <c r="K11" s="93">
        <v>37235.800000000003</v>
      </c>
      <c r="L11" s="94">
        <f>ROUND(SalesCommissionans[[#This Row],[Sales Amount]]*$L$6,2)</f>
        <v>2133.61</v>
      </c>
    </row>
    <row r="12" spans="1:14" x14ac:dyDescent="0.25">
      <c r="A12" s="90">
        <v>49541.120000000003</v>
      </c>
      <c r="B12" s="91">
        <f t="shared" si="0"/>
        <v>2838.71</v>
      </c>
      <c r="F12" s="90">
        <v>49541.120000000003</v>
      </c>
      <c r="G12" s="91">
        <v>2838.71</v>
      </c>
      <c r="I12" t="str">
        <f ca="1">IF(_xlfn.ISFORMULA(G12), _xlfn.FORMULATEXT(G12),"")</f>
        <v/>
      </c>
      <c r="K12" s="95">
        <v>49541.120000000003</v>
      </c>
      <c r="L12" s="96">
        <f>ROUND(SalesCommissionans[[#This Row],[Sales Amount]]*$L$6,2)</f>
        <v>2838.71</v>
      </c>
    </row>
    <row r="14" spans="1:14" ht="15.75" x14ac:dyDescent="0.25">
      <c r="A14" s="103" t="s">
        <v>109</v>
      </c>
      <c r="F14" s="103" t="s">
        <v>115</v>
      </c>
      <c r="K14" s="103" t="s">
        <v>109</v>
      </c>
    </row>
    <row r="15" spans="1:14" x14ac:dyDescent="0.25">
      <c r="A15" t="s">
        <v>110</v>
      </c>
      <c r="F15" t="s">
        <v>113</v>
      </c>
      <c r="K15" t="s">
        <v>116</v>
      </c>
    </row>
    <row r="16" spans="1:14" x14ac:dyDescent="0.25">
      <c r="A16" t="s">
        <v>111</v>
      </c>
      <c r="F16" t="s">
        <v>114</v>
      </c>
      <c r="K16" t="s">
        <v>117</v>
      </c>
    </row>
    <row r="17" spans="1:11" x14ac:dyDescent="0.25">
      <c r="A17" t="s">
        <v>112</v>
      </c>
      <c r="F17" t="s">
        <v>77</v>
      </c>
      <c r="K17" t="s">
        <v>118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E7DC8-126A-4F30-8752-6353D746E499}">
  <sheetPr>
    <tabColor rgb="FF0070C0"/>
  </sheetPr>
  <dimension ref="A1:P41"/>
  <sheetViews>
    <sheetView workbookViewId="0"/>
  </sheetViews>
  <sheetFormatPr defaultRowHeight="15" x14ac:dyDescent="0.25"/>
  <cols>
    <col min="1" max="1" width="17" customWidth="1"/>
    <col min="2" max="2" width="11.7109375" customWidth="1"/>
    <col min="3" max="3" width="17" customWidth="1"/>
    <col min="4" max="4" width="19.5703125" customWidth="1"/>
    <col min="5" max="5" width="16.42578125" customWidth="1"/>
    <col min="6" max="6" width="5.85546875" customWidth="1"/>
    <col min="7" max="7" width="17.28515625" customWidth="1"/>
    <col min="8" max="8" width="25.28515625" customWidth="1"/>
    <col min="9" max="9" width="3.85546875" customWidth="1"/>
    <col min="10" max="10" width="31.42578125" customWidth="1"/>
    <col min="11" max="11" width="26.7109375" customWidth="1"/>
    <col min="12" max="12" width="21.140625" customWidth="1"/>
    <col min="13" max="13" width="25.5703125" customWidth="1"/>
    <col min="14" max="14" width="3.140625" customWidth="1"/>
    <col min="15" max="15" width="17.7109375" customWidth="1"/>
    <col min="16" max="16" width="13.5703125" customWidth="1"/>
    <col min="17" max="17" width="9.5703125" bestFit="1" customWidth="1"/>
    <col min="18" max="18" width="11.5703125" customWidth="1"/>
  </cols>
  <sheetData>
    <row r="1" spans="1:16" ht="21" x14ac:dyDescent="0.35">
      <c r="A1" s="7" t="s">
        <v>98</v>
      </c>
      <c r="B1" s="6"/>
      <c r="C1" s="6"/>
      <c r="D1" s="6"/>
      <c r="E1" s="6"/>
      <c r="F1" s="6"/>
      <c r="G1" s="6"/>
      <c r="H1" s="6"/>
    </row>
    <row r="2" spans="1:16" ht="15.75" x14ac:dyDescent="0.25">
      <c r="A2" s="29" t="s">
        <v>52</v>
      </c>
      <c r="B2" s="27" t="s">
        <v>5</v>
      </c>
      <c r="C2" s="28" t="s">
        <v>11</v>
      </c>
      <c r="D2" s="30"/>
      <c r="E2" s="28"/>
      <c r="O2" s="142" t="s">
        <v>96</v>
      </c>
      <c r="P2" s="141"/>
    </row>
    <row r="3" spans="1:16" ht="15.75" x14ac:dyDescent="0.25">
      <c r="A3" s="30" t="s">
        <v>63</v>
      </c>
      <c r="B3" s="30"/>
      <c r="C3" s="30"/>
      <c r="D3" s="30"/>
      <c r="E3" s="28"/>
      <c r="G3" s="46" t="s">
        <v>55</v>
      </c>
      <c r="H3" s="45" t="s">
        <v>56</v>
      </c>
      <c r="O3" s="143" t="s">
        <v>20</v>
      </c>
      <c r="P3" s="143" t="s">
        <v>19</v>
      </c>
    </row>
    <row r="4" spans="1:16" ht="15.75" x14ac:dyDescent="0.25">
      <c r="A4" s="30" t="s">
        <v>53</v>
      </c>
      <c r="B4" s="30"/>
      <c r="C4" s="30"/>
      <c r="D4" s="30"/>
      <c r="E4" s="27"/>
      <c r="O4" t="str" cm="1">
        <f t="array" ref="O4:O6">_xlfn._xlws.SORT(_xlfn.UNIQUE(ProductCnt[Product]))</f>
        <v>Hot Wheels</v>
      </c>
      <c r="P4" t="str" cm="1">
        <f t="array" ref="P4:P6">_xlfn._xlws.SORT(_xlfn.UNIQUE(ProductCnt[SalesRep]))</f>
        <v>Cinderelli</v>
      </c>
    </row>
    <row r="5" spans="1:16" ht="15.75" x14ac:dyDescent="0.25">
      <c r="A5" s="30" t="s">
        <v>54</v>
      </c>
      <c r="B5" s="29"/>
      <c r="C5" s="30"/>
      <c r="D5" s="30"/>
      <c r="E5" s="27"/>
      <c r="G5" s="39" t="s">
        <v>42</v>
      </c>
      <c r="H5" s="39"/>
      <c r="O5" t="str">
        <v>LOL OMG Surprise</v>
      </c>
      <c r="P5" t="str">
        <v>Miles</v>
      </c>
    </row>
    <row r="6" spans="1:16" ht="15.75" x14ac:dyDescent="0.25">
      <c r="A6" s="30" t="s">
        <v>149</v>
      </c>
      <c r="B6" s="27"/>
      <c r="C6" s="28"/>
      <c r="D6" s="28"/>
      <c r="E6" s="28"/>
      <c r="G6" s="38" t="s">
        <v>20</v>
      </c>
      <c r="H6" s="38" t="s">
        <v>19</v>
      </c>
      <c r="O6" t="str">
        <v>LOL Surprise</v>
      </c>
      <c r="P6" t="str">
        <v>Tiana</v>
      </c>
    </row>
    <row r="7" spans="1:16" ht="15.75" x14ac:dyDescent="0.25">
      <c r="A7" s="30" t="s">
        <v>150</v>
      </c>
      <c r="B7" s="28"/>
      <c r="C7" s="28"/>
      <c r="D7" s="28"/>
      <c r="E7" s="28"/>
      <c r="G7" s="1" t="s">
        <v>29</v>
      </c>
      <c r="H7" s="1" t="s">
        <v>47</v>
      </c>
    </row>
    <row r="8" spans="1:16" ht="15.75" x14ac:dyDescent="0.25">
      <c r="A8" s="30" t="s">
        <v>151</v>
      </c>
      <c r="B8" s="28"/>
      <c r="C8" s="28"/>
      <c r="D8" s="28"/>
      <c r="E8" s="28"/>
      <c r="G8" s="40" t="s">
        <v>43</v>
      </c>
      <c r="H8" s="14">
        <f>COUNTIFS(ProductCnt[Product],G7,ProductCnt[SalesRep],H7)</f>
        <v>7</v>
      </c>
      <c r="J8" s="44" t="str">
        <f ca="1">IF(_xlfn.ISFORMULA(H8),_xlfn.FORMULATEXT(H8),"")</f>
        <v>=COUNTIFS(ProductCnt[Product],G7,ProductCnt[SalesRep],H7)</v>
      </c>
    </row>
    <row r="9" spans="1:16" ht="15.75" x14ac:dyDescent="0.25">
      <c r="A9" s="30" t="s">
        <v>153</v>
      </c>
      <c r="B9" s="135"/>
      <c r="C9" s="135"/>
      <c r="D9" s="135"/>
      <c r="E9" s="135"/>
    </row>
    <row r="10" spans="1:16" ht="21" x14ac:dyDescent="0.35">
      <c r="G10" s="60" t="s">
        <v>70</v>
      </c>
      <c r="H10" s="60"/>
      <c r="K10" s="86"/>
    </row>
    <row r="11" spans="1:16" x14ac:dyDescent="0.25">
      <c r="A11" s="138" t="s">
        <v>1</v>
      </c>
      <c r="B11" s="139" t="s">
        <v>18</v>
      </c>
      <c r="C11" s="139" t="s">
        <v>19</v>
      </c>
      <c r="D11" s="139" t="s">
        <v>20</v>
      </c>
      <c r="E11" s="140" t="s">
        <v>21</v>
      </c>
    </row>
    <row r="12" spans="1:16" x14ac:dyDescent="0.25">
      <c r="A12" s="31">
        <v>45162</v>
      </c>
      <c r="B12" s="1" t="s">
        <v>24</v>
      </c>
      <c r="C12" s="1" t="s">
        <v>47</v>
      </c>
      <c r="D12" s="1" t="s">
        <v>29</v>
      </c>
      <c r="E12" s="42">
        <v>23935.3</v>
      </c>
      <c r="G12" s="49" t="s">
        <v>18</v>
      </c>
      <c r="H12" s="51" t="s">
        <v>43</v>
      </c>
    </row>
    <row r="13" spans="1:16" ht="15.75" x14ac:dyDescent="0.25">
      <c r="A13" s="31">
        <v>45161</v>
      </c>
      <c r="B13" s="1" t="s">
        <v>24</v>
      </c>
      <c r="C13" s="1" t="s">
        <v>45</v>
      </c>
      <c r="D13" s="1" t="s">
        <v>27</v>
      </c>
      <c r="E13" s="42">
        <v>46241.84</v>
      </c>
      <c r="G13" s="50" t="s">
        <v>24</v>
      </c>
      <c r="H13" s="54">
        <f>COUNTIFS(ProductCnt[Product],$G$7,ProductCnt[SalesRep],$H$7,ProductCnt[Region],RegionCount[[#This Row],[Region]])</f>
        <v>3</v>
      </c>
      <c r="J13" s="44" t="str">
        <f ca="1">IF(_xlfn.ISFORMULA(H13),_xlfn.FORMULATEXT(H13),"")</f>
        <v>=COUNTIFS(ProductCnt[Product],$G$7,ProductCnt[SalesRep],$H$7,ProductCnt[Region],[@Region])</v>
      </c>
    </row>
    <row r="14" spans="1:16" ht="15.75" x14ac:dyDescent="0.25">
      <c r="A14" s="31">
        <v>45145</v>
      </c>
      <c r="B14" s="1" t="s">
        <v>25</v>
      </c>
      <c r="C14" s="1" t="s">
        <v>2</v>
      </c>
      <c r="D14" s="1" t="s">
        <v>27</v>
      </c>
      <c r="E14" s="42">
        <v>20003.13</v>
      </c>
      <c r="G14" s="50" t="s">
        <v>65</v>
      </c>
      <c r="H14" s="54">
        <f>COUNTIFS(ProductCnt[Product],$G$7,ProductCnt[SalesRep],$H$7,ProductCnt[Region],RegionCount[[#This Row],[Region]])</f>
        <v>1</v>
      </c>
      <c r="J14" s="30" t="s">
        <v>165</v>
      </c>
      <c r="K14" s="28"/>
      <c r="L14" s="28"/>
    </row>
    <row r="15" spans="1:16" x14ac:dyDescent="0.25">
      <c r="A15" s="31">
        <v>45149</v>
      </c>
      <c r="B15" s="1" t="s">
        <v>25</v>
      </c>
      <c r="C15" s="1" t="s">
        <v>2</v>
      </c>
      <c r="D15" s="1" t="s">
        <v>29</v>
      </c>
      <c r="E15" s="42">
        <v>24148.61</v>
      </c>
      <c r="G15" s="50" t="s">
        <v>23</v>
      </c>
      <c r="H15" s="54">
        <f>COUNTIFS(ProductCnt[Product],$G$7,ProductCnt[SalesRep],$H$7,ProductCnt[Region],RegionCount[[#This Row],[Region]])</f>
        <v>1</v>
      </c>
    </row>
    <row r="16" spans="1:16" x14ac:dyDescent="0.25">
      <c r="A16" s="31">
        <v>45164</v>
      </c>
      <c r="B16" s="1" t="s">
        <v>24</v>
      </c>
      <c r="C16" s="1" t="s">
        <v>47</v>
      </c>
      <c r="D16" s="1" t="s">
        <v>29</v>
      </c>
      <c r="E16" s="42">
        <v>43173.32</v>
      </c>
      <c r="G16" s="34" t="s">
        <v>25</v>
      </c>
      <c r="H16" s="55">
        <f>COUNTIFS(ProductCnt[Product],$G$7,ProductCnt[SalesRep],$H$7,ProductCnt[Region],RegionCount[[#This Row],[Region]])</f>
        <v>2</v>
      </c>
    </row>
    <row r="17" spans="1:7" x14ac:dyDescent="0.25">
      <c r="A17" s="31">
        <v>45160</v>
      </c>
      <c r="B17" s="1" t="s">
        <v>23</v>
      </c>
      <c r="C17" s="1" t="s">
        <v>47</v>
      </c>
      <c r="D17" s="1" t="s">
        <v>28</v>
      </c>
      <c r="E17" s="42">
        <v>23553.65</v>
      </c>
    </row>
    <row r="18" spans="1:7" x14ac:dyDescent="0.25">
      <c r="A18" s="31">
        <v>45164</v>
      </c>
      <c r="B18" s="1" t="s">
        <v>25</v>
      </c>
      <c r="C18" s="1" t="s">
        <v>2</v>
      </c>
      <c r="D18" s="1" t="s">
        <v>29</v>
      </c>
      <c r="E18" s="42">
        <v>26863.98</v>
      </c>
      <c r="G18" s="10" t="s">
        <v>71</v>
      </c>
    </row>
    <row r="19" spans="1:7" x14ac:dyDescent="0.25">
      <c r="A19" s="31">
        <v>45153</v>
      </c>
      <c r="B19" s="1" t="s">
        <v>65</v>
      </c>
      <c r="C19" s="1" t="s">
        <v>47</v>
      </c>
      <c r="D19" s="1" t="s">
        <v>28</v>
      </c>
      <c r="E19" s="42">
        <v>35320.76</v>
      </c>
      <c r="G19" t="s">
        <v>72</v>
      </c>
    </row>
    <row r="20" spans="1:7" x14ac:dyDescent="0.25">
      <c r="A20" s="31">
        <v>45144</v>
      </c>
      <c r="B20" s="1" t="s">
        <v>25</v>
      </c>
      <c r="C20" s="1" t="s">
        <v>45</v>
      </c>
      <c r="D20" s="1" t="s">
        <v>29</v>
      </c>
      <c r="E20" s="42">
        <v>15196.59</v>
      </c>
      <c r="G20" t="s">
        <v>73</v>
      </c>
    </row>
    <row r="21" spans="1:7" x14ac:dyDescent="0.25">
      <c r="A21" s="31">
        <v>45149</v>
      </c>
      <c r="B21" s="1" t="s">
        <v>25</v>
      </c>
      <c r="C21" s="1" t="s">
        <v>2</v>
      </c>
      <c r="D21" s="1" t="s">
        <v>27</v>
      </c>
      <c r="E21" s="42">
        <v>48533.17</v>
      </c>
      <c r="G21" t="s">
        <v>74</v>
      </c>
    </row>
    <row r="22" spans="1:7" x14ac:dyDescent="0.25">
      <c r="A22" s="31">
        <v>45157</v>
      </c>
      <c r="B22" s="1" t="s">
        <v>23</v>
      </c>
      <c r="C22" s="1" t="s">
        <v>45</v>
      </c>
      <c r="D22" s="1" t="s">
        <v>27</v>
      </c>
      <c r="E22" s="42">
        <v>30517.67</v>
      </c>
    </row>
    <row r="23" spans="1:7" x14ac:dyDescent="0.25">
      <c r="A23" s="31">
        <v>45148</v>
      </c>
      <c r="B23" s="1" t="s">
        <v>23</v>
      </c>
      <c r="C23" s="1" t="s">
        <v>2</v>
      </c>
      <c r="D23" s="1" t="s">
        <v>28</v>
      </c>
      <c r="E23" s="42">
        <v>22962.38</v>
      </c>
      <c r="G23" t="s">
        <v>75</v>
      </c>
    </row>
    <row r="24" spans="1:7" x14ac:dyDescent="0.25">
      <c r="A24" s="31">
        <v>45143</v>
      </c>
      <c r="B24" s="1" t="s">
        <v>25</v>
      </c>
      <c r="C24" s="1" t="s">
        <v>45</v>
      </c>
      <c r="D24" s="1" t="s">
        <v>28</v>
      </c>
      <c r="E24" s="42">
        <v>26230.06</v>
      </c>
      <c r="G24" t="s">
        <v>152</v>
      </c>
    </row>
    <row r="25" spans="1:7" x14ac:dyDescent="0.25">
      <c r="A25" s="31">
        <v>45149</v>
      </c>
      <c r="B25" s="1" t="s">
        <v>65</v>
      </c>
      <c r="C25" s="1" t="s">
        <v>45</v>
      </c>
      <c r="D25" s="1" t="s">
        <v>27</v>
      </c>
      <c r="E25" s="42">
        <v>34445.910000000003</v>
      </c>
    </row>
    <row r="26" spans="1:7" x14ac:dyDescent="0.25">
      <c r="A26" s="31">
        <v>45148</v>
      </c>
      <c r="B26" s="1" t="s">
        <v>65</v>
      </c>
      <c r="C26" s="1" t="s">
        <v>45</v>
      </c>
      <c r="D26" s="1" t="s">
        <v>28</v>
      </c>
      <c r="E26" s="42">
        <v>41175.589999999997</v>
      </c>
    </row>
    <row r="27" spans="1:7" x14ac:dyDescent="0.25">
      <c r="A27" s="31">
        <v>45156</v>
      </c>
      <c r="B27" s="1" t="s">
        <v>25</v>
      </c>
      <c r="C27" s="1" t="s">
        <v>2</v>
      </c>
      <c r="D27" s="1" t="s">
        <v>28</v>
      </c>
      <c r="E27" s="42">
        <v>28456.15</v>
      </c>
    </row>
    <row r="28" spans="1:7" x14ac:dyDescent="0.25">
      <c r="A28" s="31">
        <v>45168</v>
      </c>
      <c r="B28" s="1" t="s">
        <v>24</v>
      </c>
      <c r="C28" s="1" t="s">
        <v>47</v>
      </c>
      <c r="D28" s="1" t="s">
        <v>29</v>
      </c>
      <c r="E28" s="42">
        <v>46883.49</v>
      </c>
    </row>
    <row r="29" spans="1:7" x14ac:dyDescent="0.25">
      <c r="A29" s="31">
        <v>45152</v>
      </c>
      <c r="B29" s="1" t="s">
        <v>25</v>
      </c>
      <c r="C29" s="1" t="s">
        <v>47</v>
      </c>
      <c r="D29" s="1" t="s">
        <v>29</v>
      </c>
      <c r="E29" s="42">
        <v>48675.77</v>
      </c>
    </row>
    <row r="30" spans="1:7" x14ac:dyDescent="0.25">
      <c r="A30" s="31">
        <v>45144</v>
      </c>
      <c r="B30" s="1" t="s">
        <v>23</v>
      </c>
      <c r="C30" s="1" t="s">
        <v>2</v>
      </c>
      <c r="D30" s="1" t="s">
        <v>27</v>
      </c>
      <c r="E30" s="42">
        <v>19604.95</v>
      </c>
    </row>
    <row r="31" spans="1:7" x14ac:dyDescent="0.25">
      <c r="A31" s="31">
        <v>45158</v>
      </c>
      <c r="B31" s="1" t="s">
        <v>23</v>
      </c>
      <c r="C31" s="1" t="s">
        <v>47</v>
      </c>
      <c r="D31" s="1" t="s">
        <v>27</v>
      </c>
      <c r="E31" s="42">
        <v>48922.29</v>
      </c>
    </row>
    <row r="32" spans="1:7" x14ac:dyDescent="0.25">
      <c r="A32" s="31">
        <v>45169</v>
      </c>
      <c r="B32" s="1" t="s">
        <v>25</v>
      </c>
      <c r="C32" s="1" t="s">
        <v>2</v>
      </c>
      <c r="D32" s="1" t="s">
        <v>29</v>
      </c>
      <c r="E32" s="42">
        <v>42727.99</v>
      </c>
    </row>
    <row r="33" spans="1:5" x14ac:dyDescent="0.25">
      <c r="A33" s="31">
        <v>45140</v>
      </c>
      <c r="B33" s="1" t="s">
        <v>24</v>
      </c>
      <c r="C33" s="1" t="s">
        <v>45</v>
      </c>
      <c r="D33" s="1" t="s">
        <v>28</v>
      </c>
      <c r="E33" s="42">
        <v>21408.69</v>
      </c>
    </row>
    <row r="34" spans="1:5" x14ac:dyDescent="0.25">
      <c r="A34" s="31">
        <v>45141</v>
      </c>
      <c r="B34" s="1" t="s">
        <v>24</v>
      </c>
      <c r="C34" s="1" t="s">
        <v>45</v>
      </c>
      <c r="D34" s="1" t="s">
        <v>27</v>
      </c>
      <c r="E34" s="42">
        <v>24455.63</v>
      </c>
    </row>
    <row r="35" spans="1:5" x14ac:dyDescent="0.25">
      <c r="A35" s="31">
        <v>45146</v>
      </c>
      <c r="B35" s="1" t="s">
        <v>65</v>
      </c>
      <c r="C35" s="1" t="s">
        <v>2</v>
      </c>
      <c r="D35" s="1" t="s">
        <v>29</v>
      </c>
      <c r="E35" s="42">
        <v>28107.26</v>
      </c>
    </row>
    <row r="36" spans="1:5" x14ac:dyDescent="0.25">
      <c r="A36" s="31">
        <v>45164</v>
      </c>
      <c r="B36" s="1" t="s">
        <v>24</v>
      </c>
      <c r="C36" s="1" t="s">
        <v>45</v>
      </c>
      <c r="D36" s="1" t="s">
        <v>29</v>
      </c>
      <c r="E36" s="42">
        <v>45728.49</v>
      </c>
    </row>
    <row r="37" spans="1:5" x14ac:dyDescent="0.25">
      <c r="A37" s="31">
        <v>45146</v>
      </c>
      <c r="B37" s="1" t="s">
        <v>65</v>
      </c>
      <c r="C37" s="1" t="s">
        <v>47</v>
      </c>
      <c r="D37" s="1" t="s">
        <v>29</v>
      </c>
      <c r="E37" s="42">
        <v>34664.89</v>
      </c>
    </row>
    <row r="38" spans="1:5" x14ac:dyDescent="0.25">
      <c r="A38" s="31">
        <v>45166</v>
      </c>
      <c r="B38" s="1" t="s">
        <v>23</v>
      </c>
      <c r="C38" s="1" t="s">
        <v>47</v>
      </c>
      <c r="D38" s="1" t="s">
        <v>29</v>
      </c>
      <c r="E38" s="42">
        <v>19825.72</v>
      </c>
    </row>
    <row r="39" spans="1:5" x14ac:dyDescent="0.25">
      <c r="A39" s="31">
        <v>45140</v>
      </c>
      <c r="B39" s="1" t="s">
        <v>25</v>
      </c>
      <c r="C39" s="1" t="s">
        <v>47</v>
      </c>
      <c r="D39" s="1" t="s">
        <v>27</v>
      </c>
      <c r="E39" s="42">
        <v>38828.720000000001</v>
      </c>
    </row>
    <row r="40" spans="1:5" x14ac:dyDescent="0.25">
      <c r="A40" s="31">
        <v>45166</v>
      </c>
      <c r="B40" s="1" t="s">
        <v>24</v>
      </c>
      <c r="C40" s="1" t="s">
        <v>2</v>
      </c>
      <c r="D40" s="1" t="s">
        <v>27</v>
      </c>
      <c r="E40" s="42">
        <v>33850.26</v>
      </c>
    </row>
    <row r="41" spans="1:5" x14ac:dyDescent="0.25">
      <c r="A41" s="32">
        <v>45164</v>
      </c>
      <c r="B41" s="33" t="s">
        <v>25</v>
      </c>
      <c r="C41" s="33" t="s">
        <v>47</v>
      </c>
      <c r="D41" s="33" t="s">
        <v>29</v>
      </c>
      <c r="E41" s="43">
        <v>19003.09</v>
      </c>
    </row>
  </sheetData>
  <conditionalFormatting sqref="A12:E42">
    <cfRule type="expression" dxfId="4" priority="1">
      <formula>AND($D12=$G$7,$C12=$H$7)</formula>
    </cfRule>
  </conditionalFormatting>
  <dataValidations count="2">
    <dataValidation type="list" allowBlank="1" showInputMessage="1" showErrorMessage="1" sqref="G7" xr:uid="{69910F90-3622-4B4A-8E49-662B15514385}">
      <formula1>$O$4:$O$6</formula1>
    </dataValidation>
    <dataValidation type="list" allowBlank="1" showInputMessage="1" showErrorMessage="1" sqref="H7" xr:uid="{A5AC3205-91BF-4C5F-A24F-C0E044E925E0}">
      <formula1>$P$4:$P$6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2B0CF-25C6-45F1-B8A9-6A907BD78845}">
  <sheetPr>
    <tabColor rgb="FFFFFF00"/>
  </sheetPr>
  <dimension ref="A1:Q41"/>
  <sheetViews>
    <sheetView zoomScale="90" zoomScaleNormal="90" workbookViewId="0"/>
  </sheetViews>
  <sheetFormatPr defaultRowHeight="15" x14ac:dyDescent="0.25"/>
  <cols>
    <col min="1" max="1" width="17" customWidth="1"/>
    <col min="2" max="2" width="11.7109375" customWidth="1"/>
    <col min="3" max="3" width="17" customWidth="1"/>
    <col min="4" max="4" width="19.5703125" customWidth="1"/>
    <col min="5" max="5" width="16.42578125" customWidth="1"/>
    <col min="6" max="6" width="3.85546875" customWidth="1"/>
    <col min="7" max="7" width="17.28515625" customWidth="1"/>
    <col min="8" max="8" width="25.28515625" customWidth="1"/>
    <col min="9" max="9" width="3.85546875" customWidth="1"/>
    <col min="10" max="10" width="30.7109375" customWidth="1"/>
    <col min="11" max="11" width="26.7109375" customWidth="1"/>
    <col min="12" max="12" width="20" customWidth="1"/>
    <col min="13" max="13" width="25.7109375" customWidth="1"/>
    <col min="14" max="14" width="3.5703125" customWidth="1"/>
    <col min="15" max="15" width="20.140625" customWidth="1"/>
    <col min="16" max="16" width="19.7109375" customWidth="1"/>
    <col min="17" max="17" width="12.7109375" customWidth="1"/>
    <col min="18" max="18" width="11.5703125" customWidth="1"/>
  </cols>
  <sheetData>
    <row r="1" spans="1:17" ht="21" x14ac:dyDescent="0.35">
      <c r="A1" s="7" t="s">
        <v>169</v>
      </c>
      <c r="B1" s="6"/>
      <c r="C1" s="6"/>
      <c r="D1" s="6"/>
      <c r="E1" s="6"/>
      <c r="F1" s="6"/>
      <c r="G1" s="6"/>
      <c r="H1" s="6"/>
    </row>
    <row r="2" spans="1:17" ht="15.75" x14ac:dyDescent="0.25">
      <c r="A2" s="29" t="s">
        <v>52</v>
      </c>
      <c r="B2" s="27" t="s">
        <v>5</v>
      </c>
      <c r="C2" s="28" t="s">
        <v>11</v>
      </c>
      <c r="D2" s="30"/>
      <c r="E2" s="28"/>
      <c r="O2" s="156" t="s">
        <v>96</v>
      </c>
      <c r="P2" s="156"/>
      <c r="Q2" s="156"/>
    </row>
    <row r="3" spans="1:17" ht="15.75" x14ac:dyDescent="0.25">
      <c r="A3" s="30" t="s">
        <v>63</v>
      </c>
      <c r="B3" s="30"/>
      <c r="C3" s="30"/>
      <c r="D3" s="30"/>
      <c r="E3" s="28"/>
      <c r="G3" s="46" t="s">
        <v>55</v>
      </c>
      <c r="H3" s="45" t="s">
        <v>56</v>
      </c>
      <c r="O3" s="133" t="s">
        <v>20</v>
      </c>
      <c r="P3" s="133" t="s">
        <v>19</v>
      </c>
      <c r="Q3" s="133" t="s">
        <v>18</v>
      </c>
    </row>
    <row r="4" spans="1:17" ht="15.75" x14ac:dyDescent="0.25">
      <c r="A4" s="30" t="s">
        <v>53</v>
      </c>
      <c r="B4" s="30"/>
      <c r="C4" s="30"/>
      <c r="D4" s="30"/>
      <c r="E4" s="27"/>
      <c r="O4" t="str" cm="1">
        <f t="array" ref="O4:O6">_xlfn._xlws.SORT(_xlfn.UNIQUE(ProductCntans[Product]))</f>
        <v>Hot Wheels</v>
      </c>
      <c r="P4" t="str" cm="1">
        <f t="array" ref="P4:P6">_xlfn._xlws.SORT(_xlfn.UNIQUE(ProductCntans[SalesRep]))</f>
        <v>Cinderelli</v>
      </c>
      <c r="Q4" t="str" cm="1">
        <f t="array" ref="Q4:Q7">_xlfn._xlws.SORT(_xlfn.UNIQUE(ProductCntans[Region]))</f>
        <v>Central</v>
      </c>
    </row>
    <row r="5" spans="1:17" ht="15.75" x14ac:dyDescent="0.25">
      <c r="A5" s="30" t="s">
        <v>54</v>
      </c>
      <c r="B5" s="29"/>
      <c r="C5" s="30"/>
      <c r="D5" s="30"/>
      <c r="E5" s="27"/>
      <c r="G5" s="39" t="s">
        <v>42</v>
      </c>
      <c r="H5" s="39"/>
      <c r="O5" t="str">
        <v>LOL OMG Surprise</v>
      </c>
      <c r="P5" t="str">
        <v>Miles</v>
      </c>
      <c r="Q5" t="str">
        <v>North</v>
      </c>
    </row>
    <row r="6" spans="1:17" ht="15.75" x14ac:dyDescent="0.25">
      <c r="A6" s="30" t="s">
        <v>149</v>
      </c>
      <c r="B6" s="27"/>
      <c r="C6" s="28"/>
      <c r="D6" s="28"/>
      <c r="E6" s="28"/>
      <c r="G6" s="38" t="s">
        <v>20</v>
      </c>
      <c r="H6" s="38" t="s">
        <v>19</v>
      </c>
      <c r="O6" t="str">
        <v>LOL Surprise</v>
      </c>
      <c r="P6" t="str">
        <v>Tiana</v>
      </c>
      <c r="Q6" t="str">
        <v>NorthWest</v>
      </c>
    </row>
    <row r="7" spans="1:17" ht="15.75" x14ac:dyDescent="0.25">
      <c r="A7" s="30" t="s">
        <v>150</v>
      </c>
      <c r="B7" s="28"/>
      <c r="C7" s="28"/>
      <c r="D7" s="28"/>
      <c r="E7" s="28"/>
      <c r="G7" s="1" t="s">
        <v>29</v>
      </c>
      <c r="H7" s="1" t="s">
        <v>47</v>
      </c>
      <c r="Q7" t="str">
        <v>South</v>
      </c>
    </row>
    <row r="8" spans="1:17" ht="15.75" x14ac:dyDescent="0.25">
      <c r="A8" s="30" t="s">
        <v>151</v>
      </c>
      <c r="B8" s="28"/>
      <c r="C8" s="28"/>
      <c r="D8" s="28"/>
      <c r="E8" s="28"/>
      <c r="G8" s="40" t="s">
        <v>43</v>
      </c>
      <c r="H8" s="14">
        <f>COUNTIFS(ProductCntans[Product],G7,ProductCntans[SalesRep],H7)</f>
        <v>7</v>
      </c>
      <c r="J8" s="44" t="str">
        <f ca="1">IF(_xlfn.ISFORMULA(H8),_xlfn.FORMULATEXT(H8),"")</f>
        <v>=COUNTIFS(ProductCntans[Product],G7,ProductCntans[SalesRep],H7)</v>
      </c>
    </row>
    <row r="9" spans="1:17" ht="22.15" customHeight="1" x14ac:dyDescent="0.25">
      <c r="A9" s="10"/>
      <c r="C9" s="47"/>
      <c r="D9" s="47"/>
      <c r="E9" s="47"/>
    </row>
    <row r="10" spans="1:17" ht="21" x14ac:dyDescent="0.35">
      <c r="G10" s="60" t="s">
        <v>70</v>
      </c>
      <c r="H10" s="60"/>
      <c r="K10" s="8"/>
    </row>
    <row r="11" spans="1:17" ht="15.75" x14ac:dyDescent="0.25">
      <c r="A11" s="35" t="s">
        <v>1</v>
      </c>
      <c r="B11" s="36" t="s">
        <v>18</v>
      </c>
      <c r="C11" s="36" t="s">
        <v>19</v>
      </c>
      <c r="D11" s="36" t="s">
        <v>20</v>
      </c>
      <c r="E11" s="37" t="s">
        <v>21</v>
      </c>
    </row>
    <row r="12" spans="1:17" x14ac:dyDescent="0.25">
      <c r="A12" s="31">
        <v>45162</v>
      </c>
      <c r="B12" s="1" t="s">
        <v>24</v>
      </c>
      <c r="C12" s="1" t="s">
        <v>47</v>
      </c>
      <c r="D12" s="1" t="s">
        <v>29</v>
      </c>
      <c r="E12" s="42">
        <v>23935.3</v>
      </c>
      <c r="G12" s="49" t="s">
        <v>18</v>
      </c>
      <c r="H12" s="51" t="s">
        <v>43</v>
      </c>
    </row>
    <row r="13" spans="1:17" ht="15.75" x14ac:dyDescent="0.25">
      <c r="A13" s="31">
        <v>45161</v>
      </c>
      <c r="B13" s="1" t="s">
        <v>24</v>
      </c>
      <c r="C13" s="1" t="s">
        <v>45</v>
      </c>
      <c r="D13" s="1" t="s">
        <v>27</v>
      </c>
      <c r="E13" s="42">
        <v>46241.84</v>
      </c>
      <c r="G13" s="50" t="s">
        <v>24</v>
      </c>
      <c r="H13" s="54">
        <f>COUNTIFS(ProductCntans[Region],RegionCount15[[#This Row],[Region]],ProductCntans[Product],$G$7,ProductCntans[SalesRep],$H$7)</f>
        <v>3</v>
      </c>
      <c r="J13" s="44" t="str">
        <f ca="1">IF(_xlfn.ISFORMULA(H13),_xlfn.FORMULATEXT(H13),"")</f>
        <v>=COUNTIFS(ProductCntans[Region],[@Region],ProductCntans[Product],$G$7,ProductCntans[SalesRep],$H$7)</v>
      </c>
    </row>
    <row r="14" spans="1:17" ht="15.75" x14ac:dyDescent="0.25">
      <c r="A14" s="31">
        <v>45145</v>
      </c>
      <c r="B14" s="1" t="s">
        <v>25</v>
      </c>
      <c r="C14" s="1" t="s">
        <v>2</v>
      </c>
      <c r="D14" s="1" t="s">
        <v>27</v>
      </c>
      <c r="E14" s="42">
        <v>20003.13</v>
      </c>
      <c r="G14" s="50" t="s">
        <v>65</v>
      </c>
      <c r="H14" s="54">
        <f>COUNTIFS(ProductCntans[Region],RegionCount15[[#This Row],[Region]],ProductCntans[Product],$G$7,ProductCntans[SalesRep],$H$7)</f>
        <v>1</v>
      </c>
      <c r="J14" s="30" t="s">
        <v>165</v>
      </c>
      <c r="K14" s="28"/>
      <c r="L14" s="28"/>
    </row>
    <row r="15" spans="1:17" x14ac:dyDescent="0.25">
      <c r="A15" s="31">
        <v>45149</v>
      </c>
      <c r="B15" s="1" t="s">
        <v>25</v>
      </c>
      <c r="C15" s="1" t="s">
        <v>2</v>
      </c>
      <c r="D15" s="1" t="s">
        <v>29</v>
      </c>
      <c r="E15" s="42">
        <v>24148.61</v>
      </c>
      <c r="G15" s="50" t="s">
        <v>23</v>
      </c>
      <c r="H15" s="54">
        <f>COUNTIFS(ProductCntans[Region],RegionCount15[[#This Row],[Region]],ProductCntans[Product],$G$7,ProductCntans[SalesRep],$H$7)</f>
        <v>1</v>
      </c>
    </row>
    <row r="16" spans="1:17" x14ac:dyDescent="0.25">
      <c r="A16" s="31">
        <v>45164</v>
      </c>
      <c r="B16" s="1" t="s">
        <v>24</v>
      </c>
      <c r="C16" s="1" t="s">
        <v>47</v>
      </c>
      <c r="D16" s="1" t="s">
        <v>29</v>
      </c>
      <c r="E16" s="42">
        <v>43173.32</v>
      </c>
      <c r="G16" s="34" t="s">
        <v>25</v>
      </c>
      <c r="H16" s="55">
        <f>COUNTIFS(ProductCntans[Region],RegionCount15[[#This Row],[Region]],ProductCntans[Product],$G$7,ProductCntans[SalesRep],$H$7)</f>
        <v>2</v>
      </c>
    </row>
    <row r="17" spans="1:7" x14ac:dyDescent="0.25">
      <c r="A17" s="31">
        <v>45160</v>
      </c>
      <c r="B17" s="1" t="s">
        <v>23</v>
      </c>
      <c r="C17" s="1" t="s">
        <v>47</v>
      </c>
      <c r="D17" s="1" t="s">
        <v>28</v>
      </c>
      <c r="E17" s="42">
        <v>23553.65</v>
      </c>
    </row>
    <row r="18" spans="1:7" x14ac:dyDescent="0.25">
      <c r="A18" s="31">
        <v>45164</v>
      </c>
      <c r="B18" s="1" t="s">
        <v>25</v>
      </c>
      <c r="C18" s="1" t="s">
        <v>2</v>
      </c>
      <c r="D18" s="1" t="s">
        <v>29</v>
      </c>
      <c r="E18" s="42">
        <v>26863.98</v>
      </c>
      <c r="G18" s="10" t="s">
        <v>71</v>
      </c>
    </row>
    <row r="19" spans="1:7" x14ac:dyDescent="0.25">
      <c r="A19" s="31">
        <v>45153</v>
      </c>
      <c r="B19" s="1" t="s">
        <v>65</v>
      </c>
      <c r="C19" s="1" t="s">
        <v>47</v>
      </c>
      <c r="D19" s="1" t="s">
        <v>28</v>
      </c>
      <c r="E19" s="42">
        <v>35320.76</v>
      </c>
      <c r="G19" t="s">
        <v>72</v>
      </c>
    </row>
    <row r="20" spans="1:7" x14ac:dyDescent="0.25">
      <c r="A20" s="31">
        <v>45144</v>
      </c>
      <c r="B20" s="1" t="s">
        <v>25</v>
      </c>
      <c r="C20" s="1" t="s">
        <v>45</v>
      </c>
      <c r="D20" s="1" t="s">
        <v>29</v>
      </c>
      <c r="E20" s="42">
        <v>15196.59</v>
      </c>
      <c r="G20" t="s">
        <v>73</v>
      </c>
    </row>
    <row r="21" spans="1:7" x14ac:dyDescent="0.25">
      <c r="A21" s="31">
        <v>45149</v>
      </c>
      <c r="B21" s="1" t="s">
        <v>25</v>
      </c>
      <c r="C21" s="1" t="s">
        <v>2</v>
      </c>
      <c r="D21" s="1" t="s">
        <v>27</v>
      </c>
      <c r="E21" s="42">
        <v>48533.17</v>
      </c>
      <c r="G21" t="s">
        <v>74</v>
      </c>
    </row>
    <row r="22" spans="1:7" x14ac:dyDescent="0.25">
      <c r="A22" s="31">
        <v>45157</v>
      </c>
      <c r="B22" s="1" t="s">
        <v>23</v>
      </c>
      <c r="C22" s="1" t="s">
        <v>45</v>
      </c>
      <c r="D22" s="1" t="s">
        <v>27</v>
      </c>
      <c r="E22" s="42">
        <v>30517.67</v>
      </c>
    </row>
    <row r="23" spans="1:7" x14ac:dyDescent="0.25">
      <c r="A23" s="31">
        <v>45148</v>
      </c>
      <c r="B23" s="1" t="s">
        <v>23</v>
      </c>
      <c r="C23" s="1" t="s">
        <v>2</v>
      </c>
      <c r="D23" s="1" t="s">
        <v>28</v>
      </c>
      <c r="E23" s="42">
        <v>22962.38</v>
      </c>
      <c r="G23" t="s">
        <v>75</v>
      </c>
    </row>
    <row r="24" spans="1:7" x14ac:dyDescent="0.25">
      <c r="A24" s="31">
        <v>45143</v>
      </c>
      <c r="B24" s="1" t="s">
        <v>25</v>
      </c>
      <c r="C24" s="1" t="s">
        <v>45</v>
      </c>
      <c r="D24" s="1" t="s">
        <v>28</v>
      </c>
      <c r="E24" s="42">
        <v>26230.06</v>
      </c>
    </row>
    <row r="25" spans="1:7" x14ac:dyDescent="0.25">
      <c r="A25" s="31">
        <v>45149</v>
      </c>
      <c r="B25" s="1" t="s">
        <v>65</v>
      </c>
      <c r="C25" s="1" t="s">
        <v>45</v>
      </c>
      <c r="D25" s="1" t="s">
        <v>27</v>
      </c>
      <c r="E25" s="42">
        <v>34445.910000000003</v>
      </c>
    </row>
    <row r="26" spans="1:7" x14ac:dyDescent="0.25">
      <c r="A26" s="31">
        <v>45148</v>
      </c>
      <c r="B26" s="1" t="s">
        <v>65</v>
      </c>
      <c r="C26" s="1" t="s">
        <v>45</v>
      </c>
      <c r="D26" s="1" t="s">
        <v>28</v>
      </c>
      <c r="E26" s="42">
        <v>41175.589999999997</v>
      </c>
    </row>
    <row r="27" spans="1:7" x14ac:dyDescent="0.25">
      <c r="A27" s="31">
        <v>45156</v>
      </c>
      <c r="B27" s="1" t="s">
        <v>25</v>
      </c>
      <c r="C27" s="1" t="s">
        <v>2</v>
      </c>
      <c r="D27" s="1" t="s">
        <v>28</v>
      </c>
      <c r="E27" s="42">
        <v>28456.15</v>
      </c>
    </row>
    <row r="28" spans="1:7" x14ac:dyDescent="0.25">
      <c r="A28" s="31">
        <v>45168</v>
      </c>
      <c r="B28" s="1" t="s">
        <v>24</v>
      </c>
      <c r="C28" s="1" t="s">
        <v>47</v>
      </c>
      <c r="D28" s="1" t="s">
        <v>29</v>
      </c>
      <c r="E28" s="42">
        <v>46883.49</v>
      </c>
    </row>
    <row r="29" spans="1:7" x14ac:dyDescent="0.25">
      <c r="A29" s="31">
        <v>45152</v>
      </c>
      <c r="B29" s="1" t="s">
        <v>25</v>
      </c>
      <c r="C29" s="1" t="s">
        <v>47</v>
      </c>
      <c r="D29" s="1" t="s">
        <v>29</v>
      </c>
      <c r="E29" s="42">
        <v>48675.77</v>
      </c>
    </row>
    <row r="30" spans="1:7" x14ac:dyDescent="0.25">
      <c r="A30" s="31">
        <v>45144</v>
      </c>
      <c r="B30" s="1" t="s">
        <v>23</v>
      </c>
      <c r="C30" s="1" t="s">
        <v>2</v>
      </c>
      <c r="D30" s="1" t="s">
        <v>27</v>
      </c>
      <c r="E30" s="42">
        <v>19604.95</v>
      </c>
    </row>
    <row r="31" spans="1:7" x14ac:dyDescent="0.25">
      <c r="A31" s="31">
        <v>45158</v>
      </c>
      <c r="B31" s="1" t="s">
        <v>23</v>
      </c>
      <c r="C31" s="1" t="s">
        <v>47</v>
      </c>
      <c r="D31" s="1" t="s">
        <v>27</v>
      </c>
      <c r="E31" s="42">
        <v>48922.29</v>
      </c>
    </row>
    <row r="32" spans="1:7" x14ac:dyDescent="0.25">
      <c r="A32" s="31">
        <v>45169</v>
      </c>
      <c r="B32" s="1" t="s">
        <v>25</v>
      </c>
      <c r="C32" s="1" t="s">
        <v>2</v>
      </c>
      <c r="D32" s="1" t="s">
        <v>29</v>
      </c>
      <c r="E32" s="42">
        <v>42727.99</v>
      </c>
    </row>
    <row r="33" spans="1:5" x14ac:dyDescent="0.25">
      <c r="A33" s="31">
        <v>45140</v>
      </c>
      <c r="B33" s="1" t="s">
        <v>24</v>
      </c>
      <c r="C33" s="1" t="s">
        <v>45</v>
      </c>
      <c r="D33" s="1" t="s">
        <v>28</v>
      </c>
      <c r="E33" s="42">
        <v>21408.69</v>
      </c>
    </row>
    <row r="34" spans="1:5" x14ac:dyDescent="0.25">
      <c r="A34" s="31">
        <v>45141</v>
      </c>
      <c r="B34" s="1" t="s">
        <v>24</v>
      </c>
      <c r="C34" s="1" t="s">
        <v>45</v>
      </c>
      <c r="D34" s="1" t="s">
        <v>27</v>
      </c>
      <c r="E34" s="42">
        <v>24455.63</v>
      </c>
    </row>
    <row r="35" spans="1:5" x14ac:dyDescent="0.25">
      <c r="A35" s="31">
        <v>45146</v>
      </c>
      <c r="B35" s="1" t="s">
        <v>65</v>
      </c>
      <c r="C35" s="1" t="s">
        <v>2</v>
      </c>
      <c r="D35" s="1" t="s">
        <v>29</v>
      </c>
      <c r="E35" s="42">
        <v>28107.26</v>
      </c>
    </row>
    <row r="36" spans="1:5" x14ac:dyDescent="0.25">
      <c r="A36" s="31">
        <v>45164</v>
      </c>
      <c r="B36" s="1" t="s">
        <v>24</v>
      </c>
      <c r="C36" s="1" t="s">
        <v>45</v>
      </c>
      <c r="D36" s="1" t="s">
        <v>29</v>
      </c>
      <c r="E36" s="42">
        <v>45728.49</v>
      </c>
    </row>
    <row r="37" spans="1:5" x14ac:dyDescent="0.25">
      <c r="A37" s="31">
        <v>45146</v>
      </c>
      <c r="B37" s="1" t="s">
        <v>65</v>
      </c>
      <c r="C37" s="1" t="s">
        <v>47</v>
      </c>
      <c r="D37" s="1" t="s">
        <v>29</v>
      </c>
      <c r="E37" s="42">
        <v>34664.89</v>
      </c>
    </row>
    <row r="38" spans="1:5" x14ac:dyDescent="0.25">
      <c r="A38" s="31">
        <v>45166</v>
      </c>
      <c r="B38" s="1" t="s">
        <v>23</v>
      </c>
      <c r="C38" s="1" t="s">
        <v>47</v>
      </c>
      <c r="D38" s="1" t="s">
        <v>29</v>
      </c>
      <c r="E38" s="42">
        <v>19825.72</v>
      </c>
    </row>
    <row r="39" spans="1:5" x14ac:dyDescent="0.25">
      <c r="A39" s="31">
        <v>45140</v>
      </c>
      <c r="B39" s="1" t="s">
        <v>25</v>
      </c>
      <c r="C39" s="1" t="s">
        <v>47</v>
      </c>
      <c r="D39" s="1" t="s">
        <v>27</v>
      </c>
      <c r="E39" s="42">
        <v>38828.720000000001</v>
      </c>
    </row>
    <row r="40" spans="1:5" x14ac:dyDescent="0.25">
      <c r="A40" s="31">
        <v>45166</v>
      </c>
      <c r="B40" s="1" t="s">
        <v>24</v>
      </c>
      <c r="C40" s="1" t="s">
        <v>2</v>
      </c>
      <c r="D40" s="1" t="s">
        <v>27</v>
      </c>
      <c r="E40" s="42">
        <v>33850.26</v>
      </c>
    </row>
    <row r="41" spans="1:5" x14ac:dyDescent="0.25">
      <c r="A41" s="32">
        <v>45164</v>
      </c>
      <c r="B41" s="33" t="s">
        <v>25</v>
      </c>
      <c r="C41" s="33" t="s">
        <v>47</v>
      </c>
      <c r="D41" s="33" t="s">
        <v>29</v>
      </c>
      <c r="E41" s="43">
        <v>19003.09</v>
      </c>
    </row>
  </sheetData>
  <mergeCells count="1">
    <mergeCell ref="O2:Q2"/>
  </mergeCells>
  <conditionalFormatting sqref="A12:E41">
    <cfRule type="expression" dxfId="3" priority="1">
      <formula>AND($D12=$G$7,$C12=$H$7)</formula>
    </cfRule>
  </conditionalFormatting>
  <dataValidations count="2">
    <dataValidation type="list" allowBlank="1" showInputMessage="1" showErrorMessage="1" sqref="G7" xr:uid="{94DBFEFF-A7B6-4E9F-8D3F-5DF5E328FB8E}">
      <formula1>$O$4:$O$6</formula1>
    </dataValidation>
    <dataValidation type="list" allowBlank="1" showInputMessage="1" showErrorMessage="1" sqref="H7" xr:uid="{12B07142-C60E-4FC4-A318-80589F458723}">
      <formula1>$P$4:$P$6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EF595-6A68-48FD-BC7E-782FE895645A}">
  <sheetPr>
    <tabColor rgb="FF0070C0"/>
  </sheetPr>
  <dimension ref="A1:M41"/>
  <sheetViews>
    <sheetView workbookViewId="0"/>
  </sheetViews>
  <sheetFormatPr defaultRowHeight="15" x14ac:dyDescent="0.25"/>
  <cols>
    <col min="1" max="1" width="12.7109375" customWidth="1"/>
    <col min="2" max="2" width="11.7109375" customWidth="1"/>
    <col min="3" max="3" width="17" customWidth="1"/>
    <col min="4" max="4" width="21" customWidth="1"/>
    <col min="5" max="5" width="16.42578125" customWidth="1"/>
    <col min="6" max="6" width="4.7109375" customWidth="1"/>
    <col min="7" max="7" width="17.28515625" customWidth="1"/>
    <col min="8" max="8" width="25.28515625" customWidth="1"/>
    <col min="9" max="9" width="3.85546875" customWidth="1"/>
    <col min="10" max="10" width="25.28515625" customWidth="1"/>
    <col min="11" max="11" width="20.5703125" customWidth="1"/>
    <col min="12" max="12" width="14" customWidth="1"/>
    <col min="13" max="13" width="15.42578125" customWidth="1"/>
    <col min="16" max="16" width="11" customWidth="1"/>
    <col min="17" max="17" width="9.5703125" bestFit="1" customWidth="1"/>
    <col min="18" max="18" width="11.5703125" customWidth="1"/>
  </cols>
  <sheetData>
    <row r="1" spans="1:12" ht="21" x14ac:dyDescent="0.35">
      <c r="A1" s="7" t="s">
        <v>99</v>
      </c>
      <c r="B1" s="6"/>
      <c r="C1" s="6"/>
      <c r="D1" s="6"/>
      <c r="E1" s="6"/>
      <c r="F1" s="6"/>
      <c r="G1" s="6"/>
      <c r="H1" s="6"/>
    </row>
    <row r="2" spans="1:12" ht="15.75" x14ac:dyDescent="0.25">
      <c r="A2" s="29" t="s">
        <v>52</v>
      </c>
      <c r="B2" s="30"/>
      <c r="C2" s="30"/>
      <c r="D2" s="30"/>
    </row>
    <row r="3" spans="1:12" ht="15.75" x14ac:dyDescent="0.25">
      <c r="A3" s="30" t="s">
        <v>63</v>
      </c>
      <c r="B3" s="30"/>
      <c r="C3" s="30"/>
      <c r="D3" s="30"/>
      <c r="G3" s="46" t="s">
        <v>55</v>
      </c>
      <c r="H3" s="45" t="s">
        <v>56</v>
      </c>
    </row>
    <row r="4" spans="1:12" ht="15.75" x14ac:dyDescent="0.25">
      <c r="A4" s="30" t="s">
        <v>84</v>
      </c>
      <c r="B4" s="30"/>
      <c r="C4" s="30"/>
      <c r="D4" s="30"/>
      <c r="E4" s="10"/>
      <c r="G4" s="10" t="s">
        <v>5</v>
      </c>
      <c r="H4" t="s">
        <v>11</v>
      </c>
    </row>
    <row r="5" spans="1:12" ht="15.75" x14ac:dyDescent="0.25">
      <c r="A5" s="30" t="s">
        <v>85</v>
      </c>
      <c r="B5" s="29"/>
      <c r="C5" s="30"/>
      <c r="D5" s="30"/>
      <c r="E5" s="10"/>
    </row>
    <row r="6" spans="1:12" x14ac:dyDescent="0.25">
      <c r="B6" s="10"/>
    </row>
    <row r="7" spans="1:12" ht="15.75" x14ac:dyDescent="0.25">
      <c r="G7" s="64" t="s">
        <v>83</v>
      </c>
      <c r="H7" s="64" t="s">
        <v>82</v>
      </c>
    </row>
    <row r="8" spans="1:12" ht="15.75" x14ac:dyDescent="0.25">
      <c r="B8" s="10"/>
      <c r="G8" s="40" t="s">
        <v>43</v>
      </c>
      <c r="H8" s="14">
        <f>COUNTIFS(RegionSalesCnt[Revenue],H7)</f>
        <v>9</v>
      </c>
      <c r="J8" s="44" t="str">
        <f ca="1">IF(_xlfn.ISFORMULA(H8),_xlfn.FORMULATEXT(H8),"")</f>
        <v>=COUNTIFS(RegionSalesCnt[Revenue],H7)</v>
      </c>
    </row>
    <row r="9" spans="1:12" ht="22.15" customHeight="1" x14ac:dyDescent="0.25">
      <c r="A9" s="46"/>
      <c r="B9" s="47"/>
      <c r="C9" s="47"/>
      <c r="D9" s="47"/>
      <c r="E9" s="47"/>
    </row>
    <row r="10" spans="1:12" ht="21" x14ac:dyDescent="0.35">
      <c r="G10" s="60" t="s">
        <v>70</v>
      </c>
      <c r="H10" s="60"/>
      <c r="K10" s="8"/>
    </row>
    <row r="11" spans="1:12" x14ac:dyDescent="0.25">
      <c r="A11" s="145" t="s">
        <v>1</v>
      </c>
      <c r="B11" s="146" t="s">
        <v>18</v>
      </c>
      <c r="C11" s="146" t="s">
        <v>19</v>
      </c>
      <c r="D11" s="146" t="s">
        <v>20</v>
      </c>
      <c r="E11" s="147" t="s">
        <v>21</v>
      </c>
    </row>
    <row r="12" spans="1:12" x14ac:dyDescent="0.25">
      <c r="A12" s="31">
        <v>45162</v>
      </c>
      <c r="B12" s="1" t="s">
        <v>24</v>
      </c>
      <c r="C12" s="1" t="s">
        <v>47</v>
      </c>
      <c r="D12" s="1" t="s">
        <v>29</v>
      </c>
      <c r="E12" s="42">
        <v>23935.3</v>
      </c>
      <c r="G12" s="49" t="s">
        <v>18</v>
      </c>
      <c r="H12" s="51" t="s">
        <v>43</v>
      </c>
    </row>
    <row r="13" spans="1:12" ht="15.75" x14ac:dyDescent="0.25">
      <c r="A13" s="31">
        <v>45161</v>
      </c>
      <c r="B13" s="1" t="s">
        <v>24</v>
      </c>
      <c r="C13" s="1" t="s">
        <v>45</v>
      </c>
      <c r="D13" s="1" t="s">
        <v>27</v>
      </c>
      <c r="E13" s="42">
        <v>46241.84</v>
      </c>
      <c r="G13" s="50" t="s">
        <v>24</v>
      </c>
      <c r="H13" s="54">
        <f>COUNTIFS(RegionSalesCnt[Region],RegionCnt[[#This Row],[Region]],RegionSalesCnt[Revenue],$H$7)</f>
        <v>4</v>
      </c>
      <c r="J13" s="44" t="str">
        <f ca="1">IF(_xlfn.ISFORMULA(H13),_xlfn.FORMULATEXT(H13),"")</f>
        <v>=COUNTIFS(RegionSalesCnt[Region],[@Region],RegionSalesCnt[Revenue],$H$7)</v>
      </c>
    </row>
    <row r="14" spans="1:12" ht="15.75" x14ac:dyDescent="0.25">
      <c r="A14" s="31">
        <v>45145</v>
      </c>
      <c r="B14" s="1" t="s">
        <v>25</v>
      </c>
      <c r="C14" s="1" t="s">
        <v>2</v>
      </c>
      <c r="D14" s="1" t="s">
        <v>27</v>
      </c>
      <c r="E14" s="42">
        <v>20003.13</v>
      </c>
      <c r="G14" s="50" t="s">
        <v>65</v>
      </c>
      <c r="H14" s="54">
        <f>COUNTIFS(RegionSalesCnt[Region],RegionCnt[[#This Row],[Region]],RegionSalesCnt[Revenue],$H$7)</f>
        <v>1</v>
      </c>
      <c r="J14" s="30" t="s">
        <v>159</v>
      </c>
      <c r="K14" s="28"/>
      <c r="L14" s="28"/>
    </row>
    <row r="15" spans="1:12" x14ac:dyDescent="0.25">
      <c r="A15" s="31">
        <v>45149</v>
      </c>
      <c r="B15" s="1" t="s">
        <v>25</v>
      </c>
      <c r="C15" s="1" t="s">
        <v>2</v>
      </c>
      <c r="D15" s="1" t="s">
        <v>29</v>
      </c>
      <c r="E15" s="42">
        <v>24148.61</v>
      </c>
      <c r="G15" s="50" t="s">
        <v>23</v>
      </c>
      <c r="H15" s="54">
        <f>COUNTIFS(RegionSalesCnt[Region],RegionCnt[[#This Row],[Region]],RegionSalesCnt[Revenue],$H$7)</f>
        <v>1</v>
      </c>
    </row>
    <row r="16" spans="1:12" x14ac:dyDescent="0.25">
      <c r="A16" s="31">
        <v>45164</v>
      </c>
      <c r="B16" s="1" t="s">
        <v>24</v>
      </c>
      <c r="C16" s="1" t="s">
        <v>47</v>
      </c>
      <c r="D16" s="1" t="s">
        <v>29</v>
      </c>
      <c r="E16" s="42">
        <v>43173.32</v>
      </c>
      <c r="G16" s="34" t="s">
        <v>25</v>
      </c>
      <c r="H16" s="55">
        <f>COUNTIFS(RegionSalesCnt[Region],RegionCnt[[#This Row],[Region]],RegionSalesCnt[Revenue],$H$7)</f>
        <v>3</v>
      </c>
    </row>
    <row r="17" spans="1:13" x14ac:dyDescent="0.25">
      <c r="A17" s="31">
        <v>45160</v>
      </c>
      <c r="B17" s="1" t="s">
        <v>23</v>
      </c>
      <c r="C17" s="1" t="s">
        <v>47</v>
      </c>
      <c r="D17" s="1" t="s">
        <v>28</v>
      </c>
      <c r="E17" s="42">
        <v>23553.65</v>
      </c>
    </row>
    <row r="18" spans="1:13" x14ac:dyDescent="0.25">
      <c r="A18" s="31">
        <v>45164</v>
      </c>
      <c r="B18" s="1" t="s">
        <v>25</v>
      </c>
      <c r="C18" s="1" t="s">
        <v>2</v>
      </c>
      <c r="D18" s="1" t="s">
        <v>29</v>
      </c>
      <c r="E18" s="42">
        <v>26863.98</v>
      </c>
      <c r="G18" s="10" t="s">
        <v>71</v>
      </c>
      <c r="K18" s="63" t="s">
        <v>90</v>
      </c>
      <c r="L18" s="26"/>
      <c r="M18" s="26"/>
    </row>
    <row r="19" spans="1:13" x14ac:dyDescent="0.25">
      <c r="A19" s="31">
        <v>45153</v>
      </c>
      <c r="B19" s="1" t="s">
        <v>65</v>
      </c>
      <c r="C19" s="1" t="s">
        <v>47</v>
      </c>
      <c r="D19" s="1" t="s">
        <v>28</v>
      </c>
      <c r="E19" s="42">
        <v>35320.76</v>
      </c>
      <c r="G19" t="s">
        <v>72</v>
      </c>
      <c r="K19" s="63" t="s">
        <v>91</v>
      </c>
      <c r="L19" s="26"/>
      <c r="M19" s="26"/>
    </row>
    <row r="20" spans="1:13" x14ac:dyDescent="0.25">
      <c r="A20" s="31">
        <v>45144</v>
      </c>
      <c r="B20" s="1" t="s">
        <v>25</v>
      </c>
      <c r="C20" s="1" t="s">
        <v>45</v>
      </c>
      <c r="D20" s="1" t="s">
        <v>29</v>
      </c>
      <c r="E20" s="42">
        <v>15196.59</v>
      </c>
      <c r="G20" t="s">
        <v>73</v>
      </c>
      <c r="K20" s="63" t="s">
        <v>92</v>
      </c>
      <c r="L20" s="26"/>
      <c r="M20" s="26"/>
    </row>
    <row r="21" spans="1:13" x14ac:dyDescent="0.25">
      <c r="A21" s="31">
        <v>45149</v>
      </c>
      <c r="B21" s="1" t="s">
        <v>25</v>
      </c>
      <c r="C21" s="1" t="s">
        <v>2</v>
      </c>
      <c r="D21" s="1" t="s">
        <v>27</v>
      </c>
      <c r="E21" s="42">
        <v>48533.17</v>
      </c>
      <c r="G21" t="s">
        <v>74</v>
      </c>
      <c r="K21" s="63" t="s">
        <v>93</v>
      </c>
      <c r="L21" s="26"/>
      <c r="M21" s="26"/>
    </row>
    <row r="22" spans="1:13" x14ac:dyDescent="0.25">
      <c r="A22" s="31">
        <v>45157</v>
      </c>
      <c r="B22" s="1" t="s">
        <v>23</v>
      </c>
      <c r="C22" s="1" t="s">
        <v>45</v>
      </c>
      <c r="D22" s="1" t="s">
        <v>27</v>
      </c>
      <c r="E22" s="42">
        <v>30517.67</v>
      </c>
    </row>
    <row r="23" spans="1:13" x14ac:dyDescent="0.25">
      <c r="A23" s="31">
        <v>45148</v>
      </c>
      <c r="B23" s="1" t="s">
        <v>23</v>
      </c>
      <c r="C23" s="1" t="s">
        <v>2</v>
      </c>
      <c r="D23" s="1" t="s">
        <v>28</v>
      </c>
      <c r="E23" s="42">
        <v>22962.38</v>
      </c>
      <c r="G23" t="s">
        <v>75</v>
      </c>
    </row>
    <row r="24" spans="1:13" x14ac:dyDescent="0.25">
      <c r="A24" s="31">
        <v>45143</v>
      </c>
      <c r="B24" s="1" t="s">
        <v>25</v>
      </c>
      <c r="C24" s="1" t="s">
        <v>45</v>
      </c>
      <c r="D24" s="1" t="s">
        <v>28</v>
      </c>
      <c r="E24" s="42">
        <v>26230.06</v>
      </c>
    </row>
    <row r="25" spans="1:13" x14ac:dyDescent="0.25">
      <c r="A25" s="31">
        <v>45149</v>
      </c>
      <c r="B25" s="1" t="s">
        <v>65</v>
      </c>
      <c r="C25" s="1" t="s">
        <v>45</v>
      </c>
      <c r="D25" s="1" t="s">
        <v>27</v>
      </c>
      <c r="E25" s="42">
        <v>34445.910000000003</v>
      </c>
    </row>
    <row r="26" spans="1:13" x14ac:dyDescent="0.25">
      <c r="A26" s="31">
        <v>45148</v>
      </c>
      <c r="B26" s="1" t="s">
        <v>65</v>
      </c>
      <c r="C26" s="1" t="s">
        <v>45</v>
      </c>
      <c r="D26" s="1" t="s">
        <v>28</v>
      </c>
      <c r="E26" s="42">
        <v>41175.589999999997</v>
      </c>
    </row>
    <row r="27" spans="1:13" x14ac:dyDescent="0.25">
      <c r="A27" s="31">
        <v>45156</v>
      </c>
      <c r="B27" s="1" t="s">
        <v>25</v>
      </c>
      <c r="C27" s="1" t="s">
        <v>2</v>
      </c>
      <c r="D27" s="1" t="s">
        <v>28</v>
      </c>
      <c r="E27" s="42">
        <v>28456.15</v>
      </c>
    </row>
    <row r="28" spans="1:13" x14ac:dyDescent="0.25">
      <c r="A28" s="31">
        <v>45168</v>
      </c>
      <c r="B28" s="1" t="s">
        <v>24</v>
      </c>
      <c r="C28" s="1" t="s">
        <v>47</v>
      </c>
      <c r="D28" s="1" t="s">
        <v>29</v>
      </c>
      <c r="E28" s="42">
        <v>46883.49</v>
      </c>
    </row>
    <row r="29" spans="1:13" x14ac:dyDescent="0.25">
      <c r="A29" s="31">
        <v>45152</v>
      </c>
      <c r="B29" s="1" t="s">
        <v>25</v>
      </c>
      <c r="C29" s="1" t="s">
        <v>47</v>
      </c>
      <c r="D29" s="1" t="s">
        <v>29</v>
      </c>
      <c r="E29" s="42">
        <v>48675.77</v>
      </c>
    </row>
    <row r="30" spans="1:13" x14ac:dyDescent="0.25">
      <c r="A30" s="31">
        <v>45144</v>
      </c>
      <c r="B30" s="1" t="s">
        <v>23</v>
      </c>
      <c r="C30" s="1" t="s">
        <v>2</v>
      </c>
      <c r="D30" s="1" t="s">
        <v>27</v>
      </c>
      <c r="E30" s="42">
        <v>19604.95</v>
      </c>
    </row>
    <row r="31" spans="1:13" x14ac:dyDescent="0.25">
      <c r="A31" s="31">
        <v>45158</v>
      </c>
      <c r="B31" s="1" t="s">
        <v>23</v>
      </c>
      <c r="C31" s="1" t="s">
        <v>47</v>
      </c>
      <c r="D31" s="1" t="s">
        <v>27</v>
      </c>
      <c r="E31" s="42">
        <v>48922.29</v>
      </c>
    </row>
    <row r="32" spans="1:13" x14ac:dyDescent="0.25">
      <c r="A32" s="31">
        <v>45169</v>
      </c>
      <c r="B32" s="1" t="s">
        <v>25</v>
      </c>
      <c r="C32" s="1" t="s">
        <v>2</v>
      </c>
      <c r="D32" s="1" t="s">
        <v>29</v>
      </c>
      <c r="E32" s="42">
        <v>42727.99</v>
      </c>
    </row>
    <row r="33" spans="1:5" x14ac:dyDescent="0.25">
      <c r="A33" s="31">
        <v>45140</v>
      </c>
      <c r="B33" s="1" t="s">
        <v>24</v>
      </c>
      <c r="C33" s="1" t="s">
        <v>45</v>
      </c>
      <c r="D33" s="1" t="s">
        <v>28</v>
      </c>
      <c r="E33" s="42">
        <v>21408.69</v>
      </c>
    </row>
    <row r="34" spans="1:5" x14ac:dyDescent="0.25">
      <c r="A34" s="31">
        <v>45141</v>
      </c>
      <c r="B34" s="1" t="s">
        <v>24</v>
      </c>
      <c r="C34" s="1" t="s">
        <v>45</v>
      </c>
      <c r="D34" s="1" t="s">
        <v>27</v>
      </c>
      <c r="E34" s="42">
        <v>24455.63</v>
      </c>
    </row>
    <row r="35" spans="1:5" x14ac:dyDescent="0.25">
      <c r="A35" s="31">
        <v>45146</v>
      </c>
      <c r="B35" s="1" t="s">
        <v>65</v>
      </c>
      <c r="C35" s="1" t="s">
        <v>2</v>
      </c>
      <c r="D35" s="1" t="s">
        <v>29</v>
      </c>
      <c r="E35" s="42">
        <v>28107.26</v>
      </c>
    </row>
    <row r="36" spans="1:5" x14ac:dyDescent="0.25">
      <c r="A36" s="31">
        <v>45164</v>
      </c>
      <c r="B36" s="1" t="s">
        <v>24</v>
      </c>
      <c r="C36" s="1" t="s">
        <v>45</v>
      </c>
      <c r="D36" s="1" t="s">
        <v>29</v>
      </c>
      <c r="E36" s="42">
        <v>45728.49</v>
      </c>
    </row>
    <row r="37" spans="1:5" x14ac:dyDescent="0.25">
      <c r="A37" s="31">
        <v>45146</v>
      </c>
      <c r="B37" s="1" t="s">
        <v>65</v>
      </c>
      <c r="C37" s="1" t="s">
        <v>47</v>
      </c>
      <c r="D37" s="1" t="s">
        <v>29</v>
      </c>
      <c r="E37" s="42">
        <v>34664.89</v>
      </c>
    </row>
    <row r="38" spans="1:5" x14ac:dyDescent="0.25">
      <c r="A38" s="31">
        <v>45166</v>
      </c>
      <c r="B38" s="1" t="s">
        <v>23</v>
      </c>
      <c r="C38" s="1" t="s">
        <v>47</v>
      </c>
      <c r="D38" s="1" t="s">
        <v>29</v>
      </c>
      <c r="E38" s="42">
        <v>19825.72</v>
      </c>
    </row>
    <row r="39" spans="1:5" x14ac:dyDescent="0.25">
      <c r="A39" s="31">
        <v>45140</v>
      </c>
      <c r="B39" s="1" t="s">
        <v>25</v>
      </c>
      <c r="C39" s="1" t="s">
        <v>47</v>
      </c>
      <c r="D39" s="1" t="s">
        <v>27</v>
      </c>
      <c r="E39" s="42">
        <v>38828.720000000001</v>
      </c>
    </row>
    <row r="40" spans="1:5" x14ac:dyDescent="0.25">
      <c r="A40" s="31">
        <v>45166</v>
      </c>
      <c r="B40" s="1" t="s">
        <v>24</v>
      </c>
      <c r="C40" s="1" t="s">
        <v>2</v>
      </c>
      <c r="D40" s="1" t="s">
        <v>27</v>
      </c>
      <c r="E40" s="42">
        <v>33850.26</v>
      </c>
    </row>
    <row r="41" spans="1:5" x14ac:dyDescent="0.25">
      <c r="A41" s="32">
        <v>45164</v>
      </c>
      <c r="B41" s="33" t="s">
        <v>25</v>
      </c>
      <c r="C41" s="33" t="s">
        <v>47</v>
      </c>
      <c r="D41" s="33" t="s">
        <v>29</v>
      </c>
      <c r="E41" s="43">
        <v>19003.09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22</vt:i4>
      </vt:variant>
    </vt:vector>
  </HeadingPairs>
  <TitlesOfParts>
    <vt:vector size="45" baseType="lpstr">
      <vt:lpstr>What to Cover</vt:lpstr>
      <vt:lpstr>Video 5</vt:lpstr>
      <vt:lpstr>Video 5 - SUMIFS</vt:lpstr>
      <vt:lpstr>Notes on Types of Formulas</vt:lpstr>
      <vt:lpstr>Types of Formulas</vt:lpstr>
      <vt:lpstr>Types of Formulas (an)</vt:lpstr>
      <vt:lpstr>CountIFS 1</vt:lpstr>
      <vt:lpstr>CountIFS 1 (an)</vt:lpstr>
      <vt:lpstr>CountIFS 2</vt:lpstr>
      <vt:lpstr>CountIFS 2 (an)</vt:lpstr>
      <vt:lpstr>AverageIFS</vt:lpstr>
      <vt:lpstr>AverageIFS (an)</vt:lpstr>
      <vt:lpstr>SUMIFS</vt:lpstr>
      <vt:lpstr>SUMIFS (an)</vt:lpstr>
      <vt:lpstr>Define Names-Data Validation</vt:lpstr>
      <vt:lpstr>DefineNames-DataValidation (an)</vt:lpstr>
      <vt:lpstr>Homework&gt;&gt;&gt;&gt;&gt;</vt:lpstr>
      <vt:lpstr>HW 1</vt:lpstr>
      <vt:lpstr>HW 1 (an)</vt:lpstr>
      <vt:lpstr>HW 2</vt:lpstr>
      <vt:lpstr>HW 2 (an)</vt:lpstr>
      <vt:lpstr>HW 3</vt:lpstr>
      <vt:lpstr>HW 3 (an)</vt:lpstr>
      <vt:lpstr>DateDN</vt:lpstr>
      <vt:lpstr>DateDNans</vt:lpstr>
      <vt:lpstr>MonthlyRevDN</vt:lpstr>
      <vt:lpstr>MonthRevDNans</vt:lpstr>
      <vt:lpstr>ProductCriteriaDN</vt:lpstr>
      <vt:lpstr>ProductCriteriaDNans</vt:lpstr>
      <vt:lpstr>ProductDN</vt:lpstr>
      <vt:lpstr>ProductDNans</vt:lpstr>
      <vt:lpstr>RegionDN</vt:lpstr>
      <vt:lpstr>RegionDNans</vt:lpstr>
      <vt:lpstr>'HW 1 (an)'!RegionRevTDFans</vt:lpstr>
      <vt:lpstr>'HW 2 (an)'!RegionRevTDFans</vt:lpstr>
      <vt:lpstr>RegionRevTDFans</vt:lpstr>
      <vt:lpstr>'HW 1 (an)'!RegionRevTDNans</vt:lpstr>
      <vt:lpstr>'HW 2 (an)'!RegionRevTDNans</vt:lpstr>
      <vt:lpstr>RegionRevTDNans</vt:lpstr>
      <vt:lpstr>RevenueDN</vt:lpstr>
      <vt:lpstr>RevenueDNans</vt:lpstr>
      <vt:lpstr>SalesRepCriteriaDN</vt:lpstr>
      <vt:lpstr>SalesRepCriteriaDNans</vt:lpstr>
      <vt:lpstr>SalesRepDN</vt:lpstr>
      <vt:lpstr>SalesRepDNans</vt:lpstr>
    </vt:vector>
  </TitlesOfParts>
  <Company>Highline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Kajoka, Mary</dc:creator>
  <cp:lastModifiedBy>Kajoka, Mary</cp:lastModifiedBy>
  <cp:lastPrinted>2024-09-28T07:36:52Z</cp:lastPrinted>
  <dcterms:created xsi:type="dcterms:W3CDTF">2023-07-10T20:02:00Z</dcterms:created>
  <dcterms:modified xsi:type="dcterms:W3CDTF">2024-10-01T15:52:33Z</dcterms:modified>
</cp:coreProperties>
</file>