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1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00VideoClassStorage\135NoTextBook\Content\06BuyingSelling\StartFiles\"/>
    </mc:Choice>
  </mc:AlternateContent>
  <xr:revisionPtr revIDLastSave="0" documentId="13_ncr:1_{FDA2A02B-7CC9-487D-8975-200CB1CB89B2}" xr6:coauthVersionLast="45" xr6:coauthVersionMax="45" xr10:uidLastSave="{00000000-0000-0000-0000-000000000000}"/>
  <bookViews>
    <workbookView xWindow="-120" yWindow="-120" windowWidth="29040" windowHeight="15840" tabRatio="689" xr2:uid="{5A49B931-AE5D-4DD4-9C1F-F5B3EEA661AC}"/>
  </bookViews>
  <sheets>
    <sheet name="Cover" sheetId="2" r:id="rId1"/>
    <sheet name="Date NF &amp; Calcs" sheetId="247" r:id="rId2"/>
    <sheet name="Date NF &amp; Calcs (an)" sheetId="299" r:id="rId3"/>
    <sheet name="Invoice" sheetId="252" r:id="rId4"/>
    <sheet name="ShipTerms" sheetId="248" r:id="rId5"/>
    <sheet name="Sales Tax" sheetId="249" r:id="rId6"/>
    <sheet name="Cash Discounts" sheetId="258" r:id="rId7"/>
    <sheet name="O(1)" sheetId="255" r:id="rId8"/>
    <sheet name="O(1an)" sheetId="301" r:id="rId9"/>
    <sheet name="O(2)" sheetId="253" r:id="rId10"/>
    <sheet name="O(2an)" sheetId="266" r:id="rId11"/>
    <sheet name="O(3)" sheetId="259" r:id="rId12"/>
    <sheet name="O(3an)" sheetId="267" r:id="rId13"/>
    <sheet name="AS OF" sheetId="260" r:id="rId14"/>
    <sheet name="AS OF (an)" sheetId="268" r:id="rId15"/>
    <sheet name="ROG" sheetId="262" r:id="rId16"/>
    <sheet name="ROG (an)" sheetId="269" r:id="rId17"/>
    <sheet name="EOM" sheetId="302" r:id="rId18"/>
    <sheet name="EOM(an)" sheetId="264" r:id="rId19"/>
    <sheet name="HW ==&gt;&gt;" sheetId="65" r:id="rId20"/>
    <sheet name="HW(1-3)" sheetId="273" r:id="rId21"/>
    <sheet name="HW(1-3) (an)" sheetId="279" r:id="rId22"/>
    <sheet name="HW(4-6)" sheetId="274" r:id="rId23"/>
    <sheet name="HW(4-6) (an)" sheetId="280" r:id="rId24"/>
    <sheet name="HW(7-9)" sheetId="276" r:id="rId25"/>
    <sheet name="HW(7-9) (an)" sheetId="281" r:id="rId26"/>
    <sheet name="HW(10-12)" sheetId="278" r:id="rId27"/>
    <sheet name="HW(10-12) (an)" sheetId="282" r:id="rId28"/>
    <sheet name="HW(13)" sheetId="271" r:id="rId29"/>
    <sheet name="HW(13an)" sheetId="290" r:id="rId30"/>
    <sheet name="HW(14)" sheetId="289" r:id="rId31"/>
    <sheet name="HW(14an)" sheetId="291" r:id="rId32"/>
    <sheet name="HW(15)" sheetId="293" r:id="rId33"/>
    <sheet name="HW(15an)" sheetId="294" r:id="rId34"/>
    <sheet name="HW(16)" sheetId="285" r:id="rId35"/>
    <sheet name="HW(16an)" sheetId="295" r:id="rId36"/>
    <sheet name="HW(17)" sheetId="296" r:id="rId37"/>
    <sheet name="HW(17an)" sheetId="297" r:id="rId3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302" l="1"/>
  <c r="D25" i="302"/>
  <c r="I22" i="302"/>
  <c r="D22" i="302"/>
  <c r="I17" i="302"/>
  <c r="D17" i="302"/>
  <c r="G9" i="260"/>
  <c r="J16" i="267"/>
  <c r="G12" i="267"/>
  <c r="G11" i="267"/>
  <c r="J10" i="267"/>
  <c r="J9" i="267"/>
  <c r="J8" i="267"/>
  <c r="J7" i="267"/>
  <c r="J6" i="267"/>
  <c r="J4" i="267"/>
  <c r="H3" i="267"/>
  <c r="H5" i="267" s="1"/>
  <c r="J2" i="267"/>
  <c r="E26" i="301"/>
  <c r="E24" i="301"/>
  <c r="E23" i="301"/>
  <c r="D23" i="301"/>
  <c r="D22" i="301"/>
  <c r="E21" i="301"/>
  <c r="E22" i="301" s="1"/>
  <c r="E25" i="301" s="1"/>
  <c r="D21" i="301"/>
  <c r="E20" i="301"/>
  <c r="E19" i="301"/>
  <c r="G74" i="299"/>
  <c r="H74" i="299" s="1"/>
  <c r="G73" i="299"/>
  <c r="H73" i="299" s="1"/>
  <c r="G72" i="299"/>
  <c r="H72" i="299" s="1"/>
  <c r="G71" i="299"/>
  <c r="H71" i="299" s="1"/>
  <c r="G70" i="299"/>
  <c r="H70" i="299" s="1"/>
  <c r="G69" i="299"/>
  <c r="H69" i="299" s="1"/>
  <c r="G68" i="299"/>
  <c r="H68" i="299" s="1"/>
  <c r="G67" i="299"/>
  <c r="H67" i="299" s="1"/>
  <c r="G66" i="299"/>
  <c r="H66" i="299" s="1"/>
  <c r="G65" i="299"/>
  <c r="H65" i="299" s="1"/>
  <c r="G64" i="299"/>
  <c r="H64" i="299" s="1"/>
  <c r="G63" i="299"/>
  <c r="H63" i="299" s="1"/>
  <c r="G62" i="299"/>
  <c r="H62" i="299" s="1"/>
  <c r="G61" i="299"/>
  <c r="H61" i="299" s="1"/>
  <c r="G60" i="299"/>
  <c r="H60" i="299" s="1"/>
  <c r="G59" i="299"/>
  <c r="H59" i="299" s="1"/>
  <c r="B54" i="299"/>
  <c r="B50" i="299"/>
  <c r="B44" i="299"/>
  <c r="B39" i="299"/>
  <c r="B35" i="299"/>
  <c r="B30" i="299"/>
  <c r="B31" i="299" s="1"/>
  <c r="B27" i="299"/>
  <c r="H16" i="264"/>
  <c r="H18" i="264" s="1"/>
  <c r="H19" i="264" s="1"/>
  <c r="H20" i="264" s="1"/>
  <c r="H23" i="264" s="1"/>
  <c r="H24" i="264" s="1"/>
  <c r="H26" i="264" s="1"/>
  <c r="I26" i="302"/>
  <c r="D24" i="302"/>
  <c r="D23" i="302"/>
  <c r="I21" i="302"/>
  <c r="I20" i="302"/>
  <c r="I19" i="302"/>
  <c r="I18" i="302"/>
  <c r="D16" i="302"/>
  <c r="D26" i="302"/>
  <c r="D18" i="302"/>
  <c r="I24" i="302"/>
  <c r="D21" i="302"/>
  <c r="D20" i="302"/>
  <c r="I16" i="302"/>
  <c r="I23" i="302"/>
  <c r="D19" i="302"/>
  <c r="G25" i="301"/>
  <c r="G24" i="301"/>
  <c r="D39" i="299"/>
  <c r="J14" i="267"/>
  <c r="D44" i="299"/>
  <c r="G26" i="301"/>
  <c r="B57" i="299"/>
  <c r="D35" i="299"/>
  <c r="J11" i="267"/>
  <c r="G20" i="301"/>
  <c r="D27" i="299"/>
  <c r="G19" i="301"/>
  <c r="D30" i="299"/>
  <c r="J13" i="267"/>
  <c r="J15" i="267"/>
  <c r="G21" i="301"/>
  <c r="J3" i="267"/>
  <c r="H19" i="267"/>
  <c r="I16" i="264"/>
  <c r="J5" i="267"/>
  <c r="J12" i="267"/>
  <c r="D31" i="299"/>
  <c r="G22" i="301"/>
  <c r="G23" i="301"/>
  <c r="D50" i="299"/>
  <c r="H12" i="267" l="1"/>
  <c r="H11" i="267"/>
  <c r="H13" i="267" s="1"/>
  <c r="I17" i="264"/>
  <c r="C16" i="264"/>
  <c r="C18" i="264" s="1"/>
  <c r="C19" i="264" s="1"/>
  <c r="C20" i="264" s="1"/>
  <c r="C23" i="264" s="1"/>
  <c r="C24" i="264" s="1"/>
  <c r="C26" i="264" s="1"/>
  <c r="H5" i="269"/>
  <c r="G9" i="262"/>
  <c r="H6" i="262"/>
  <c r="G6" i="262"/>
  <c r="H6" i="260"/>
  <c r="G6" i="260"/>
  <c r="F44" i="267"/>
  <c r="F43" i="267"/>
  <c r="F42" i="267"/>
  <c r="F41" i="267"/>
  <c r="F40" i="267"/>
  <c r="F39" i="267"/>
  <c r="F38" i="267"/>
  <c r="F37" i="267"/>
  <c r="F36" i="267"/>
  <c r="F35" i="267"/>
  <c r="F34" i="267"/>
  <c r="F33" i="267"/>
  <c r="F32" i="267"/>
  <c r="F31" i="267"/>
  <c r="F30" i="267"/>
  <c r="J1" i="267"/>
  <c r="J4" i="259"/>
  <c r="J6" i="259"/>
  <c r="J7" i="259"/>
  <c r="J8" i="259"/>
  <c r="J9" i="259"/>
  <c r="J10" i="259"/>
  <c r="J16" i="259"/>
  <c r="J13" i="262"/>
  <c r="J11" i="262"/>
  <c r="J12" i="262"/>
  <c r="J10" i="262"/>
  <c r="J8" i="262"/>
  <c r="J5" i="262"/>
  <c r="J9" i="262"/>
  <c r="J13" i="260"/>
  <c r="J12" i="260"/>
  <c r="J10" i="260"/>
  <c r="J8" i="260"/>
  <c r="J11" i="260"/>
  <c r="J9" i="260"/>
  <c r="H19" i="259"/>
  <c r="J15" i="259"/>
  <c r="J14" i="259"/>
  <c r="J13" i="259"/>
  <c r="J11" i="259"/>
  <c r="J12" i="259"/>
  <c r="J5" i="259"/>
  <c r="J8" i="253"/>
  <c r="I19" i="264"/>
  <c r="I18" i="264"/>
  <c r="H21" i="264" l="1"/>
  <c r="C21" i="264"/>
  <c r="J9" i="253"/>
  <c r="G10" i="253" l="1"/>
  <c r="J10" i="253"/>
  <c r="J11" i="253"/>
  <c r="J12" i="253"/>
  <c r="J13" i="253"/>
  <c r="J14" i="253"/>
  <c r="F44" i="266"/>
  <c r="F43" i="266"/>
  <c r="F42" i="266"/>
  <c r="F41" i="266"/>
  <c r="F40" i="266"/>
  <c r="F39" i="266"/>
  <c r="F38" i="266"/>
  <c r="F37" i="266"/>
  <c r="F36" i="266"/>
  <c r="F35" i="266"/>
  <c r="F34" i="266"/>
  <c r="F33" i="266"/>
  <c r="F32" i="266"/>
  <c r="F31" i="266"/>
  <c r="F30" i="266"/>
  <c r="J15" i="266"/>
  <c r="H13" i="266"/>
  <c r="G10" i="266"/>
  <c r="H6" i="266"/>
  <c r="H9" i="266" s="1"/>
  <c r="H10" i="266" s="1"/>
  <c r="J9" i="266"/>
  <c r="J10" i="266"/>
  <c r="J16" i="266"/>
  <c r="J12" i="266"/>
  <c r="J8" i="266"/>
  <c r="J11" i="266"/>
  <c r="J14" i="266"/>
  <c r="J13" i="266"/>
  <c r="H8" i="266" l="1"/>
  <c r="J15" i="253"/>
  <c r="D23" i="255"/>
  <c r="D22" i="255"/>
  <c r="J16" i="253"/>
  <c r="C20" i="297" l="1"/>
  <c r="E19" i="297"/>
  <c r="C15" i="297"/>
  <c r="C16" i="297" s="1"/>
  <c r="C17" i="297" s="1"/>
  <c r="C18" i="297" s="1"/>
  <c r="C13" i="297"/>
  <c r="C14" i="297" s="1"/>
  <c r="B18" i="295"/>
  <c r="B19" i="295" s="1"/>
  <c r="A17" i="295"/>
  <c r="A16" i="295"/>
  <c r="D15" i="295"/>
  <c r="D14" i="295"/>
  <c r="D13" i="295"/>
  <c r="D12" i="295"/>
  <c r="D11" i="295"/>
  <c r="B10" i="295"/>
  <c r="B22" i="295" s="1"/>
  <c r="B23" i="295" s="1"/>
  <c r="B24" i="295" s="1"/>
  <c r="D8" i="295"/>
  <c r="D7" i="295"/>
  <c r="D4" i="295"/>
  <c r="E13" i="297"/>
  <c r="D19" i="295"/>
  <c r="D18" i="295"/>
  <c r="D10" i="295"/>
  <c r="D23" i="295"/>
  <c r="D17" i="295"/>
  <c r="D24" i="295"/>
  <c r="E16" i="297"/>
  <c r="E20" i="297"/>
  <c r="D22" i="295"/>
  <c r="E14" i="297"/>
  <c r="E15" i="297"/>
  <c r="E18" i="297"/>
  <c r="E17" i="297"/>
  <c r="D16" i="295"/>
  <c r="B17" i="295" l="1"/>
  <c r="B16" i="295"/>
  <c r="C22" i="294" l="1"/>
  <c r="C13" i="294"/>
  <c r="C14" i="294" s="1"/>
  <c r="C15" i="294" s="1"/>
  <c r="C16" i="294" s="1"/>
  <c r="C17" i="294" s="1"/>
  <c r="C20" i="291"/>
  <c r="E19" i="291"/>
  <c r="C15" i="291"/>
  <c r="C16" i="291" s="1"/>
  <c r="C17" i="291" s="1"/>
  <c r="C18" i="291" s="1"/>
  <c r="C14" i="291"/>
  <c r="C19" i="290"/>
  <c r="E18" i="290"/>
  <c r="C14" i="290"/>
  <c r="C15" i="290" s="1"/>
  <c r="C16" i="290" s="1"/>
  <c r="C17" i="290" s="1"/>
  <c r="C13" i="290"/>
  <c r="H7" i="282"/>
  <c r="G7" i="282"/>
  <c r="H6" i="282"/>
  <c r="G6" i="282"/>
  <c r="H5" i="282"/>
  <c r="G5" i="282"/>
  <c r="A1" i="282"/>
  <c r="F7" i="281"/>
  <c r="G7" i="281" s="1"/>
  <c r="F6" i="281"/>
  <c r="G6" i="281" s="1"/>
  <c r="F5" i="281"/>
  <c r="G5" i="281" s="1"/>
  <c r="A1" i="281"/>
  <c r="F7" i="280"/>
  <c r="G7" i="280" s="1"/>
  <c r="H7" i="280" s="1"/>
  <c r="F6" i="280"/>
  <c r="G6" i="280" s="1"/>
  <c r="H6" i="280" s="1"/>
  <c r="F5" i="280"/>
  <c r="G5" i="280" s="1"/>
  <c r="H5" i="280" s="1"/>
  <c r="A1" i="280"/>
  <c r="G7" i="279"/>
  <c r="F7" i="279"/>
  <c r="G6" i="279"/>
  <c r="F6" i="279"/>
  <c r="G5" i="279"/>
  <c r="F5" i="279"/>
  <c r="A1" i="279"/>
  <c r="A1" i="278"/>
  <c r="A1" i="276"/>
  <c r="A1" i="274"/>
  <c r="A1" i="273"/>
  <c r="I25" i="264"/>
  <c r="D25" i="264"/>
  <c r="I22" i="264"/>
  <c r="D22" i="264"/>
  <c r="D17" i="264"/>
  <c r="D21" i="255"/>
  <c r="K7" i="278"/>
  <c r="J5" i="278"/>
  <c r="K6" i="278"/>
  <c r="J6" i="278"/>
  <c r="K5" i="278"/>
  <c r="J7" i="278"/>
  <c r="J7" i="276"/>
  <c r="J5" i="276"/>
  <c r="I7" i="276"/>
  <c r="J6" i="276"/>
  <c r="I6" i="276"/>
  <c r="I5" i="276"/>
  <c r="J6" i="274"/>
  <c r="J7" i="274"/>
  <c r="J5" i="274"/>
  <c r="K6" i="274"/>
  <c r="K7" i="274"/>
  <c r="L6" i="274"/>
  <c r="L7" i="274"/>
  <c r="L5" i="274"/>
  <c r="K5" i="274"/>
  <c r="J7" i="273"/>
  <c r="I6" i="273"/>
  <c r="J6" i="273"/>
  <c r="I7" i="273"/>
  <c r="J5" i="273"/>
  <c r="I5" i="273"/>
  <c r="G26" i="255"/>
  <c r="G25" i="255"/>
  <c r="G24" i="255"/>
  <c r="G23" i="255"/>
  <c r="G22" i="255"/>
  <c r="G21" i="255"/>
  <c r="G20" i="255"/>
  <c r="G19" i="255"/>
  <c r="I24" i="264"/>
  <c r="E19" i="294"/>
  <c r="I5" i="281"/>
  <c r="J5" i="279"/>
  <c r="J7" i="281"/>
  <c r="I23" i="264"/>
  <c r="D19" i="264"/>
  <c r="E20" i="291"/>
  <c r="D18" i="264"/>
  <c r="E13" i="290"/>
  <c r="J5" i="281"/>
  <c r="I6" i="279"/>
  <c r="I26" i="264"/>
  <c r="E17" i="291"/>
  <c r="E16" i="291"/>
  <c r="I7" i="279"/>
  <c r="J7" i="280"/>
  <c r="E15" i="290"/>
  <c r="J7" i="282"/>
  <c r="E19" i="290"/>
  <c r="I20" i="264"/>
  <c r="E14" i="294"/>
  <c r="J6" i="282"/>
  <c r="I5" i="279"/>
  <c r="I21" i="264"/>
  <c r="E14" i="290"/>
  <c r="J6" i="280"/>
  <c r="E17" i="294"/>
  <c r="K6" i="282"/>
  <c r="J7" i="279"/>
  <c r="L7" i="280"/>
  <c r="I6" i="281"/>
  <c r="J6" i="281"/>
  <c r="E13" i="294"/>
  <c r="D16" i="264"/>
  <c r="D23" i="264"/>
  <c r="L6" i="280"/>
  <c r="E15" i="294"/>
  <c r="I7" i="281"/>
  <c r="E15" i="291"/>
  <c r="E20" i="294"/>
  <c r="K7" i="282"/>
  <c r="K6" i="280"/>
  <c r="E22" i="294"/>
  <c r="J6" i="279"/>
  <c r="D24" i="264"/>
  <c r="K7" i="280"/>
  <c r="J5" i="280"/>
  <c r="D21" i="264"/>
  <c r="E18" i="294"/>
  <c r="E14" i="291"/>
  <c r="K5" i="280"/>
  <c r="L5" i="280"/>
  <c r="J5" i="282"/>
  <c r="D26" i="264"/>
  <c r="K5" i="282"/>
  <c r="E17" i="290"/>
  <c r="E18" i="291"/>
  <c r="D20" i="264"/>
  <c r="E16" i="290"/>
  <c r="E16" i="294"/>
  <c r="C18" i="294" l="1"/>
  <c r="C19" i="294" s="1"/>
  <c r="C20" i="294" s="1"/>
  <c r="F44" i="269" l="1"/>
  <c r="F43" i="269"/>
  <c r="F42" i="269"/>
  <c r="F41" i="269"/>
  <c r="F40" i="269"/>
  <c r="F39" i="269"/>
  <c r="F38" i="269"/>
  <c r="F37" i="269"/>
  <c r="F36" i="269"/>
  <c r="F35" i="269"/>
  <c r="F34" i="269"/>
  <c r="F33" i="269"/>
  <c r="F32" i="269"/>
  <c r="F31" i="269"/>
  <c r="F30" i="269"/>
  <c r="D15" i="269"/>
  <c r="E15" i="269" s="1"/>
  <c r="D14" i="269"/>
  <c r="E14" i="269" s="1"/>
  <c r="D13" i="269"/>
  <c r="E13" i="269" s="1"/>
  <c r="H12" i="269"/>
  <c r="D12" i="269"/>
  <c r="E12" i="269" s="1"/>
  <c r="D11" i="269"/>
  <c r="E11" i="269" s="1"/>
  <c r="G9" i="269"/>
  <c r="H6" i="269"/>
  <c r="G6" i="269"/>
  <c r="F44" i="268"/>
  <c r="F43" i="268"/>
  <c r="F42" i="268"/>
  <c r="F41" i="268"/>
  <c r="F40" i="268"/>
  <c r="F39" i="268"/>
  <c r="F38" i="268"/>
  <c r="F37" i="268"/>
  <c r="F36" i="268"/>
  <c r="F35" i="268"/>
  <c r="F34" i="268"/>
  <c r="F33" i="268"/>
  <c r="F32" i="268"/>
  <c r="F31" i="268"/>
  <c r="F30" i="268"/>
  <c r="D15" i="268"/>
  <c r="E15" i="268" s="1"/>
  <c r="D14" i="268"/>
  <c r="E14" i="268" s="1"/>
  <c r="D13" i="268"/>
  <c r="E13" i="268" s="1"/>
  <c r="H12" i="268"/>
  <c r="D12" i="268"/>
  <c r="E12" i="268" s="1"/>
  <c r="D11" i="268"/>
  <c r="E11" i="268" s="1"/>
  <c r="G9" i="268"/>
  <c r="H6" i="268"/>
  <c r="G6" i="268"/>
  <c r="D15" i="267"/>
  <c r="E15" i="267" s="1"/>
  <c r="D14" i="267"/>
  <c r="E14" i="267" s="1"/>
  <c r="D13" i="267"/>
  <c r="E13" i="267" s="1"/>
  <c r="D12" i="267"/>
  <c r="E12" i="267" s="1"/>
  <c r="D11" i="267"/>
  <c r="E11" i="267" s="1"/>
  <c r="D15" i="266"/>
  <c r="E15" i="266" s="1"/>
  <c r="D14" i="266"/>
  <c r="E14" i="266" s="1"/>
  <c r="D13" i="266"/>
  <c r="E13" i="266" s="1"/>
  <c r="D12" i="266"/>
  <c r="E12" i="266" s="1"/>
  <c r="D11" i="266"/>
  <c r="E11" i="266" s="1"/>
  <c r="H3" i="259"/>
  <c r="J12" i="269"/>
  <c r="J13" i="269"/>
  <c r="J12" i="268"/>
  <c r="J9" i="269"/>
  <c r="J11" i="269"/>
  <c r="J13" i="268"/>
  <c r="J8" i="269"/>
  <c r="J10" i="269"/>
  <c r="J11" i="268"/>
  <c r="J5" i="269"/>
  <c r="J10" i="268"/>
  <c r="J9" i="268"/>
  <c r="J8" i="268"/>
  <c r="H8" i="268" l="1"/>
  <c r="H9" i="268" s="1"/>
  <c r="H8" i="269"/>
  <c r="H9" i="269" s="1"/>
  <c r="H11" i="269" s="1"/>
  <c r="E16" i="269"/>
  <c r="E16" i="268"/>
  <c r="E16" i="267"/>
  <c r="E16" i="266"/>
  <c r="H17" i="267" l="1"/>
  <c r="H14" i="267"/>
  <c r="H15" i="267" s="1"/>
  <c r="H16" i="266"/>
  <c r="H11" i="266"/>
  <c r="E18" i="269"/>
  <c r="H10" i="269"/>
  <c r="H13" i="269" s="1"/>
  <c r="H10" i="268"/>
  <c r="E18" i="268"/>
  <c r="E18" i="267"/>
  <c r="E18" i="266"/>
  <c r="H12" i="266" l="1"/>
  <c r="H14" i="266" s="1"/>
  <c r="H11" i="268"/>
  <c r="H13" i="268" s="1"/>
  <c r="F44" i="262"/>
  <c r="F43" i="262"/>
  <c r="F42" i="262"/>
  <c r="F41" i="262"/>
  <c r="F40" i="262"/>
  <c r="F39" i="262"/>
  <c r="F38" i="262"/>
  <c r="F37" i="262"/>
  <c r="F36" i="262"/>
  <c r="F35" i="262"/>
  <c r="F34" i="262"/>
  <c r="F33" i="262"/>
  <c r="F32" i="262"/>
  <c r="F31" i="262"/>
  <c r="F30" i="262"/>
  <c r="D15" i="262"/>
  <c r="E15" i="262" s="1"/>
  <c r="D14" i="262"/>
  <c r="E14" i="262" s="1"/>
  <c r="D13" i="262"/>
  <c r="E13" i="262" s="1"/>
  <c r="D12" i="262"/>
  <c r="E12" i="262" s="1"/>
  <c r="D11" i="262"/>
  <c r="E11" i="262" s="1"/>
  <c r="E16" i="262" l="1"/>
  <c r="F44" i="260"/>
  <c r="F43" i="260"/>
  <c r="F42" i="260"/>
  <c r="F41" i="260"/>
  <c r="F40" i="260"/>
  <c r="F39" i="260"/>
  <c r="F38" i="260"/>
  <c r="F37" i="260"/>
  <c r="F36" i="260"/>
  <c r="F35" i="260"/>
  <c r="F34" i="260"/>
  <c r="F33" i="260"/>
  <c r="F32" i="260"/>
  <c r="F31" i="260"/>
  <c r="D13" i="260" s="1"/>
  <c r="E13" i="260" s="1"/>
  <c r="F30" i="260"/>
  <c r="D11" i="260" s="1"/>
  <c r="E11" i="260" s="1"/>
  <c r="D15" i="260"/>
  <c r="E15" i="260" s="1"/>
  <c r="D14" i="260"/>
  <c r="E14" i="260" s="1"/>
  <c r="D12" i="260"/>
  <c r="E12" i="260" s="1"/>
  <c r="J1" i="259"/>
  <c r="J2" i="259"/>
  <c r="G12" i="259"/>
  <c r="G11" i="259"/>
  <c r="F44" i="259"/>
  <c r="F43" i="259"/>
  <c r="F42" i="259"/>
  <c r="F41" i="259"/>
  <c r="F40" i="259"/>
  <c r="F39" i="259"/>
  <c r="F38" i="259"/>
  <c r="F37" i="259"/>
  <c r="F36" i="259"/>
  <c r="F35" i="259"/>
  <c r="F34" i="259"/>
  <c r="F33" i="259"/>
  <c r="F32" i="259"/>
  <c r="D12" i="259" s="1"/>
  <c r="E12" i="259" s="1"/>
  <c r="F31" i="259"/>
  <c r="D13" i="259" s="1"/>
  <c r="E13" i="259" s="1"/>
  <c r="F30" i="259"/>
  <c r="D15" i="259"/>
  <c r="E15" i="259" s="1"/>
  <c r="D14" i="259"/>
  <c r="E14" i="259" s="1"/>
  <c r="D11" i="259"/>
  <c r="E11" i="259" s="1"/>
  <c r="L74" i="258"/>
  <c r="L73" i="258"/>
  <c r="L72" i="258"/>
  <c r="L71" i="258"/>
  <c r="L70" i="258"/>
  <c r="L69" i="258"/>
  <c r="L68" i="258"/>
  <c r="L67" i="258"/>
  <c r="L66" i="258"/>
  <c r="L65" i="258"/>
  <c r="L64" i="258"/>
  <c r="L63" i="258"/>
  <c r="L62" i="258"/>
  <c r="L61" i="258"/>
  <c r="E22" i="258" s="1"/>
  <c r="F22" i="258" s="1"/>
  <c r="L60" i="258"/>
  <c r="E24" i="258"/>
  <c r="F24" i="258" s="1"/>
  <c r="F23" i="258"/>
  <c r="E23" i="258"/>
  <c r="E21" i="258"/>
  <c r="F21" i="258" s="1"/>
  <c r="F20" i="258"/>
  <c r="E20" i="258"/>
  <c r="J3" i="259"/>
  <c r="F25" i="258" l="1"/>
  <c r="F27" i="258" s="1"/>
  <c r="E18" i="262"/>
  <c r="E16" i="260"/>
  <c r="E18" i="260" l="1"/>
  <c r="E16" i="259"/>
  <c r="E18" i="259" l="1"/>
  <c r="L51" i="252" l="1"/>
  <c r="L52" i="252"/>
  <c r="L53" i="252"/>
  <c r="L54" i="252"/>
  <c r="L55" i="252"/>
  <c r="L56" i="252"/>
  <c r="L57" i="252"/>
  <c r="L58" i="252"/>
  <c r="L59" i="252"/>
  <c r="L60" i="252"/>
  <c r="L61" i="252"/>
  <c r="L62" i="252"/>
  <c r="L63" i="252"/>
  <c r="L64" i="252"/>
  <c r="L65" i="252"/>
  <c r="F44" i="253"/>
  <c r="F43" i="253"/>
  <c r="F42" i="253"/>
  <c r="F41" i="253"/>
  <c r="F40" i="253"/>
  <c r="F39" i="253"/>
  <c r="F38" i="253"/>
  <c r="F37" i="253"/>
  <c r="F36" i="253"/>
  <c r="F35" i="253"/>
  <c r="F34" i="253"/>
  <c r="F33" i="253"/>
  <c r="F32" i="253"/>
  <c r="D12" i="253" s="1"/>
  <c r="E12" i="253" s="1"/>
  <c r="F31" i="253"/>
  <c r="F30" i="253"/>
  <c r="D15" i="253"/>
  <c r="E15" i="253" s="1"/>
  <c r="D14" i="253"/>
  <c r="E14" i="253" s="1"/>
  <c r="D13" i="253"/>
  <c r="E13" i="253" s="1"/>
  <c r="D11" i="253"/>
  <c r="E11" i="253" s="1"/>
  <c r="E12" i="252"/>
  <c r="E13" i="252"/>
  <c r="E14" i="252"/>
  <c r="E15" i="252"/>
  <c r="E11" i="252"/>
  <c r="E16" i="253" l="1"/>
  <c r="F12" i="252"/>
  <c r="F11" i="252"/>
  <c r="F15" i="252"/>
  <c r="F14" i="252"/>
  <c r="F13" i="252"/>
  <c r="B57" i="247"/>
  <c r="E18" i="253" l="1"/>
  <c r="F16" i="252"/>
  <c r="F18" i="252" l="1"/>
  <c r="D50" i="247"/>
  <c r="D44" i="247"/>
  <c r="D39" i="247"/>
  <c r="D35" i="247"/>
  <c r="D30" i="247"/>
  <c r="D31" i="247"/>
  <c r="D27" i="247"/>
</calcChain>
</file>

<file path=xl/sharedStrings.xml><?xml version="1.0" encoding="utf-8"?>
<sst xmlns="http://schemas.openxmlformats.org/spreadsheetml/2006/main" count="1034" uniqueCount="255">
  <si>
    <t>Topics:</t>
  </si>
  <si>
    <t>Excel &amp; Business Math 38</t>
  </si>
  <si>
    <t>Date Number Formatting</t>
  </si>
  <si>
    <t>Cash Discounts: Incentive to Pay Invoice Early</t>
  </si>
  <si>
    <t>Cash Discount Methods:</t>
  </si>
  <si>
    <t>Ordinary</t>
  </si>
  <si>
    <t>EOM</t>
  </si>
  <si>
    <t>ROG</t>
  </si>
  <si>
    <t>AS OF</t>
  </si>
  <si>
    <t xml:space="preserve">Date Number Formatting: </t>
  </si>
  <si>
    <t>Date</t>
  </si>
  <si>
    <t>Actual Number in Cell</t>
  </si>
  <si>
    <t>Enter dates with forward slashes (there are other ways also)</t>
  </si>
  <si>
    <t>Today</t>
  </si>
  <si>
    <t>Keyboard for today's date: Ctrl + ;</t>
  </si>
  <si>
    <t>=TODAY() is an argumentless function</t>
  </si>
  <si>
    <t>Loan issue date</t>
  </si>
  <si>
    <t>Days until loan due</t>
  </si>
  <si>
    <t>Maturity Date</t>
  </si>
  <si>
    <t>Project Start Date</t>
  </si>
  <si>
    <t>Project End Date</t>
  </si>
  <si>
    <t># days for project</t>
  </si>
  <si>
    <t>Calculate the Due Date if the invoice contract says that the amount is due on the same day, two month's ahead.</t>
  </si>
  <si>
    <t>Due in 2 Months</t>
  </si>
  <si>
    <t>Due Date</t>
  </si>
  <si>
    <t>=EDATE(Date,2) jumps two months ahead. =EDATE(Date,-2) jumps two months backwards.</t>
  </si>
  <si>
    <t>Calculate the Due Date if the invoice contract says that the amount is due at the end of the month.</t>
  </si>
  <si>
    <t>=EOMONTH(Date,0) gives you the end of the month</t>
  </si>
  <si>
    <t>=EOMONTH(Date,1) gives you the end of next month</t>
  </si>
  <si>
    <t>=EOMONTH(Date,-1) gives you the end of last month.</t>
  </si>
  <si>
    <t>Customer</t>
  </si>
  <si>
    <t>Amount Owed</t>
  </si>
  <si>
    <t>Invoice Due Date</t>
  </si>
  <si>
    <t>Number Days Invoice Late</t>
  </si>
  <si>
    <t>Cicely Lange</t>
  </si>
  <si>
    <t>Larhonda Goode</t>
  </si>
  <si>
    <t>Lonna Clemens</t>
  </si>
  <si>
    <t>Vanesa Herzog</t>
  </si>
  <si>
    <t>Alessandra Reis</t>
  </si>
  <si>
    <t>Ashanti Anglin</t>
  </si>
  <si>
    <t>Kamala Leyva</t>
  </si>
  <si>
    <t>Robena Briseno</t>
  </si>
  <si>
    <t>Eryn Huntington</t>
  </si>
  <si>
    <t>Clarita Bagwell</t>
  </si>
  <si>
    <t>Antwan Steel</t>
  </si>
  <si>
    <t>Alfonzo Chance</t>
  </si>
  <si>
    <t>Muoi Parrish</t>
  </si>
  <si>
    <t>Chang Teel</t>
  </si>
  <si>
    <t>Hsiu Wallis</t>
  </si>
  <si>
    <t>Rosalyn Huffman</t>
  </si>
  <si>
    <t>Entering Dates in Excel:</t>
  </si>
  <si>
    <t xml:space="preserve">you are performing “Number Format As You Type”. </t>
  </si>
  <si>
    <t>This means that when you type a proper date you are also applying a Date Number Formatting as you type.</t>
  </si>
  <si>
    <t>Keyboard for Today's Date:</t>
  </si>
  <si>
    <t>Type Proper Date:</t>
  </si>
  <si>
    <t>28/2/2018</t>
  </si>
  <si>
    <t>Regional Settings determine Dates</t>
  </si>
  <si>
    <t>Mistakenly Type Date:</t>
  </si>
  <si>
    <t>4) Regional Settings determine Dates: Start Menu, Regional and Language dialog box</t>
  </si>
  <si>
    <r>
      <t xml:space="preserve">2) Keyboard for Today's Date is: </t>
    </r>
    <r>
      <rPr>
        <b/>
        <sz val="11"/>
        <color rgb="FFFF0000"/>
        <rFont val="Calibri"/>
        <family val="2"/>
        <scheme val="minor"/>
      </rPr>
      <t>Ctrl + ;</t>
    </r>
  </si>
  <si>
    <t>“Number Format As You Type”</t>
  </si>
  <si>
    <t>Enter Today's Date</t>
  </si>
  <si>
    <t>Enter Today's Date, apply General</t>
  </si>
  <si>
    <t>Type Number, then apply Date</t>
  </si>
  <si>
    <t>6) Under dates, there are serial numbers, which are the number of days since Dec 31, 1899.</t>
  </si>
  <si>
    <t>7) Excel Dates are sometimes called: "Serial Dates" or "Proper Dates" or "Excel Dates"</t>
  </si>
  <si>
    <r>
      <rPr>
        <b/>
        <sz val="11"/>
        <color theme="1"/>
        <rFont val="Calibri"/>
        <family val="2"/>
        <scheme val="minor"/>
      </rPr>
      <t>8) Important Formula</t>
    </r>
    <r>
      <rPr>
        <sz val="11"/>
        <color theme="1"/>
        <rFont val="Calibri"/>
        <family val="2"/>
        <scheme val="minor"/>
      </rPr>
      <t xml:space="preserve">: Days between dates = </t>
    </r>
    <r>
      <rPr>
        <b/>
        <sz val="11"/>
        <color theme="1"/>
        <rFont val="Calibri"/>
        <family val="2"/>
        <scheme val="minor"/>
      </rPr>
      <t>Later Date - Earlier Date</t>
    </r>
  </si>
  <si>
    <r>
      <rPr>
        <b/>
        <sz val="11"/>
        <color theme="1"/>
        <rFont val="Calibri"/>
        <family val="2"/>
        <scheme val="minor"/>
      </rPr>
      <t>9) TODAY</t>
    </r>
    <r>
      <rPr>
        <sz val="11"/>
        <color theme="1"/>
        <rFont val="Calibri"/>
        <family val="2"/>
        <scheme val="minor"/>
      </rPr>
      <t xml:space="preserve"> function dynamically puts today's date in the cell and updates each new day you open the Workbook file.</t>
    </r>
  </si>
  <si>
    <t>10) You can add numbers to dates</t>
  </si>
  <si>
    <r>
      <rPr>
        <b/>
        <sz val="11"/>
        <color theme="1"/>
        <rFont val="Calibri"/>
        <family val="2"/>
        <scheme val="minor"/>
      </rPr>
      <t>11) Important Formula</t>
    </r>
    <r>
      <rPr>
        <sz val="11"/>
        <color theme="1"/>
        <rFont val="Calibri"/>
        <family val="2"/>
        <scheme val="minor"/>
      </rPr>
      <t xml:space="preserve">: Days between dates where start date IS included= </t>
    </r>
    <r>
      <rPr>
        <b/>
        <sz val="11"/>
        <color theme="1"/>
        <rFont val="Calibri"/>
        <family val="2"/>
        <scheme val="minor"/>
      </rPr>
      <t>Later Date - Earlier Date + 1</t>
    </r>
  </si>
  <si>
    <t>3) If you do not enter a Proper Date, Excel will think it is Text and not a Date Number</t>
  </si>
  <si>
    <t>Why are there serial numbers under Excel Dates? So we can do Date Math!</t>
  </si>
  <si>
    <t>Due Date, EOM</t>
  </si>
  <si>
    <t>Due Date, EOM + 10</t>
  </si>
  <si>
    <t>FOB Destination</t>
  </si>
  <si>
    <t>FOB Shipping Point</t>
  </si>
  <si>
    <t>COD</t>
  </si>
  <si>
    <t>Cash on delivery: Payment for goods is made when items are delivered.</t>
  </si>
  <si>
    <t>FAS</t>
  </si>
  <si>
    <t>Free along side: Goods are delivered to the dock with all freight charges paid, any remaining charges are paid by Buyer.</t>
  </si>
  <si>
    <t>Note:</t>
  </si>
  <si>
    <t>Some Businesses will record Shipping on Sales Invoice and some will not (shipping bill comes separately).</t>
  </si>
  <si>
    <t>Tax paid on Retail Price.</t>
  </si>
  <si>
    <t>Tax is not paid on Wholesale Price (unless the business buys at wholesale and uses it in business, thus final customer).</t>
  </si>
  <si>
    <r>
      <t xml:space="preserve">Gel Boomerangs buys </t>
    </r>
    <r>
      <rPr>
        <b/>
        <sz val="10"/>
        <rFont val="Arial"/>
        <family val="2"/>
      </rPr>
      <t>paint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paint equipment</t>
    </r>
    <r>
      <rPr>
        <sz val="10"/>
        <rFont val="Arial"/>
        <family val="2"/>
      </rPr>
      <t xml:space="preserve"> from paint store.</t>
    </r>
  </si>
  <si>
    <r>
      <t xml:space="preserve">Because </t>
    </r>
    <r>
      <rPr>
        <b/>
        <sz val="10"/>
        <rFont val="Arial"/>
        <family val="2"/>
      </rPr>
      <t>paint</t>
    </r>
    <r>
      <rPr>
        <sz val="10"/>
        <rFont val="Arial"/>
        <family val="2"/>
      </rPr>
      <t xml:space="preserve"> has not made it to final customer (</t>
    </r>
    <r>
      <rPr>
        <b/>
        <sz val="10"/>
        <rFont val="Arial"/>
        <family val="2"/>
      </rPr>
      <t>paint</t>
    </r>
    <r>
      <rPr>
        <sz val="10"/>
        <rFont val="Arial"/>
        <family val="2"/>
      </rPr>
      <t xml:space="preserve"> will end up on boomerang), no sales tax is paid.</t>
    </r>
  </si>
  <si>
    <t>Because paint equipment has made it to its final destination, sales tax is paid.</t>
  </si>
  <si>
    <r>
      <rPr>
        <b/>
        <sz val="11"/>
        <color theme="1"/>
        <rFont val="Calibri"/>
        <family val="2"/>
        <scheme val="minor"/>
      </rPr>
      <t>Goal:</t>
    </r>
    <r>
      <rPr>
        <sz val="11"/>
        <color theme="1"/>
        <rFont val="Calibri"/>
        <family val="2"/>
        <scheme val="minor"/>
      </rPr>
      <t xml:space="preserve"> Create a formula that will automatically tell you how many days an invoice is overdue:</t>
    </r>
  </si>
  <si>
    <t>Days Extra</t>
  </si>
  <si>
    <t>Invoice</t>
  </si>
  <si>
    <t>Sell To:</t>
  </si>
  <si>
    <t>Invoice #</t>
  </si>
  <si>
    <t>Invoice Date</t>
  </si>
  <si>
    <t>Kite Flight</t>
  </si>
  <si>
    <t>1414 43rd Ave.</t>
  </si>
  <si>
    <t>Watermore</t>
  </si>
  <si>
    <t>Invoice Subtotal (Before Shipping)</t>
  </si>
  <si>
    <t>Item purchased</t>
  </si>
  <si>
    <t>Quantity</t>
  </si>
  <si>
    <t>Price Each</t>
  </si>
  <si>
    <t>Line Item Total</t>
  </si>
  <si>
    <t>Quad</t>
  </si>
  <si>
    <t>Shipping</t>
  </si>
  <si>
    <t>Majestic Beaut</t>
  </si>
  <si>
    <t>Amount to Pay</t>
  </si>
  <si>
    <t>Bellen</t>
  </si>
  <si>
    <t>Subtotal</t>
  </si>
  <si>
    <t>Shipping Terms:</t>
  </si>
  <si>
    <t>Shipping Point</t>
  </si>
  <si>
    <t>Terms:</t>
  </si>
  <si>
    <t>1/15, net 45</t>
  </si>
  <si>
    <t>Invoice Total</t>
  </si>
  <si>
    <t>Wholesale Cost</t>
  </si>
  <si>
    <t>Carlota</t>
  </si>
  <si>
    <t>Carlota Doublers</t>
  </si>
  <si>
    <t>Sunshine 5 Ply</t>
  </si>
  <si>
    <t>Sunshine 10 Ply</t>
  </si>
  <si>
    <t>Sunset</t>
  </si>
  <si>
    <t>Sunbell</t>
  </si>
  <si>
    <t>Flattop</t>
  </si>
  <si>
    <t>Bellen Dancer</t>
  </si>
  <si>
    <t>Bellen Wind Dancer</t>
  </si>
  <si>
    <t>GelFast</t>
  </si>
  <si>
    <t>Phenolic Sunshine</t>
  </si>
  <si>
    <t>Icarus MTA</t>
  </si>
  <si>
    <r>
      <rPr>
        <b/>
        <i/>
        <sz val="10"/>
        <rFont val="Arial"/>
        <family val="2"/>
      </rPr>
      <t>Gel Boomerangs</t>
    </r>
    <r>
      <rPr>
        <sz val="10"/>
        <rFont val="Arial"/>
        <family val="2"/>
      </rPr>
      <t>, gel-boomerang.com</t>
    </r>
  </si>
  <si>
    <t>Boomerang</t>
  </si>
  <si>
    <t>Picture</t>
  </si>
  <si>
    <t>List</t>
  </si>
  <si>
    <t>Single Trade Discount</t>
  </si>
  <si>
    <t>Ordinary Dating Method for Cash Discounts</t>
  </si>
  <si>
    <r>
      <rPr>
        <b/>
        <sz val="20"/>
        <color rgb="FFFF0000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>/</t>
    </r>
    <r>
      <rPr>
        <b/>
        <sz val="20"/>
        <color rgb="FF0000FF"/>
        <rFont val="Calibri"/>
        <family val="2"/>
        <scheme val="minor"/>
      </rPr>
      <t>10</t>
    </r>
    <r>
      <rPr>
        <sz val="20"/>
        <color theme="1"/>
        <rFont val="Calibri"/>
        <family val="2"/>
        <scheme val="minor"/>
      </rPr>
      <t xml:space="preserve">, </t>
    </r>
    <r>
      <rPr>
        <b/>
        <sz val="20"/>
        <color rgb="FF307C52"/>
        <rFont val="Calibri"/>
        <family val="2"/>
        <scheme val="minor"/>
      </rPr>
      <t>Net 30</t>
    </r>
  </si>
  <si>
    <t>Ordinary Dating Cash Discounts Method</t>
  </si>
  <si>
    <t>Example:</t>
  </si>
  <si>
    <t>Number Days to Take Discount:</t>
  </si>
  <si>
    <t>Number of Days until Invoice is considered Late:</t>
  </si>
  <si>
    <t>Invoice Date:</t>
  </si>
  <si>
    <t>Payment Date:</t>
  </si>
  <si>
    <t>Amount of Discount:</t>
  </si>
  <si>
    <t>Invoice Total :</t>
  </si>
  <si>
    <t>(without shipping, tax, insurance)</t>
  </si>
  <si>
    <t>Amount to Pay:</t>
  </si>
  <si>
    <t>Amount to pay all in one formula:</t>
  </si>
  <si>
    <t>Read as:
"Two Ten, Net Thirty"</t>
  </si>
  <si>
    <t>• Cash Discounts are discounts that are offered on invoices to encourage the purchaser to pay quickly.</t>
  </si>
  <si>
    <t>• Cash Discounts = Incentive to Pay Invoice Total Early.</t>
  </si>
  <si>
    <t>• Cash Discounts are applied to Subtotal for Products Purchased ONLY.</t>
  </si>
  <si>
    <t>• Do NOT apply Cash Discounts to: Shipping Charges, Tax Charges, Insurance fees.</t>
  </si>
  <si>
    <t>• Cash Discounts are NOT the same as Trade Discounts.</t>
  </si>
  <si>
    <r>
      <t xml:space="preserve">• </t>
    </r>
    <r>
      <rPr>
        <b/>
        <u/>
        <sz val="11"/>
        <color theme="1"/>
        <rFont val="Calibri"/>
        <family val="2"/>
        <scheme val="minor"/>
      </rPr>
      <t>Trade Discount</t>
    </r>
    <r>
      <rPr>
        <sz val="11"/>
        <color theme="1"/>
        <rFont val="Calibri"/>
        <family val="2"/>
        <scheme val="minor"/>
      </rPr>
      <t xml:space="preserve"> = Discount applied to List Price in order to calculate the Wholesale Cost.</t>
    </r>
  </si>
  <si>
    <r>
      <t xml:space="preserve">• </t>
    </r>
    <r>
      <rPr>
        <b/>
        <u/>
        <sz val="11"/>
        <color theme="1"/>
        <rFont val="Calibri"/>
        <family val="2"/>
        <scheme val="minor"/>
      </rPr>
      <t>Cash Discounts</t>
    </r>
    <r>
      <rPr>
        <sz val="11"/>
        <color theme="1"/>
        <rFont val="Calibri"/>
        <family val="2"/>
        <scheme val="minor"/>
      </rPr>
      <t xml:space="preserve"> = Offer of a discount on Invoice Total as an incentive to pay the bill early.</t>
    </r>
  </si>
  <si>
    <t>Cash Discounts = Discount On Invoice Total If Invoice Paid Early</t>
  </si>
  <si>
    <t>2/15, 1/30, net 45</t>
  </si>
  <si>
    <t>Seller retains ownership of goods until they reach the destination.</t>
  </si>
  <si>
    <t>At Destination ownership of goods transfers to Buyer.</t>
  </si>
  <si>
    <t>Seller pays shipping charges.</t>
  </si>
  <si>
    <t>FOB = Free On Board</t>
  </si>
  <si>
    <t>Ownership of goods transfers to Buyer prior to shipment (usually when goods are handed to shipping company).</t>
  </si>
  <si>
    <t>Buyer pays shipping charges.</t>
  </si>
  <si>
    <t>Because Buyer owns goods during shipment, if they are damaged, Buyer records a loss.</t>
  </si>
  <si>
    <t>Paint Not Taxed:</t>
  </si>
  <si>
    <t>Paint Sprayer was taxed:</t>
  </si>
  <si>
    <r>
      <rPr>
        <b/>
        <u/>
        <sz val="11"/>
        <color theme="1"/>
        <rFont val="Calibri"/>
        <family val="2"/>
        <scheme val="minor"/>
      </rPr>
      <t>Number Days to Take Discount</t>
    </r>
    <r>
      <rPr>
        <b/>
        <sz val="11"/>
        <color rgb="FF0000FF"/>
        <rFont val="Calibri"/>
        <family val="2"/>
        <scheme val="minor"/>
      </rPr>
      <t xml:space="preserve">
10</t>
    </r>
    <r>
      <rPr>
        <sz val="11"/>
        <color rgb="FF0000FF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means if you pay within </t>
    </r>
    <r>
      <rPr>
        <b/>
        <sz val="11"/>
        <color rgb="FF0000FF"/>
        <rFont val="Calibri"/>
        <family val="2"/>
        <scheme val="minor"/>
      </rPr>
      <t>10</t>
    </r>
    <r>
      <rPr>
        <sz val="11"/>
        <color rgb="FF0000FF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days of Invoice Date, you can get the </t>
    </r>
    <r>
      <rPr>
        <b/>
        <sz val="11"/>
        <color rgb="FFFF0000"/>
        <rFont val="Calibri"/>
        <family val="2"/>
        <scheme val="minor"/>
      </rPr>
      <t>2%</t>
    </r>
    <r>
      <rPr>
        <sz val="11"/>
        <color rgb="FF0000FF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discount</t>
    </r>
  </si>
  <si>
    <r>
      <rPr>
        <b/>
        <u/>
        <sz val="11"/>
        <color theme="1"/>
        <rFont val="Calibri"/>
        <family val="2"/>
        <scheme val="minor"/>
      </rPr>
      <t>Cash Discount %</t>
    </r>
    <r>
      <rPr>
        <b/>
        <sz val="11"/>
        <color rgb="FFFF0000"/>
        <rFont val="Calibri"/>
        <family val="2"/>
        <scheme val="minor"/>
      </rPr>
      <t xml:space="preserve">
2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means </t>
    </r>
    <r>
      <rPr>
        <b/>
        <sz val="11"/>
        <color rgb="FFFF0000"/>
        <rFont val="Calibri"/>
        <family val="2"/>
        <scheme val="minor"/>
      </rPr>
      <t>2%</t>
    </r>
    <r>
      <rPr>
        <sz val="11"/>
        <rFont val="Calibri"/>
        <family val="2"/>
        <scheme val="minor"/>
      </rPr>
      <t xml:space="preserve"> discount on Invoice Total (without shipping, tax and insurance) if paid within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00FF"/>
        <rFont val="Calibri"/>
        <family val="2"/>
        <scheme val="minor"/>
      </rPr>
      <t>10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days of Invoice Date.</t>
    </r>
  </si>
  <si>
    <t>Cash Discount %:</t>
  </si>
  <si>
    <r>
      <rPr>
        <b/>
        <u/>
        <sz val="11"/>
        <color theme="1"/>
        <rFont val="Calibri"/>
        <family val="2"/>
        <scheme val="minor"/>
      </rPr>
      <t># of Days until Invoice is  Late:</t>
    </r>
    <r>
      <rPr>
        <b/>
        <sz val="11"/>
        <color rgb="FF00B050"/>
        <rFont val="Calibri"/>
        <family val="2"/>
        <scheme val="minor"/>
      </rPr>
      <t xml:space="preserve">
Net 30</t>
    </r>
    <r>
      <rPr>
        <sz val="11"/>
        <color theme="1"/>
        <rFont val="Calibri"/>
        <family val="2"/>
        <scheme val="minor"/>
      </rPr>
      <t xml:space="preserve"> means if you do NOT pay Invoice Total within  </t>
    </r>
    <r>
      <rPr>
        <b/>
        <sz val="11"/>
        <color rgb="FF00B050"/>
        <rFont val="Calibri"/>
        <family val="2"/>
        <scheme val="minor"/>
      </rPr>
      <t>30</t>
    </r>
    <r>
      <rPr>
        <sz val="11"/>
        <color theme="1"/>
        <rFont val="Calibri"/>
        <family val="2"/>
        <scheme val="minor"/>
      </rPr>
      <t xml:space="preserve"> days of Invoice Date a late fee may apply</t>
    </r>
  </si>
  <si>
    <t>Days Between Date Paid &amp; Invoice Date:</t>
  </si>
  <si>
    <t>Cash Discount % #1:</t>
  </si>
  <si>
    <t>Number Days to Take Discount #1:</t>
  </si>
  <si>
    <t>Cash Discount % #2:</t>
  </si>
  <si>
    <t>Number Days to Take Discount #2:</t>
  </si>
  <si>
    <t>Automate With Two Discounts:</t>
  </si>
  <si>
    <t>Which Discount % to Use?</t>
  </si>
  <si>
    <t>Invoice Payment Date</t>
  </si>
  <si>
    <t>AS OF Date</t>
  </si>
  <si>
    <t>How Many Days to Pay Invoice?</t>
  </si>
  <si>
    <t>1.5/25, net 90</t>
  </si>
  <si>
    <r>
      <t xml:space="preserve">• There are many different types of Cash Discounts. We will look at these methods; </t>
    </r>
    <r>
      <rPr>
        <b/>
        <sz val="11"/>
        <color theme="1"/>
        <rFont val="Calibri"/>
        <family val="2"/>
        <scheme val="minor"/>
      </rPr>
      <t>Ordinary, EOM, AS OF, ROG</t>
    </r>
  </si>
  <si>
    <t>2/10 ROG</t>
  </si>
  <si>
    <t>Shipping:</t>
  </si>
  <si>
    <t>Invoice Subtotal (Before Shipping):</t>
  </si>
  <si>
    <t>Invoice Payment Date:</t>
  </si>
  <si>
    <t>Number of Days until Invoice is Late:</t>
  </si>
  <si>
    <t>Receipt of Goods</t>
  </si>
  <si>
    <t>ROG Rule:</t>
  </si>
  <si>
    <t>1) Compare Receipt of Goods Date to Payment Date</t>
  </si>
  <si>
    <t>2) To calculate "Net" day (Number of Days until Invoice is Late), add 20 to the "Number of Days to Take Discount"</t>
  </si>
  <si>
    <t>Day of Month in Invoice Date?</t>
  </si>
  <si>
    <t>Day Hurdle</t>
  </si>
  <si>
    <t>EOM (End Of Month) Dating Cash Discounts Method</t>
  </si>
  <si>
    <r>
      <rPr>
        <b/>
        <sz val="20"/>
        <color rgb="FFFF0000"/>
        <rFont val="Calibri"/>
        <family val="2"/>
        <scheme val="minor"/>
      </rPr>
      <t>3</t>
    </r>
    <r>
      <rPr>
        <sz val="20"/>
        <color theme="1"/>
        <rFont val="Calibri"/>
        <family val="2"/>
        <scheme val="minor"/>
      </rPr>
      <t>/</t>
    </r>
    <r>
      <rPr>
        <b/>
        <sz val="20"/>
        <color rgb="FF0000FF"/>
        <rFont val="Calibri"/>
        <family val="2"/>
        <scheme val="minor"/>
      </rPr>
      <t>15</t>
    </r>
    <r>
      <rPr>
        <sz val="20"/>
        <color theme="1"/>
        <rFont val="Calibri"/>
        <family val="2"/>
        <scheme val="minor"/>
      </rPr>
      <t xml:space="preserve">, </t>
    </r>
    <r>
      <rPr>
        <b/>
        <sz val="20"/>
        <color rgb="FF307C52"/>
        <rFont val="Calibri"/>
        <family val="2"/>
        <scheme val="minor"/>
      </rPr>
      <t>EOM</t>
    </r>
  </si>
  <si>
    <r>
      <rPr>
        <b/>
        <u/>
        <sz val="11"/>
        <color theme="1"/>
        <rFont val="Calibri"/>
        <family val="2"/>
        <scheme val="minor"/>
      </rPr>
      <t>Cash Discount %</t>
    </r>
    <r>
      <rPr>
        <b/>
        <sz val="11"/>
        <color rgb="FFFF0000"/>
        <rFont val="Calibri"/>
        <family val="2"/>
        <scheme val="minor"/>
      </rPr>
      <t xml:space="preserve">
3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means </t>
    </r>
    <r>
      <rPr>
        <b/>
        <sz val="11"/>
        <color rgb="FFFF0000"/>
        <rFont val="Calibri"/>
        <family val="2"/>
        <scheme val="minor"/>
      </rPr>
      <t>3%</t>
    </r>
    <r>
      <rPr>
        <sz val="11"/>
        <rFont val="Calibri"/>
        <family val="2"/>
        <scheme val="minor"/>
      </rPr>
      <t xml:space="preserve"> discount on Invoice Total (without shipping, tax and insurance)</t>
    </r>
  </si>
  <si>
    <r>
      <rPr>
        <b/>
        <u/>
        <sz val="11"/>
        <color theme="1"/>
        <rFont val="Calibri"/>
        <family val="2"/>
        <scheme val="minor"/>
      </rPr>
      <t>Final Due Date:</t>
    </r>
    <r>
      <rPr>
        <b/>
        <sz val="11"/>
        <color rgb="FF00B050"/>
        <rFont val="Calibri"/>
        <family val="2"/>
        <scheme val="minor"/>
      </rPr>
      <t xml:space="preserve">
EOM</t>
    </r>
    <r>
      <rPr>
        <sz val="11"/>
        <color theme="1"/>
        <rFont val="Calibri"/>
        <family val="2"/>
        <scheme val="minor"/>
      </rPr>
      <t xml:space="preserve"> means you must calculate the Final Day to pay the invoice without a late payment by adding 20 days to the Last Day To Earn A Discount Date.</t>
    </r>
  </si>
  <si>
    <t>Read as:
"Three Fifteen, End Of Month"</t>
  </si>
  <si>
    <t>Situation 1:</t>
  </si>
  <si>
    <t>Situation 2:</t>
  </si>
  <si>
    <t>Last Day in Month To Earn A Discount</t>
  </si>
  <si>
    <t>Number of Months to Jump Forward</t>
  </si>
  <si>
    <t>Is Day 26 or Bigger?</t>
  </si>
  <si>
    <t>Final Due Date</t>
  </si>
  <si>
    <t>Earn a Discount?</t>
  </si>
  <si>
    <r>
      <rPr>
        <b/>
        <u/>
        <sz val="11"/>
        <color theme="1"/>
        <rFont val="Calibri"/>
        <family val="2"/>
        <scheme val="minor"/>
      </rPr>
      <t>Last Day in Month To Earn A Discount</t>
    </r>
    <r>
      <rPr>
        <b/>
        <sz val="11"/>
        <color rgb="FF0000FF"/>
        <rFont val="Calibri"/>
        <family val="2"/>
        <scheme val="minor"/>
      </rPr>
      <t xml:space="preserve">
15</t>
    </r>
    <r>
      <rPr>
        <sz val="11"/>
        <color rgb="FF0000FF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means if the day number in the Invoice Date is less than 26, the last day to earn a discount is the </t>
    </r>
    <r>
      <rPr>
        <b/>
        <sz val="11"/>
        <color rgb="FF0000FF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 xml:space="preserve">th of next month; otherwise, if the day number in the Invoice Date is 26 or more, the the last day to earn a discount is the </t>
    </r>
    <r>
      <rPr>
        <b/>
        <sz val="11"/>
        <color rgb="FF0000FF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th of two month ahead.</t>
    </r>
  </si>
  <si>
    <t>AS OF Dating Method for Cash Discounts</t>
  </si>
  <si>
    <t>ROG Dating Method for Cash Discounts</t>
  </si>
  <si>
    <t>Date Math &amp; Date Formulas</t>
  </si>
  <si>
    <t>Terms</t>
  </si>
  <si>
    <t>Invoice Amount</t>
  </si>
  <si>
    <t>Date Invoice Paid</t>
  </si>
  <si>
    <t>2/10, net 30</t>
  </si>
  <si>
    <t>Final Due Date:</t>
  </si>
  <si>
    <t>Last Day To Earn A Discount:</t>
  </si>
  <si>
    <t>1.5/15, net 40</t>
  </si>
  <si>
    <t>ROG Date</t>
  </si>
  <si>
    <t>1/15 EOM</t>
  </si>
  <si>
    <t>2/20, ROG</t>
  </si>
  <si>
    <t>Shipping Amount</t>
  </si>
  <si>
    <t>Number Days to Take Discount</t>
  </si>
  <si>
    <t>Number of Days until Invoice is Late</t>
  </si>
  <si>
    <t>Last Day To Earn A Discount</t>
  </si>
  <si>
    <t>1/25, net/90</t>
  </si>
  <si>
    <t>2/20, Net 30</t>
  </si>
  <si>
    <t>Problem</t>
  </si>
  <si>
    <t>2/20 EOM</t>
  </si>
  <si>
    <t>1/10 EOM</t>
  </si>
  <si>
    <t>2/15 EOM</t>
  </si>
  <si>
    <t>1/15 ROG</t>
  </si>
  <si>
    <t>3/20 ROG</t>
  </si>
  <si>
    <t>1/20, Net 120</t>
  </si>
  <si>
    <t>3/10, Net 90</t>
  </si>
  <si>
    <t>13) What is the invoice amount to pay given the following details: Invoice Amount = $298.27, Shipping Amount = $22.59, Invoice Date = 2/20/2016, Date Invoice Paid = 3/1/2016, Terms = 2/10, net 30.</t>
  </si>
  <si>
    <t>14) What is the invoice amount to pay given the following details: Invoice Amount = $1,080.00, Shipping Amount = $0.00, Invoice Date = 7/8/2017, AS OF Date = 7/10/2017, Date Invoice Paid = 7/26/2017, Terms = 2/10, net 30.</t>
  </si>
  <si>
    <t>Discount Earned? Paid in 15 or fewer days?</t>
  </si>
  <si>
    <t>Is the Day 26 or Bigger?</t>
  </si>
  <si>
    <t>Discount</t>
  </si>
  <si>
    <t>Invoice Amoun to Pay</t>
  </si>
  <si>
    <t>5/10, 2/20, Net 30</t>
  </si>
  <si>
    <t>16) What is the invoice amount to pay given the following details: Invoice Amount = $185.18, Shipping Amount = $0.00, Invoice Date = 11/2/2019, Date Invoice Paid = 11/21/2019, Terms = 5/10, 2/20, net/30.</t>
  </si>
  <si>
    <t>Invoices</t>
  </si>
  <si>
    <t>Shipping Terms</t>
  </si>
  <si>
    <t>When Tax is Paid</t>
  </si>
  <si>
    <t>17 Fun Homework problems</t>
  </si>
  <si>
    <t>Date Math, Invoices, Cash Discounts on Invoices</t>
  </si>
  <si>
    <t>1) Enter Proper Excel Dates with forward slashes (there are other methods also) such as: 3/10/2018.</t>
  </si>
  <si>
    <t>5) When a cell has General Number Formatting, and then you type a proper date, like 3/10/2018,</t>
  </si>
  <si>
    <r>
      <t xml:space="preserve">12) </t>
    </r>
    <r>
      <rPr>
        <b/>
        <sz val="11"/>
        <color rgb="FFFF0000"/>
        <rFont val="Calibri"/>
        <family val="2"/>
        <scheme val="minor"/>
      </rPr>
      <t>EDATE</t>
    </r>
    <r>
      <rPr>
        <sz val="11"/>
        <color theme="1"/>
        <rFont val="Calibri"/>
        <family val="2"/>
        <scheme val="minor"/>
      </rPr>
      <t xml:space="preserve"> function allows you to take a date and get the same day in a future or past month.</t>
    </r>
  </si>
  <si>
    <r>
      <t xml:space="preserve">13) </t>
    </r>
    <r>
      <rPr>
        <b/>
        <sz val="11"/>
        <color rgb="FFFF0000"/>
        <rFont val="Calibri"/>
        <family val="2"/>
        <scheme val="minor"/>
      </rPr>
      <t>EOMONTH</t>
    </r>
    <r>
      <rPr>
        <sz val="11"/>
        <color theme="1"/>
        <rFont val="Calibri"/>
        <family val="2"/>
        <scheme val="minor"/>
      </rPr>
      <t xml:space="preserve"> allows you to take a date get the end of the month date for the current month, a future month, or a past month.</t>
    </r>
  </si>
  <si>
    <t>Because Seller owns goods during shipment, if they are damaged, Seller records a loss.</t>
  </si>
  <si>
    <r>
      <t xml:space="preserve">Sales Tax is only paid by </t>
    </r>
    <r>
      <rPr>
        <b/>
        <sz val="11"/>
        <color theme="1"/>
        <rFont val="Calibri"/>
        <family val="2"/>
        <scheme val="minor"/>
      </rPr>
      <t>final customer</t>
    </r>
    <r>
      <rPr>
        <sz val="11"/>
        <color theme="1"/>
        <rFont val="Calibri"/>
        <family val="2"/>
        <scheme val="minor"/>
      </rPr>
      <t>. When the item bought has made it to its final destination, sales tax must be paid.</t>
    </r>
  </si>
  <si>
    <t>Discount to use</t>
  </si>
  <si>
    <t>Days Between Date Paid &amp; AS OF Date:</t>
  </si>
  <si>
    <t>Days Between Date Paid &amp; ROG Date:</t>
  </si>
  <si>
    <t>3/15 EOM</t>
  </si>
  <si>
    <t>15) What is the invoice amount to pay given the following details: Invoice Amount = $1,282.00, Shipping Amount = $15.90, Invoice Date = 7/30/2018, Date Invoice Paid = 9/7/2018, Terms = 1/15 EOM.</t>
  </si>
  <si>
    <t>17) What is the invoice amount to pay given the following details: Invoice Amount = $2,581.08, Shipping Amount = $155.98, Invoice Date = 11/29/2019, ROG Date = 12/15/2019, Date Invoice Paid = 1/3/2020, Terms = 2/20, ROG.</t>
  </si>
  <si>
    <t>Is Day of Month in Invoice 26 or Bigger?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</si>
</sst>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rgb="FF307C5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CC"/>
        <bgColor indexed="64"/>
      </patternFill>
    </fill>
  </fills>
  <borders count="66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ck">
        <color rgb="FFFF0000"/>
      </diagonal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 diagonalUp="1">
      <left/>
      <right/>
      <top/>
      <bottom/>
      <diagonal style="thick">
        <color rgb="FF00B050"/>
      </diagonal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2" borderId="9">
      <alignment wrapText="1"/>
    </xf>
    <xf numFmtId="0" fontId="14" fillId="0" borderId="0"/>
    <xf numFmtId="165" fontId="14" fillId="0" borderId="0" applyFont="0" applyFill="0" applyBorder="0" applyAlignment="0" applyProtection="0"/>
  </cellStyleXfs>
  <cellXfs count="1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Continuous"/>
    </xf>
    <xf numFmtId="0" fontId="1" fillId="3" borderId="0" xfId="0" applyFont="1" applyFill="1" applyAlignment="1">
      <alignment horizontal="centerContinuous"/>
    </xf>
    <xf numFmtId="0" fontId="6" fillId="4" borderId="1" xfId="0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2" fillId="4" borderId="4" xfId="0" applyFont="1" applyFill="1" applyBorder="1"/>
    <xf numFmtId="0" fontId="5" fillId="4" borderId="0" xfId="0" applyFont="1" applyFill="1"/>
    <xf numFmtId="0" fontId="0" fillId="4" borderId="0" xfId="0" applyFill="1"/>
    <xf numFmtId="0" fontId="2" fillId="4" borderId="0" xfId="0" applyFont="1" applyFill="1"/>
    <xf numFmtId="0" fontId="0" fillId="4" borderId="0" xfId="0" applyFill="1" applyAlignment="1">
      <alignment horizontal="centerContinuous"/>
    </xf>
    <xf numFmtId="0" fontId="3" fillId="4" borderId="0" xfId="0" applyFont="1" applyFill="1" applyAlignment="1">
      <alignment horizontal="centerContinuous"/>
    </xf>
    <xf numFmtId="0" fontId="3" fillId="4" borderId="5" xfId="0" applyFont="1" applyFill="1" applyBorder="1" applyAlignment="1">
      <alignment horizontal="centerContinuous"/>
    </xf>
    <xf numFmtId="0" fontId="4" fillId="4" borderId="0" xfId="0" applyFont="1" applyFill="1"/>
    <xf numFmtId="0" fontId="0" fillId="4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5" fillId="4" borderId="0" xfId="0" applyFont="1" applyFill="1" applyAlignment="1">
      <alignment horizontal="left" indent="2"/>
    </xf>
    <xf numFmtId="0" fontId="9" fillId="4" borderId="4" xfId="0" applyFont="1" applyFill="1" applyBorder="1" applyAlignment="1">
      <alignment horizontal="centerContinuous"/>
    </xf>
    <xf numFmtId="0" fontId="10" fillId="4" borderId="0" xfId="0" applyFont="1" applyFill="1" applyAlignment="1">
      <alignment horizontal="left" vertical="center" indent="3"/>
    </xf>
    <xf numFmtId="0" fontId="10" fillId="4" borderId="0" xfId="0" applyFont="1" applyFill="1"/>
    <xf numFmtId="0" fontId="11" fillId="4" borderId="0" xfId="0" applyFont="1" applyFill="1"/>
    <xf numFmtId="0" fontId="10" fillId="4" borderId="0" xfId="0" applyFont="1" applyFill="1" applyAlignment="1">
      <alignment horizontal="left" indent="2"/>
    </xf>
    <xf numFmtId="0" fontId="8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1" fillId="2" borderId="9" xfId="0" applyFont="1" applyFill="1" applyBorder="1"/>
    <xf numFmtId="0" fontId="0" fillId="0" borderId="9" xfId="0" applyBorder="1"/>
    <xf numFmtId="14" fontId="0" fillId="0" borderId="9" xfId="0" applyNumberFormat="1" applyBorder="1"/>
    <xf numFmtId="0" fontId="0" fillId="5" borderId="9" xfId="0" applyFill="1" applyBorder="1"/>
    <xf numFmtId="14" fontId="0" fillId="5" borderId="9" xfId="0" applyNumberFormat="1" applyFill="1" applyBorder="1"/>
    <xf numFmtId="0" fontId="0" fillId="0" borderId="0" xfId="0" quotePrefix="1"/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1" fillId="2" borderId="9" xfId="0" applyFont="1" applyFill="1" applyBorder="1" applyAlignment="1">
      <alignment wrapText="1"/>
    </xf>
    <xf numFmtId="166" fontId="0" fillId="0" borderId="9" xfId="0" applyNumberFormat="1" applyBorder="1"/>
    <xf numFmtId="0" fontId="8" fillId="4" borderId="16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14" fillId="0" borderId="0" xfId="2"/>
    <xf numFmtId="0" fontId="1" fillId="2" borderId="19" xfId="0" applyFont="1" applyFill="1" applyBorder="1" applyAlignment="1">
      <alignment horizontal="centerContinuous"/>
    </xf>
    <xf numFmtId="0" fontId="1" fillId="2" borderId="20" xfId="0" applyFont="1" applyFill="1" applyBorder="1" applyAlignment="1">
      <alignment horizontal="centerContinuous"/>
    </xf>
    <xf numFmtId="0" fontId="1" fillId="2" borderId="21" xfId="0" applyFont="1" applyFill="1" applyBorder="1" applyAlignment="1">
      <alignment horizontal="centerContinuous"/>
    </xf>
    <xf numFmtId="0" fontId="14" fillId="0" borderId="22" xfId="2" applyBorder="1" applyAlignment="1">
      <alignment horizontal="centerContinuous" wrapText="1"/>
    </xf>
    <xf numFmtId="0" fontId="14" fillId="0" borderId="23" xfId="2" applyBorder="1" applyAlignment="1">
      <alignment horizontal="centerContinuous" wrapText="1"/>
    </xf>
    <xf numFmtId="0" fontId="14" fillId="0" borderId="9" xfId="2" applyBorder="1"/>
    <xf numFmtId="0" fontId="14" fillId="0" borderId="24" xfId="2" applyBorder="1"/>
    <xf numFmtId="0" fontId="14" fillId="0" borderId="25" xfId="2" applyBorder="1"/>
    <xf numFmtId="0" fontId="14" fillId="0" borderId="26" xfId="2" applyBorder="1"/>
    <xf numFmtId="0" fontId="16" fillId="2" borderId="27" xfId="2" applyFont="1" applyFill="1" applyBorder="1"/>
    <xf numFmtId="0" fontId="14" fillId="0" borderId="28" xfId="2" applyBorder="1"/>
    <xf numFmtId="0" fontId="16" fillId="2" borderId="9" xfId="2" applyFont="1" applyFill="1" applyBorder="1"/>
    <xf numFmtId="0" fontId="14" fillId="0" borderId="29" xfId="2" applyBorder="1"/>
    <xf numFmtId="14" fontId="14" fillId="0" borderId="9" xfId="2" applyNumberFormat="1" applyBorder="1"/>
    <xf numFmtId="0" fontId="14" fillId="0" borderId="30" xfId="2" applyBorder="1"/>
    <xf numFmtId="0" fontId="14" fillId="0" borderId="31" xfId="2" applyBorder="1"/>
    <xf numFmtId="14" fontId="14" fillId="0" borderId="29" xfId="2" applyNumberFormat="1" applyBorder="1"/>
    <xf numFmtId="0" fontId="14" fillId="0" borderId="32" xfId="2" applyBorder="1"/>
    <xf numFmtId="0" fontId="14" fillId="0" borderId="33" xfId="2" applyBorder="1"/>
    <xf numFmtId="0" fontId="14" fillId="0" borderId="34" xfId="2" applyBorder="1"/>
    <xf numFmtId="0" fontId="14" fillId="5" borderId="9" xfId="2" applyFill="1" applyBorder="1"/>
    <xf numFmtId="0" fontId="14" fillId="0" borderId="35" xfId="2" applyBorder="1"/>
    <xf numFmtId="0" fontId="14" fillId="0" borderId="36" xfId="2" applyBorder="1"/>
    <xf numFmtId="0" fontId="14" fillId="0" borderId="37" xfId="2" applyBorder="1"/>
    <xf numFmtId="0" fontId="14" fillId="0" borderId="38" xfId="2" applyBorder="1"/>
    <xf numFmtId="0" fontId="14" fillId="0" borderId="39" xfId="2" applyBorder="1" applyAlignment="1">
      <alignment horizontal="centerContinuous" wrapText="1"/>
    </xf>
    <xf numFmtId="0" fontId="16" fillId="2" borderId="29" xfId="2" applyFont="1" applyFill="1" applyBorder="1"/>
    <xf numFmtId="0" fontId="14" fillId="0" borderId="27" xfId="2" applyBorder="1"/>
    <xf numFmtId="0" fontId="16" fillId="2" borderId="27" xfId="2" applyFont="1" applyFill="1" applyBorder="1" applyAlignment="1">
      <alignment horizontal="right"/>
    </xf>
    <xf numFmtId="0" fontId="16" fillId="2" borderId="40" xfId="2" applyFont="1" applyFill="1" applyBorder="1" applyAlignment="1">
      <alignment horizontal="right"/>
    </xf>
    <xf numFmtId="0" fontId="14" fillId="0" borderId="41" xfId="2" applyBorder="1"/>
    <xf numFmtId="0" fontId="16" fillId="2" borderId="41" xfId="2" applyFont="1" applyFill="1" applyBorder="1"/>
    <xf numFmtId="0" fontId="12" fillId="2" borderId="9" xfId="0" applyFont="1" applyFill="1" applyBorder="1" applyAlignment="1">
      <alignment vertical="top" wrapText="1"/>
    </xf>
    <xf numFmtId="164" fontId="0" fillId="0" borderId="9" xfId="0" applyNumberFormat="1" applyBorder="1"/>
    <xf numFmtId="0" fontId="14" fillId="0" borderId="43" xfId="2" applyBorder="1"/>
    <xf numFmtId="0" fontId="14" fillId="0" borderId="44" xfId="2" applyBorder="1" applyAlignment="1">
      <alignment horizontal="centerContinuous" wrapText="1"/>
    </xf>
    <xf numFmtId="0" fontId="14" fillId="0" borderId="45" xfId="2" applyBorder="1"/>
    <xf numFmtId="0" fontId="14" fillId="4" borderId="46" xfId="0" applyFont="1" applyFill="1" applyBorder="1"/>
    <xf numFmtId="164" fontId="0" fillId="4" borderId="46" xfId="0" applyNumberFormat="1" applyFill="1" applyBorder="1"/>
    <xf numFmtId="167" fontId="0" fillId="4" borderId="46" xfId="0" applyNumberFormat="1" applyFill="1" applyBorder="1"/>
    <xf numFmtId="0" fontId="14" fillId="0" borderId="47" xfId="0" applyFont="1" applyBorder="1"/>
    <xf numFmtId="0" fontId="14" fillId="0" borderId="48" xfId="0" applyFont="1" applyBorder="1"/>
    <xf numFmtId="164" fontId="0" fillId="0" borderId="48" xfId="0" applyNumberFormat="1" applyBorder="1"/>
    <xf numFmtId="167" fontId="0" fillId="0" borderId="49" xfId="0" applyNumberFormat="1" applyBorder="1"/>
    <xf numFmtId="0" fontId="14" fillId="4" borderId="50" xfId="0" applyFont="1" applyFill="1" applyBorder="1"/>
    <xf numFmtId="164" fontId="0" fillId="4" borderId="50" xfId="0" applyNumberFormat="1" applyFill="1" applyBorder="1"/>
    <xf numFmtId="167" fontId="0" fillId="4" borderId="50" xfId="0" applyNumberFormat="1" applyFill="1" applyBorder="1"/>
    <xf numFmtId="0" fontId="14" fillId="0" borderId="9" xfId="0" applyFont="1" applyBorder="1"/>
    <xf numFmtId="167" fontId="0" fillId="0" borderId="9" xfId="0" applyNumberFormat="1" applyBorder="1"/>
    <xf numFmtId="0" fontId="14" fillId="4" borderId="9" xfId="0" applyFont="1" applyFill="1" applyBorder="1"/>
    <xf numFmtId="164" fontId="0" fillId="4" borderId="9" xfId="0" applyNumberFormat="1" applyFill="1" applyBorder="1"/>
    <xf numFmtId="167" fontId="0" fillId="4" borderId="9" xfId="0" applyNumberFormat="1" applyFill="1" applyBorder="1"/>
    <xf numFmtId="0" fontId="0" fillId="4" borderId="46" xfId="0" applyFill="1" applyBorder="1"/>
    <xf numFmtId="0" fontId="0" fillId="0" borderId="49" xfId="0" applyBorder="1"/>
    <xf numFmtId="0" fontId="0" fillId="4" borderId="50" xfId="0" applyFill="1" applyBorder="1"/>
    <xf numFmtId="0" fontId="0" fillId="4" borderId="9" xfId="0" applyFill="1" applyBorder="1"/>
    <xf numFmtId="0" fontId="19" fillId="2" borderId="0" xfId="0" applyFont="1" applyFill="1"/>
    <xf numFmtId="0" fontId="0" fillId="0" borderId="51" xfId="0" applyBorder="1"/>
    <xf numFmtId="0" fontId="0" fillId="0" borderId="5" xfId="0" applyBorder="1"/>
    <xf numFmtId="0" fontId="0" fillId="0" borderId="56" xfId="0" applyBorder="1"/>
    <xf numFmtId="0" fontId="0" fillId="0" borderId="57" xfId="0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centerContinuous"/>
    </xf>
    <xf numFmtId="0" fontId="27" fillId="4" borderId="0" xfId="0" applyFont="1" applyFill="1" applyAlignment="1">
      <alignment horizontal="centerContinuous"/>
    </xf>
    <xf numFmtId="0" fontId="0" fillId="0" borderId="18" xfId="0" applyBorder="1"/>
    <xf numFmtId="0" fontId="27" fillId="0" borderId="16" xfId="0" applyFont="1" applyBorder="1" applyAlignment="1">
      <alignment horizontal="centerContinuous"/>
    </xf>
    <xf numFmtId="0" fontId="0" fillId="0" borderId="17" xfId="0" applyBorder="1"/>
    <xf numFmtId="0" fontId="0" fillId="0" borderId="18" xfId="0" applyBorder="1" applyAlignment="1">
      <alignment horizontal="right" indent="1"/>
    </xf>
    <xf numFmtId="166" fontId="0" fillId="5" borderId="9" xfId="0" applyNumberFormat="1" applyFill="1" applyBorder="1"/>
    <xf numFmtId="0" fontId="0" fillId="0" borderId="0" xfId="0" applyAlignment="1">
      <alignment horizontal="left" indent="2"/>
    </xf>
    <xf numFmtId="0" fontId="14" fillId="0" borderId="17" xfId="2" applyBorder="1"/>
    <xf numFmtId="0" fontId="0" fillId="0" borderId="19" xfId="0" applyBorder="1"/>
    <xf numFmtId="0" fontId="0" fillId="0" borderId="20" xfId="0" applyBorder="1"/>
    <xf numFmtId="0" fontId="14" fillId="0" borderId="20" xfId="2" applyBorder="1"/>
    <xf numFmtId="0" fontId="14" fillId="0" borderId="21" xfId="2" applyBorder="1"/>
    <xf numFmtId="0" fontId="0" fillId="0" borderId="58" xfId="0" applyBorder="1"/>
    <xf numFmtId="0" fontId="14" fillId="0" borderId="59" xfId="2" applyBorder="1"/>
    <xf numFmtId="0" fontId="0" fillId="0" borderId="60" xfId="0" applyBorder="1"/>
    <xf numFmtId="0" fontId="14" fillId="0" borderId="61" xfId="2" applyBorder="1"/>
    <xf numFmtId="0" fontId="14" fillId="0" borderId="62" xfId="2" applyBorder="1"/>
    <xf numFmtId="0" fontId="0" fillId="0" borderId="50" xfId="0" applyBorder="1"/>
    <xf numFmtId="0" fontId="0" fillId="0" borderId="50" xfId="0" applyBorder="1" applyAlignment="1">
      <alignment horizontal="left" wrapText="1" indent="2"/>
    </xf>
    <xf numFmtId="0" fontId="0" fillId="0" borderId="9" xfId="0" applyBorder="1" applyAlignment="1">
      <alignment horizontal="left" wrapText="1" indent="2"/>
    </xf>
    <xf numFmtId="0" fontId="0" fillId="0" borderId="46" xfId="0" applyBorder="1" applyAlignment="1">
      <alignment horizontal="left" wrapText="1" indent="2"/>
    </xf>
    <xf numFmtId="0" fontId="0" fillId="0" borderId="63" xfId="0" applyBorder="1" applyAlignment="1">
      <alignment horizontal="left" wrapText="1" indent="2"/>
    </xf>
    <xf numFmtId="0" fontId="8" fillId="4" borderId="9" xfId="0" applyFont="1" applyFill="1" applyBorder="1"/>
    <xf numFmtId="10" fontId="14" fillId="0" borderId="9" xfId="2" applyNumberFormat="1" applyBorder="1"/>
    <xf numFmtId="4" fontId="0" fillId="5" borderId="9" xfId="3" applyNumberFormat="1" applyFont="1" applyFill="1" applyBorder="1"/>
    <xf numFmtId="4" fontId="0" fillId="5" borderId="29" xfId="3" applyNumberFormat="1" applyFont="1" applyFill="1" applyBorder="1"/>
    <xf numFmtId="166" fontId="0" fillId="5" borderId="9" xfId="3" applyNumberFormat="1" applyFont="1" applyFill="1" applyBorder="1"/>
    <xf numFmtId="166" fontId="0" fillId="5" borderId="29" xfId="3" applyNumberFormat="1" applyFont="1" applyFill="1" applyBorder="1"/>
    <xf numFmtId="166" fontId="0" fillId="5" borderId="29" xfId="0" applyNumberFormat="1" applyFill="1" applyBorder="1"/>
    <xf numFmtId="166" fontId="0" fillId="0" borderId="29" xfId="0" applyNumberFormat="1" applyBorder="1"/>
    <xf numFmtId="166" fontId="0" fillId="5" borderId="42" xfId="3" applyNumberFormat="1" applyFont="1" applyFill="1" applyBorder="1"/>
    <xf numFmtId="166" fontId="14" fillId="5" borderId="9" xfId="2" applyNumberFormat="1" applyFill="1" applyBorder="1"/>
    <xf numFmtId="166" fontId="14" fillId="5" borderId="50" xfId="2" applyNumberFormat="1" applyFill="1" applyBorder="1"/>
    <xf numFmtId="0" fontId="16" fillId="9" borderId="9" xfId="2" applyFont="1" applyFill="1" applyBorder="1"/>
    <xf numFmtId="0" fontId="1" fillId="9" borderId="9" xfId="0" applyFont="1" applyFill="1" applyBorder="1"/>
    <xf numFmtId="0" fontId="29" fillId="0" borderId="0" xfId="0" applyFont="1"/>
    <xf numFmtId="14" fontId="14" fillId="5" borderId="9" xfId="2" applyNumberFormat="1" applyFill="1" applyBorder="1"/>
    <xf numFmtId="0" fontId="28" fillId="4" borderId="16" xfId="0" applyFont="1" applyFill="1" applyBorder="1"/>
    <xf numFmtId="0" fontId="28" fillId="4" borderId="18" xfId="0" applyFont="1" applyFill="1" applyBorder="1"/>
    <xf numFmtId="164" fontId="0" fillId="5" borderId="9" xfId="0" applyNumberFormat="1" applyFill="1" applyBorder="1"/>
    <xf numFmtId="0" fontId="0" fillId="10" borderId="9" xfId="0" applyFill="1" applyBorder="1"/>
    <xf numFmtId="0" fontId="8" fillId="0" borderId="9" xfId="0" applyFont="1" applyBorder="1"/>
    <xf numFmtId="14" fontId="31" fillId="0" borderId="9" xfId="2" applyNumberFormat="1" applyFont="1" applyBorder="1"/>
    <xf numFmtId="0" fontId="31" fillId="5" borderId="9" xfId="2" applyFont="1" applyFill="1" applyBorder="1"/>
    <xf numFmtId="10" fontId="31" fillId="0" borderId="9" xfId="2" applyNumberFormat="1" applyFont="1" applyBorder="1"/>
    <xf numFmtId="0" fontId="31" fillId="0" borderId="9" xfId="2" applyFont="1" applyBorder="1"/>
    <xf numFmtId="166" fontId="31" fillId="5" borderId="9" xfId="2" applyNumberFormat="1" applyFont="1" applyFill="1" applyBorder="1"/>
    <xf numFmtId="0" fontId="31" fillId="5" borderId="50" xfId="2" applyFont="1" applyFill="1" applyBorder="1"/>
    <xf numFmtId="0" fontId="31" fillId="0" borderId="0" xfId="2" applyFont="1"/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10" fontId="14" fillId="5" borderId="9" xfId="2" applyNumberFormat="1" applyFill="1" applyBorder="1"/>
    <xf numFmtId="0" fontId="5" fillId="7" borderId="0" xfId="0" applyFont="1" applyFill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0" fillId="6" borderId="10" xfId="0" applyFill="1" applyBorder="1" applyAlignment="1">
      <alignment horizontal="center" wrapText="1"/>
    </xf>
    <xf numFmtId="0" fontId="0" fillId="6" borderId="11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64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65" xfId="0" applyFill="1" applyBorder="1" applyAlignment="1">
      <alignment horizontal="center" wrapText="1"/>
    </xf>
    <xf numFmtId="0" fontId="0" fillId="6" borderId="13" xfId="0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</cellXfs>
  <cellStyles count="4">
    <cellStyle name="Blue" xfId="1" xr:uid="{37A669F8-AA2A-43B9-9D11-F0388B91473C}"/>
    <cellStyle name="Currency 2" xfId="3" xr:uid="{AC6AFD89-EFF1-4F6E-A5AB-C2621D30E9F6}"/>
    <cellStyle name="Normal" xfId="0" builtinId="0"/>
    <cellStyle name="Normal 2" xfId="2" xr:uid="{2B31ADEB-35D9-42AE-9E5F-2FA11E8DD38F}"/>
  </cellStyles>
  <dxfs count="0"/>
  <tableStyles count="0" defaultTableStyle="TableStyleMedium2" defaultPivotStyle="PivotStyleLight16"/>
  <colors>
    <mruColors>
      <color rgb="FF0000FF"/>
      <color rgb="FFCCFFCC"/>
      <color rgb="FFFF99CC"/>
      <color rgb="FFFFFFCC"/>
      <color rgb="FFF4F9F1"/>
      <color rgb="FF307C52"/>
      <color rgb="FFFFFF99"/>
      <color rgb="FF99FF33"/>
      <color rgb="FF263C18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40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39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38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40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39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38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40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39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38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jpg"/><Relationship Id="rId3" Type="http://schemas.openxmlformats.org/officeDocument/2006/relationships/image" Target="../media/image30.png"/><Relationship Id="rId7" Type="http://schemas.openxmlformats.org/officeDocument/2006/relationships/image" Target="../media/image33.jpg"/><Relationship Id="rId2" Type="http://schemas.openxmlformats.org/officeDocument/2006/relationships/image" Target="../media/image29.jpg"/><Relationship Id="rId1" Type="http://schemas.openxmlformats.org/officeDocument/2006/relationships/image" Target="../media/image28.jpeg"/><Relationship Id="rId6" Type="http://schemas.openxmlformats.org/officeDocument/2006/relationships/image" Target="../media/image32.jpg"/><Relationship Id="rId5" Type="http://schemas.openxmlformats.org/officeDocument/2006/relationships/image" Target="../media/image31.jpeg"/><Relationship Id="rId4" Type="http://schemas.openxmlformats.org/officeDocument/2006/relationships/image" Target="../media/image7.png"/><Relationship Id="rId9" Type="http://schemas.openxmlformats.org/officeDocument/2006/relationships/image" Target="../media/image35.jp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36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3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3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g"/><Relationship Id="rId13" Type="http://schemas.openxmlformats.org/officeDocument/2006/relationships/image" Target="../media/image19.jp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40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39.jpeg"/><Relationship Id="rId1" Type="http://schemas.openxmlformats.org/officeDocument/2006/relationships/image" Target="../media/image7.pn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g"/><Relationship Id="rId15" Type="http://schemas.openxmlformats.org/officeDocument/2006/relationships/image" Target="../media/image21.jpg"/><Relationship Id="rId10" Type="http://schemas.openxmlformats.org/officeDocument/2006/relationships/image" Target="../media/image16.png"/><Relationship Id="rId19" Type="http://schemas.openxmlformats.org/officeDocument/2006/relationships/image" Target="../media/image38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127139</xdr:colOff>
      <xdr:row>9</xdr:row>
      <xdr:rowOff>75373</xdr:rowOff>
    </xdr:from>
    <xdr:to>
      <xdr:col>9</xdr:col>
      <xdr:colOff>69989</xdr:colOff>
      <xdr:row>17</xdr:row>
      <xdr:rowOff>15489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F08FDF4-01B4-4350-9271-468189BC4E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1" t="4114" r="35795" b="46993"/>
        <a:stretch/>
      </xdr:blipFill>
      <xdr:spPr>
        <a:xfrm>
          <a:off x="641489" y="2885248"/>
          <a:ext cx="5467350" cy="2607116"/>
        </a:xfrm>
        <a:prstGeom prst="rect">
          <a:avLst/>
        </a:prstGeom>
      </xdr:spPr>
    </xdr:pic>
    <xdr:clientData/>
  </xdr:twoCellAnchor>
  <xdr:twoCellAnchor editAs="oneCell">
    <xdr:from>
      <xdr:col>9</xdr:col>
      <xdr:colOff>350692</xdr:colOff>
      <xdr:row>4</xdr:row>
      <xdr:rowOff>85724</xdr:rowOff>
    </xdr:from>
    <xdr:to>
      <xdr:col>16</xdr:col>
      <xdr:colOff>626155</xdr:colOff>
      <xdr:row>18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59E59B-995E-4B15-BE31-C591DD24D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9542" y="1466849"/>
          <a:ext cx="5257038" cy="4524375"/>
        </a:xfrm>
        <a:prstGeom prst="rect">
          <a:avLst/>
        </a:prstGeom>
      </xdr:spPr>
    </xdr:pic>
    <xdr:clientData/>
  </xdr:twoCellAnchor>
  <xdr:twoCellAnchor editAs="oneCell">
    <xdr:from>
      <xdr:col>3</xdr:col>
      <xdr:colOff>147929</xdr:colOff>
      <xdr:row>18</xdr:row>
      <xdr:rowOff>305300</xdr:rowOff>
    </xdr:from>
    <xdr:to>
      <xdr:col>7</xdr:col>
      <xdr:colOff>407504</xdr:colOff>
      <xdr:row>20</xdr:row>
      <xdr:rowOff>20290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7D4D3B1-7E97-44E8-AA88-287844D274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097" b="4064"/>
        <a:stretch/>
      </xdr:blipFill>
      <xdr:spPr>
        <a:xfrm>
          <a:off x="2014829" y="6115550"/>
          <a:ext cx="3040875" cy="34364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17</xdr:row>
      <xdr:rowOff>89038</xdr:rowOff>
    </xdr:from>
    <xdr:to>
      <xdr:col>6</xdr:col>
      <xdr:colOff>685800</xdr:colOff>
      <xdr:row>18</xdr:row>
      <xdr:rowOff>108088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0564F97-ED30-467B-A311-9C192459C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5565913"/>
          <a:ext cx="3867150" cy="3524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</xdr:row>
      <xdr:rowOff>122047</xdr:rowOff>
    </xdr:from>
    <xdr:to>
      <xdr:col>9</xdr:col>
      <xdr:colOff>38100</xdr:colOff>
      <xdr:row>8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E0377A-6D92-4313-8D7E-B8874A6A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598422"/>
          <a:ext cx="5467350" cy="1144778"/>
        </a:xfrm>
        <a:prstGeom prst="rect">
          <a:avLst/>
        </a:prstGeom>
      </xdr:spPr>
    </xdr:pic>
    <xdr:clientData/>
  </xdr:twoCellAnchor>
  <xdr:twoCellAnchor editAs="oneCell">
    <xdr:from>
      <xdr:col>8</xdr:col>
      <xdr:colOff>320123</xdr:colOff>
      <xdr:row>15</xdr:row>
      <xdr:rowOff>269104</xdr:rowOff>
    </xdr:from>
    <xdr:to>
      <xdr:col>9</xdr:col>
      <xdr:colOff>567213</xdr:colOff>
      <xdr:row>19</xdr:row>
      <xdr:rowOff>218472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3648" y="5079229"/>
          <a:ext cx="942415" cy="12828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E65DA4-C002-4BF7-9B60-0AA2E6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C8E8E1-230D-4D51-8D15-FB5660051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5691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CD1F90-7875-4D39-ADF2-7A0FF123E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058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BB79D1-B091-44CF-8004-1E7780F991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6403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E42E0B-107D-434E-8FF6-9B5ECEBD6C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093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7CA849-2206-44F4-AD3D-4B10C9C60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6763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A65C385-B83F-476B-8A6D-9DC24EC32E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6763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496D847-2B46-4DFE-895D-37C2D58FF1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7453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16C72931-93DF-4579-BA66-BAA0B32F53EE}"/>
            </a:ext>
          </a:extLst>
        </xdr:cNvPr>
        <xdr:cNvGrpSpPr/>
      </xdr:nvGrpSpPr>
      <xdr:grpSpPr>
        <a:xfrm>
          <a:off x="1394496" y="9132606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DB927FBE-7D2D-4C97-ACF4-B8A74F56991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7806D427-EFAD-49E1-9004-5E9A29C8F3B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AD3F1D7A-0527-43FF-BBDA-2FEAA2BE37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170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C1CFD86-E45E-44B6-B894-040E273E8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8532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212E943-D77B-446D-AD2E-07BFE15784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0287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246F9D4-8861-41EB-9BB0-2F680BFE3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0640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20D68B2-951A-45D8-935C-E47917C1F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9938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BADBF2D-CB3F-4A31-8BE1-3D5940DEA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9584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DEE584A-ACF0-49B2-8F99-B744D8689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8914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C26FA142-1335-43FD-BE37-7E8376F3F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9252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163814</xdr:colOff>
      <xdr:row>7</xdr:row>
      <xdr:rowOff>88926</xdr:rowOff>
    </xdr:from>
    <xdr:to>
      <xdr:col>3</xdr:col>
      <xdr:colOff>546920</xdr:colOff>
      <xdr:row>8</xdr:row>
      <xdr:rowOff>159774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B6282B5-672F-41B5-ABD3-885F423DE50C}"/>
            </a:ext>
          </a:extLst>
        </xdr:cNvPr>
        <xdr:cNvGrpSpPr/>
      </xdr:nvGrpSpPr>
      <xdr:grpSpPr>
        <a:xfrm>
          <a:off x="1411282" y="1379410"/>
          <a:ext cx="1323315" cy="261348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B658013A-2870-4B03-9ADE-0B905295DF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AFAB494-39E5-49F8-9E9C-7B15DB7EBF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7C68ED2B-C5C9-4350-ADA6-6139550142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1C9AC2-17A8-4E04-818E-2025A4657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7217F-A03B-4EEC-B669-62D61DD55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5691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0E4DBB-7B50-4873-A3F8-C37C0B323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058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CF2C51-3BB9-4C65-A96D-115838F7FE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6403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9BCAAB6-9DF6-431E-9B9E-7D833E8C89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093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E4776B9-B609-4B37-A9D6-57E10BE738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6763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653AFA4-829D-4A1A-84B1-F77BD0D562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6763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1311726-DCB9-4120-82FA-662106215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7453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1EF6E028-7D0E-49A7-A29A-C6F248ADE170}"/>
            </a:ext>
          </a:extLst>
        </xdr:cNvPr>
        <xdr:cNvGrpSpPr/>
      </xdr:nvGrpSpPr>
      <xdr:grpSpPr>
        <a:xfrm>
          <a:off x="1394496" y="9132606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59047BB2-370C-4227-9894-20DA2E84A3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3ED7E487-C0E7-48EB-A356-0FF5F3ADB57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B9D7AE9-38CD-46D7-994B-0046ED76D1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170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68FF97F-E7BA-44FE-8B54-90FB2E850E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8532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9FE9A6E-ACC4-4C1B-A288-322450FB32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0287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02BE032-15B0-4D3C-B672-570CC4289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0640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FD0870A-0A9C-43EC-9335-381A49528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9938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27FAEBD-8933-472D-90D0-55678BF6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9584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484A0B2-9054-4B5C-ABB5-B09508DCE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8914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230066F-BCA2-4EB1-AC52-FF10F1F15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9252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163814</xdr:colOff>
      <xdr:row>7</xdr:row>
      <xdr:rowOff>88926</xdr:rowOff>
    </xdr:from>
    <xdr:to>
      <xdr:col>3</xdr:col>
      <xdr:colOff>546920</xdr:colOff>
      <xdr:row>8</xdr:row>
      <xdr:rowOff>159774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F56CE3FA-8B29-45B5-9893-8F27C2C815E4}"/>
            </a:ext>
          </a:extLst>
        </xdr:cNvPr>
        <xdr:cNvGrpSpPr/>
      </xdr:nvGrpSpPr>
      <xdr:grpSpPr>
        <a:xfrm>
          <a:off x="1411282" y="1379410"/>
          <a:ext cx="1323315" cy="261348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3A6BA631-16A4-4F0E-A424-AD99EF2A884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CB19577D-71ED-4E7E-862E-FF2AB6D001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52DCFCC-3936-468F-8F9A-00D6C4027F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DA06A3-02C1-4B32-BD5D-AF3524954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F7800B-7FA4-4AC4-8C4E-B8167EC4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70250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97D1AD-ADB8-4543-AEA0-ED34081C6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73921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AF85DBC-B33A-4644-93E2-877B778C00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77372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23C0FA-D414-45FE-8764-8999244CB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84274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D8E820-F4F7-4219-BDA5-F8DE97EC4C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80969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060C7CB-FC62-4C7B-B7F7-BA9B7EFF1E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80969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48538B-5C49-49DA-B1B7-3FE471CB28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87871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4C39951-2148-447C-8A70-50EC82F39C9E}"/>
            </a:ext>
          </a:extLst>
        </xdr:cNvPr>
        <xdr:cNvGrpSpPr/>
      </xdr:nvGrpSpPr>
      <xdr:grpSpPr>
        <a:xfrm>
          <a:off x="1394496" y="9132606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B1D92A85-EC87-430F-9E94-59F030E2B8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6F25E60-9E72-4C39-BB64-DB4D44C1F09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C02C0E-634C-4045-BF6B-145BCF157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95043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8F613E8-95AE-4C76-BB26-6768ECBEB6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98664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F29453C-5D34-420B-913B-FA5DFB372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16212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148A7BA-5CBA-40B0-AD83-52F270E874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19736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33E8B2B-C04A-4CC7-8CA9-018C2F08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112722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4460D5E-42E2-431F-B31F-3FF9F4A52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109175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426908E-2E89-43E9-A31A-15C823220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102481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BD55CC4-9334-41EE-A1F8-8B473B65B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105856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163814</xdr:colOff>
      <xdr:row>7</xdr:row>
      <xdr:rowOff>88926</xdr:rowOff>
    </xdr:from>
    <xdr:to>
      <xdr:col>3</xdr:col>
      <xdr:colOff>546920</xdr:colOff>
      <xdr:row>8</xdr:row>
      <xdr:rowOff>159774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5655D588-EC48-4B9F-A0BA-095BE248B3AB}"/>
            </a:ext>
          </a:extLst>
        </xdr:cNvPr>
        <xdr:cNvGrpSpPr/>
      </xdr:nvGrpSpPr>
      <xdr:grpSpPr>
        <a:xfrm>
          <a:off x="1411282" y="1379410"/>
          <a:ext cx="1323315" cy="261348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6426F861-2DC1-4766-B3DE-8B72B046DC5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7E5D267D-8569-4F78-892C-25348FA9F9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C86DA461-CE2C-4A74-8268-1BBC50CCFA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81643</xdr:colOff>
      <xdr:row>2</xdr:row>
      <xdr:rowOff>48987</xdr:rowOff>
    </xdr:from>
    <xdr:to>
      <xdr:col>2</xdr:col>
      <xdr:colOff>1093602</xdr:colOff>
      <xdr:row>3</xdr:row>
      <xdr:rowOff>125187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E03881-2195-429F-B84F-539F3A800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239487"/>
          <a:ext cx="1011959" cy="277586"/>
        </a:xfrm>
        <a:prstGeom prst="rect">
          <a:avLst/>
        </a:prstGeom>
      </xdr:spPr>
    </xdr:pic>
    <xdr:clientData/>
  </xdr:twoCellAnchor>
  <xdr:twoCellAnchor editAs="oneCell">
    <xdr:from>
      <xdr:col>8</xdr:col>
      <xdr:colOff>233800</xdr:colOff>
      <xdr:row>50</xdr:row>
      <xdr:rowOff>14655</xdr:rowOff>
    </xdr:from>
    <xdr:to>
      <xdr:col>8</xdr:col>
      <xdr:colOff>570839</xdr:colOff>
      <xdr:row>51</xdr:row>
      <xdr:rowOff>164741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CE2DC8-EF85-440E-BE08-321F1903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100" y="2710230"/>
          <a:ext cx="337039" cy="340587"/>
        </a:xfrm>
        <a:prstGeom prst="rect">
          <a:avLst/>
        </a:prstGeom>
      </xdr:spPr>
    </xdr:pic>
    <xdr:clientData/>
  </xdr:twoCellAnchor>
  <xdr:twoCellAnchor editAs="oneCell">
    <xdr:from>
      <xdr:col>8</xdr:col>
      <xdr:colOff>184928</xdr:colOff>
      <xdr:row>51</xdr:row>
      <xdr:rowOff>29308</xdr:rowOff>
    </xdr:from>
    <xdr:to>
      <xdr:col>9</xdr:col>
      <xdr:colOff>10109</xdr:colOff>
      <xdr:row>52</xdr:row>
      <xdr:rowOff>143805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975969-AB57-4F70-A912-87B565EA8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228" y="3077308"/>
          <a:ext cx="434782" cy="304997"/>
        </a:xfrm>
        <a:prstGeom prst="rect">
          <a:avLst/>
        </a:prstGeom>
      </xdr:spPr>
    </xdr:pic>
    <xdr:clientData/>
  </xdr:twoCellAnchor>
  <xdr:twoCellAnchor editAs="oneCell">
    <xdr:from>
      <xdr:col>8</xdr:col>
      <xdr:colOff>200829</xdr:colOff>
      <xdr:row>52</xdr:row>
      <xdr:rowOff>21981</xdr:rowOff>
    </xdr:from>
    <xdr:to>
      <xdr:col>8</xdr:col>
      <xdr:colOff>603810</xdr:colOff>
      <xdr:row>53</xdr:row>
      <xdr:rowOff>153091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62E744-976F-420A-AA32-C1B7D3BA06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839129" y="3422406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8</xdr:col>
      <xdr:colOff>163631</xdr:colOff>
      <xdr:row>54</xdr:row>
      <xdr:rowOff>7327</xdr:rowOff>
    </xdr:from>
    <xdr:to>
      <xdr:col>9</xdr:col>
      <xdr:colOff>31407</xdr:colOff>
      <xdr:row>55</xdr:row>
      <xdr:rowOff>156876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BCAA22-846E-4BE4-BCDF-073471B61B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801931" y="4112602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8</xdr:col>
      <xdr:colOff>15111</xdr:colOff>
      <xdr:row>53</xdr:row>
      <xdr:rowOff>29307</xdr:rowOff>
    </xdr:from>
    <xdr:to>
      <xdr:col>8</xdr:col>
      <xdr:colOff>379534</xdr:colOff>
      <xdr:row>54</xdr:row>
      <xdr:rowOff>129645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1793F62-455D-400D-9D7D-F7F11045F3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53411" y="3782157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8</xdr:col>
      <xdr:colOff>378122</xdr:colOff>
      <xdr:row>53</xdr:row>
      <xdr:rowOff>29307</xdr:rowOff>
    </xdr:from>
    <xdr:to>
      <xdr:col>9</xdr:col>
      <xdr:colOff>149469</xdr:colOff>
      <xdr:row>54</xdr:row>
      <xdr:rowOff>142833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B2CE6D8-3EA0-4A7D-9A3C-2B554E555A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2016422" y="3782157"/>
          <a:ext cx="380948" cy="304026"/>
        </a:xfrm>
        <a:prstGeom prst="rect">
          <a:avLst/>
        </a:prstGeom>
      </xdr:spPr>
    </xdr:pic>
    <xdr:clientData/>
  </xdr:twoCellAnchor>
  <xdr:twoCellAnchor editAs="oneCell">
    <xdr:from>
      <xdr:col>8</xdr:col>
      <xdr:colOff>147028</xdr:colOff>
      <xdr:row>55</xdr:row>
      <xdr:rowOff>14652</xdr:rowOff>
    </xdr:from>
    <xdr:to>
      <xdr:col>9</xdr:col>
      <xdr:colOff>48009</xdr:colOff>
      <xdr:row>56</xdr:row>
      <xdr:rowOff>153864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B3B57B6-011C-4130-B2DA-AF9BFAE6C9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785328" y="4472352"/>
          <a:ext cx="510582" cy="329712"/>
        </a:xfrm>
        <a:prstGeom prst="rect">
          <a:avLst/>
        </a:prstGeom>
      </xdr:spPr>
    </xdr:pic>
    <xdr:clientData/>
  </xdr:twoCellAnchor>
  <xdr:twoCellAnchor>
    <xdr:from>
      <xdr:col>8</xdr:col>
      <xdr:colOff>147028</xdr:colOff>
      <xdr:row>56</xdr:row>
      <xdr:rowOff>13187</xdr:rowOff>
    </xdr:from>
    <xdr:to>
      <xdr:col>8</xdr:col>
      <xdr:colOff>657610</xdr:colOff>
      <xdr:row>56</xdr:row>
      <xdr:rowOff>190499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7CDF466-F432-42D8-874A-B7E59B28E8CD}"/>
            </a:ext>
          </a:extLst>
        </xdr:cNvPr>
        <xdr:cNvGrpSpPr/>
      </xdr:nvGrpSpPr>
      <xdr:grpSpPr>
        <a:xfrm>
          <a:off x="7571085" y="11089401"/>
          <a:ext cx="462957" cy="177312"/>
          <a:chOff x="3215053" y="3068514"/>
          <a:chExt cx="510582" cy="329712"/>
        </a:xfrm>
      </xdr:grpSpPr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9CBED804-84A8-4441-BB64-8E185EDE3A3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B724F0E6-FE2F-40B6-B22D-F36FA815D91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193502</xdr:colOff>
      <xdr:row>57</xdr:row>
      <xdr:rowOff>26981</xdr:rowOff>
    </xdr:from>
    <xdr:to>
      <xdr:col>9</xdr:col>
      <xdr:colOff>1535</xdr:colOff>
      <xdr:row>58</xdr:row>
      <xdr:rowOff>124557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281D6A1-EBBD-4253-AAD2-4B3844FDA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831802" y="5189531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8</xdr:col>
      <xdr:colOff>215482</xdr:colOff>
      <xdr:row>58</xdr:row>
      <xdr:rowOff>36634</xdr:rowOff>
    </xdr:from>
    <xdr:to>
      <xdr:col>8</xdr:col>
      <xdr:colOff>589157</xdr:colOff>
      <xdr:row>59</xdr:row>
      <xdr:rowOff>134210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56E7011-0C6E-4664-9D27-BC77CD51CE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853782" y="5551609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8</xdr:col>
      <xdr:colOff>186673</xdr:colOff>
      <xdr:row>63</xdr:row>
      <xdr:rowOff>29308</xdr:rowOff>
    </xdr:from>
    <xdr:to>
      <xdr:col>9</xdr:col>
      <xdr:colOff>8365</xdr:colOff>
      <xdr:row>64</xdr:row>
      <xdr:rowOff>153866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9515DE8-687A-47F7-844B-F7BCCB5D8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824973" y="7306408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8</xdr:col>
      <xdr:colOff>79275</xdr:colOff>
      <xdr:row>64</xdr:row>
      <xdr:rowOff>29308</xdr:rowOff>
    </xdr:from>
    <xdr:to>
      <xdr:col>9</xdr:col>
      <xdr:colOff>115763</xdr:colOff>
      <xdr:row>65</xdr:row>
      <xdr:rowOff>139212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0657E5B-4A60-40FB-8A38-1E3761950D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717575" y="7658833"/>
          <a:ext cx="646089" cy="300404"/>
        </a:xfrm>
        <a:prstGeom prst="rect">
          <a:avLst/>
        </a:prstGeom>
      </xdr:spPr>
    </xdr:pic>
    <xdr:clientData/>
  </xdr:twoCellAnchor>
  <xdr:twoCellAnchor editAs="oneCell">
    <xdr:from>
      <xdr:col>8</xdr:col>
      <xdr:colOff>248719</xdr:colOff>
      <xdr:row>62</xdr:row>
      <xdr:rowOff>32769</xdr:rowOff>
    </xdr:from>
    <xdr:to>
      <xdr:col>8</xdr:col>
      <xdr:colOff>555919</xdr:colOff>
      <xdr:row>63</xdr:row>
      <xdr:rowOff>139141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9B5BEA9-CB81-4A59-92E0-2F8317B19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87019" y="6957444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8</xdr:col>
      <xdr:colOff>204492</xdr:colOff>
      <xdr:row>61</xdr:row>
      <xdr:rowOff>30446</xdr:rowOff>
    </xdr:from>
    <xdr:to>
      <xdr:col>8</xdr:col>
      <xdr:colOff>600147</xdr:colOff>
      <xdr:row>62</xdr:row>
      <xdr:rowOff>144565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084AEBC-0960-44CB-AD0E-5AE35FE50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792" y="6602696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8</xdr:col>
      <xdr:colOff>176838</xdr:colOff>
      <xdr:row>59</xdr:row>
      <xdr:rowOff>65942</xdr:rowOff>
    </xdr:from>
    <xdr:to>
      <xdr:col>9</xdr:col>
      <xdr:colOff>18199</xdr:colOff>
      <xdr:row>60</xdr:row>
      <xdr:rowOff>147396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EE75A5E-4EDE-44D8-BA78-8D1930648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138" y="5933342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8</xdr:col>
      <xdr:colOff>240326</xdr:colOff>
      <xdr:row>60</xdr:row>
      <xdr:rowOff>50963</xdr:rowOff>
    </xdr:from>
    <xdr:to>
      <xdr:col>8</xdr:col>
      <xdr:colOff>564312</xdr:colOff>
      <xdr:row>61</xdr:row>
      <xdr:rowOff>109904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FC4FEDB-5DDE-406C-AE50-8C7157F82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8626" y="6270788"/>
          <a:ext cx="323986" cy="249441"/>
        </a:xfrm>
        <a:prstGeom prst="rect">
          <a:avLst/>
        </a:prstGeom>
      </xdr:spPr>
    </xdr:pic>
    <xdr:clientData/>
  </xdr:twoCellAnchor>
  <xdr:twoCellAnchor>
    <xdr:from>
      <xdr:col>3</xdr:col>
      <xdr:colOff>397329</xdr:colOff>
      <xdr:row>6</xdr:row>
      <xdr:rowOff>82781</xdr:rowOff>
    </xdr:from>
    <xdr:to>
      <xdr:col>5</xdr:col>
      <xdr:colOff>326571</xdr:colOff>
      <xdr:row>8</xdr:row>
      <xdr:rowOff>123825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E3D01632-4C20-4E2F-B3EB-B5A93E978691}"/>
            </a:ext>
          </a:extLst>
        </xdr:cNvPr>
        <xdr:cNvGrpSpPr/>
      </xdr:nvGrpSpPr>
      <xdr:grpSpPr>
        <a:xfrm>
          <a:off x="3320143" y="1220338"/>
          <a:ext cx="1736271" cy="422044"/>
          <a:chOff x="1545771" y="1049719"/>
          <a:chExt cx="1856014" cy="451150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8198FD0E-AAE0-488B-8543-9A9544D304D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BFBDA236-8150-468F-A9A1-341449EE83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0646C2D8-EAA0-4E9C-833A-8854666BB9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50968</xdr:colOff>
      <xdr:row>5</xdr:row>
      <xdr:rowOff>8975</xdr:rowOff>
    </xdr:from>
    <xdr:to>
      <xdr:col>2</xdr:col>
      <xdr:colOff>368384</xdr:colOff>
      <xdr:row>13</xdr:row>
      <xdr:rowOff>20184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E9F186D-951A-4209-A601-75C5BDE172E3}"/>
            </a:ext>
          </a:extLst>
        </xdr:cNvPr>
        <xdr:cNvSpPr/>
      </xdr:nvSpPr>
      <xdr:spPr>
        <a:xfrm>
          <a:off x="50968" y="8975"/>
          <a:ext cx="929021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Logging Company </a:t>
          </a:r>
          <a:r>
            <a:rPr lang="en-US" sz="1100" baseline="0"/>
            <a:t>in Finland</a:t>
          </a:r>
          <a:endParaRPr lang="en-US" sz="1100"/>
        </a:p>
      </xdr:txBody>
    </xdr:sp>
    <xdr:clientData/>
  </xdr:twoCellAnchor>
  <xdr:twoCellAnchor editAs="oneCell">
    <xdr:from>
      <xdr:col>2</xdr:col>
      <xdr:colOff>424398</xdr:colOff>
      <xdr:row>5</xdr:row>
      <xdr:rowOff>8975</xdr:rowOff>
    </xdr:from>
    <xdr:to>
      <xdr:col>2</xdr:col>
      <xdr:colOff>1654341</xdr:colOff>
      <xdr:row>13</xdr:row>
      <xdr:rowOff>20184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17AEA75E-BA1E-47E0-AEA6-E64705F6A2F4}"/>
            </a:ext>
          </a:extLst>
        </xdr:cNvPr>
        <xdr:cNvSpPr/>
      </xdr:nvSpPr>
      <xdr:spPr>
        <a:xfrm>
          <a:off x="1036003" y="8975"/>
          <a:ext cx="1229943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Plywood Manufacturer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in Finland</a:t>
          </a:r>
          <a:endParaRPr lang="en-US">
            <a:effectLst/>
          </a:endParaRPr>
        </a:p>
      </xdr:txBody>
    </xdr:sp>
    <xdr:clientData/>
  </xdr:twoCellAnchor>
  <xdr:twoCellAnchor editAs="oneCell">
    <xdr:from>
      <xdr:col>2</xdr:col>
      <xdr:colOff>1704381</xdr:colOff>
      <xdr:row>5</xdr:row>
      <xdr:rowOff>8975</xdr:rowOff>
    </xdr:from>
    <xdr:to>
      <xdr:col>2</xdr:col>
      <xdr:colOff>2772277</xdr:colOff>
      <xdr:row>13</xdr:row>
      <xdr:rowOff>20184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36C01E1D-44DB-4BE9-AECA-F8C5D5BE403C}"/>
            </a:ext>
          </a:extLst>
        </xdr:cNvPr>
        <xdr:cNvSpPr/>
      </xdr:nvSpPr>
      <xdr:spPr>
        <a:xfrm>
          <a:off x="2315986" y="8975"/>
          <a:ext cx="1067896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Plywood Distributor in USA</a:t>
          </a:r>
          <a:endParaRPr lang="en-US">
            <a:effectLst/>
          </a:endParaRPr>
        </a:p>
      </xdr:txBody>
    </xdr:sp>
    <xdr:clientData/>
  </xdr:twoCellAnchor>
  <xdr:twoCellAnchor editAs="oneCell">
    <xdr:from>
      <xdr:col>2</xdr:col>
      <xdr:colOff>2858834</xdr:colOff>
      <xdr:row>5</xdr:row>
      <xdr:rowOff>8975</xdr:rowOff>
    </xdr:from>
    <xdr:to>
      <xdr:col>2</xdr:col>
      <xdr:colOff>4005513</xdr:colOff>
      <xdr:row>13</xdr:row>
      <xdr:rowOff>20184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C696CCE9-ED8C-44B0-BFF0-1EB0781F50F1}"/>
            </a:ext>
          </a:extLst>
        </xdr:cNvPr>
        <xdr:cNvSpPr/>
      </xdr:nvSpPr>
      <xdr:spPr>
        <a:xfrm>
          <a:off x="3470439" y="8975"/>
          <a:ext cx="1146679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Gel Boomerangs</a:t>
          </a:r>
          <a:endParaRPr lang="en-US">
            <a:effectLst/>
          </a:endParaRPr>
        </a:p>
      </xdr:txBody>
    </xdr:sp>
    <xdr:clientData/>
  </xdr:twoCellAnchor>
  <xdr:twoCellAnchor editAs="oneCell">
    <xdr:from>
      <xdr:col>2</xdr:col>
      <xdr:colOff>4048405</xdr:colOff>
      <xdr:row>5</xdr:row>
      <xdr:rowOff>8975</xdr:rowOff>
    </xdr:from>
    <xdr:to>
      <xdr:col>2</xdr:col>
      <xdr:colOff>4991569</xdr:colOff>
      <xdr:row>13</xdr:row>
      <xdr:rowOff>20184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FF778933-4C39-424B-9B84-8CE1BC9D8268}"/>
            </a:ext>
          </a:extLst>
        </xdr:cNvPr>
        <xdr:cNvSpPr/>
      </xdr:nvSpPr>
      <xdr:spPr>
        <a:xfrm>
          <a:off x="4660010" y="8975"/>
          <a:ext cx="943164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Kite Flight Retail Store</a:t>
          </a:r>
          <a:endParaRPr lang="en-US">
            <a:effectLst/>
          </a:endParaRPr>
        </a:p>
      </xdr:txBody>
    </xdr:sp>
    <xdr:clientData/>
  </xdr:twoCellAnchor>
  <xdr:twoCellAnchor editAs="oneCell">
    <xdr:from>
      <xdr:col>2</xdr:col>
      <xdr:colOff>5092676</xdr:colOff>
      <xdr:row>5</xdr:row>
      <xdr:rowOff>8975</xdr:rowOff>
    </xdr:from>
    <xdr:to>
      <xdr:col>5</xdr:col>
      <xdr:colOff>320841</xdr:colOff>
      <xdr:row>13</xdr:row>
      <xdr:rowOff>20184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DA8D20FE-1CDC-4B1F-8B60-15CF19BE4847}"/>
            </a:ext>
          </a:extLst>
        </xdr:cNvPr>
        <xdr:cNvSpPr/>
      </xdr:nvSpPr>
      <xdr:spPr>
        <a:xfrm>
          <a:off x="5704281" y="8975"/>
          <a:ext cx="1103586" cy="1199328"/>
        </a:xfrm>
        <a:prstGeom prst="rightArrow">
          <a:avLst>
            <a:gd name="adj1" fmla="val 77097"/>
            <a:gd name="adj2" fmla="val 26948"/>
          </a:avLst>
        </a:prstGeom>
        <a:solidFill>
          <a:srgbClr val="0000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Customer Buys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Boomerang</a:t>
          </a:r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</xdr:rowOff>
    </xdr:from>
    <xdr:to>
      <xdr:col>2</xdr:col>
      <xdr:colOff>213832</xdr:colOff>
      <xdr:row>4</xdr:row>
      <xdr:rowOff>115304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B511114-D4F1-4C59-9750-9069310D4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25437" cy="596566"/>
        </a:xfrm>
        <a:prstGeom prst="rect">
          <a:avLst/>
        </a:prstGeom>
      </xdr:spPr>
    </xdr:pic>
    <xdr:clientData/>
  </xdr:twoCellAnchor>
  <xdr:twoCellAnchor editAs="oneCell">
    <xdr:from>
      <xdr:col>2</xdr:col>
      <xdr:colOff>411079</xdr:colOff>
      <xdr:row>0</xdr:row>
      <xdr:rowOff>50132</xdr:rowOff>
    </xdr:from>
    <xdr:to>
      <xdr:col>2</xdr:col>
      <xdr:colOff>1190625</xdr:colOff>
      <xdr:row>5</xdr:row>
      <xdr:rowOff>27573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DCABE8-9314-41BD-B1E5-A7E6B0874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4237" y="50132"/>
          <a:ext cx="779546" cy="779546"/>
        </a:xfrm>
        <a:prstGeom prst="rect">
          <a:avLst/>
        </a:prstGeom>
      </xdr:spPr>
    </xdr:pic>
    <xdr:clientData/>
  </xdr:twoCellAnchor>
  <xdr:twoCellAnchor editAs="oneCell">
    <xdr:from>
      <xdr:col>2</xdr:col>
      <xdr:colOff>1579145</xdr:colOff>
      <xdr:row>1</xdr:row>
      <xdr:rowOff>5013</xdr:rowOff>
    </xdr:from>
    <xdr:to>
      <xdr:col>2</xdr:col>
      <xdr:colOff>2356332</xdr:colOff>
      <xdr:row>4</xdr:row>
      <xdr:rowOff>121820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1FF2764-1857-4DFA-A073-AB990282A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303" y="165434"/>
          <a:ext cx="777187" cy="598070"/>
        </a:xfrm>
        <a:prstGeom prst="rect">
          <a:avLst/>
        </a:prstGeom>
      </xdr:spPr>
    </xdr:pic>
    <xdr:clientData/>
  </xdr:twoCellAnchor>
  <xdr:twoCellAnchor editAs="oneCell">
    <xdr:from>
      <xdr:col>2</xdr:col>
      <xdr:colOff>2792329</xdr:colOff>
      <xdr:row>1</xdr:row>
      <xdr:rowOff>112949</xdr:rowOff>
    </xdr:from>
    <xdr:to>
      <xdr:col>2</xdr:col>
      <xdr:colOff>3734803</xdr:colOff>
      <xdr:row>3</xdr:row>
      <xdr:rowOff>50633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980325E-F0C7-4528-9A7D-76C424A7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5487" y="273370"/>
          <a:ext cx="942474" cy="258526"/>
        </a:xfrm>
        <a:prstGeom prst="rect">
          <a:avLst/>
        </a:prstGeom>
      </xdr:spPr>
    </xdr:pic>
    <xdr:clientData/>
  </xdr:twoCellAnchor>
  <xdr:twoCellAnchor editAs="oneCell">
    <xdr:from>
      <xdr:col>2</xdr:col>
      <xdr:colOff>3940342</xdr:colOff>
      <xdr:row>0</xdr:row>
      <xdr:rowOff>155106</xdr:rowOff>
    </xdr:from>
    <xdr:to>
      <xdr:col>2</xdr:col>
      <xdr:colOff>4784557</xdr:colOff>
      <xdr:row>4</xdr:row>
      <xdr:rowOff>45277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ACDB94E-BC05-4518-985B-72AECFC21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155106"/>
          <a:ext cx="844215" cy="531855"/>
        </a:xfrm>
        <a:prstGeom prst="rect">
          <a:avLst/>
        </a:prstGeom>
      </xdr:spPr>
    </xdr:pic>
    <xdr:clientData/>
  </xdr:twoCellAnchor>
  <xdr:twoCellAnchor editAs="oneCell">
    <xdr:from>
      <xdr:col>3</xdr:col>
      <xdr:colOff>65171</xdr:colOff>
      <xdr:row>1</xdr:row>
      <xdr:rowOff>35613</xdr:rowOff>
    </xdr:from>
    <xdr:to>
      <xdr:col>5</xdr:col>
      <xdr:colOff>306805</xdr:colOff>
      <xdr:row>4</xdr:row>
      <xdr:rowOff>54141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F5545A7-6123-4A96-9DEF-CB155F5C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1724" y="196034"/>
          <a:ext cx="1013660" cy="499791"/>
        </a:xfrm>
        <a:prstGeom prst="rect">
          <a:avLst/>
        </a:prstGeom>
      </xdr:spPr>
    </xdr:pic>
    <xdr:clientData/>
  </xdr:twoCellAnchor>
  <xdr:twoCellAnchor editAs="oneCell">
    <xdr:from>
      <xdr:col>6</xdr:col>
      <xdr:colOff>10026</xdr:colOff>
      <xdr:row>2</xdr:row>
      <xdr:rowOff>67795</xdr:rowOff>
    </xdr:from>
    <xdr:to>
      <xdr:col>9</xdr:col>
      <xdr:colOff>98760</xdr:colOff>
      <xdr:row>11</xdr:row>
      <xdr:rowOff>141872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A3EA76C-EDDE-4681-99C2-E61F6A36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9237" y="388637"/>
          <a:ext cx="1527510" cy="1422617"/>
        </a:xfrm>
        <a:prstGeom prst="rect">
          <a:avLst/>
        </a:prstGeom>
      </xdr:spPr>
    </xdr:pic>
    <xdr:clientData/>
  </xdr:twoCellAnchor>
  <xdr:twoCellAnchor editAs="oneCell">
    <xdr:from>
      <xdr:col>6</xdr:col>
      <xdr:colOff>431131</xdr:colOff>
      <xdr:row>18</xdr:row>
      <xdr:rowOff>110045</xdr:rowOff>
    </xdr:from>
    <xdr:to>
      <xdr:col>9</xdr:col>
      <xdr:colOff>16041</xdr:colOff>
      <xdr:row>22</xdr:row>
      <xdr:rowOff>42613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209A00D-13B4-4D69-893C-031F3E4D4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0342" y="3032716"/>
          <a:ext cx="1195136" cy="644436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14</xdr:row>
      <xdr:rowOff>70185</xdr:rowOff>
    </xdr:from>
    <xdr:to>
      <xdr:col>7</xdr:col>
      <xdr:colOff>553559</xdr:colOff>
      <xdr:row>16</xdr:row>
      <xdr:rowOff>147494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48C1377B-9057-4FDB-806F-053C2BA89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6013" y="2230856"/>
          <a:ext cx="458309" cy="458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81643</xdr:colOff>
      <xdr:row>11</xdr:row>
      <xdr:rowOff>48987</xdr:rowOff>
    </xdr:from>
    <xdr:to>
      <xdr:col>2</xdr:col>
      <xdr:colOff>1093602</xdr:colOff>
      <xdr:row>12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DC88CF-4166-4AB2-B6C6-5500FB6B4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918" y="22016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8</xdr:col>
      <xdr:colOff>233800</xdr:colOff>
      <xdr:row>59</xdr:row>
      <xdr:rowOff>14655</xdr:rowOff>
    </xdr:from>
    <xdr:to>
      <xdr:col>8</xdr:col>
      <xdr:colOff>570839</xdr:colOff>
      <xdr:row>60</xdr:row>
      <xdr:rowOff>164741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1EC752-A00C-4C46-8670-80777DB0A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3300" y="11711355"/>
          <a:ext cx="337039" cy="350111"/>
        </a:xfrm>
        <a:prstGeom prst="rect">
          <a:avLst/>
        </a:prstGeom>
      </xdr:spPr>
    </xdr:pic>
    <xdr:clientData/>
  </xdr:twoCellAnchor>
  <xdr:twoCellAnchor editAs="oneCell">
    <xdr:from>
      <xdr:col>8</xdr:col>
      <xdr:colOff>184928</xdr:colOff>
      <xdr:row>60</xdr:row>
      <xdr:rowOff>29308</xdr:rowOff>
    </xdr:from>
    <xdr:to>
      <xdr:col>9</xdr:col>
      <xdr:colOff>10109</xdr:colOff>
      <xdr:row>61</xdr:row>
      <xdr:rowOff>143805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E5ED34-2107-408B-8CFC-98ABF601A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4428" y="11926033"/>
          <a:ext cx="434781" cy="314522"/>
        </a:xfrm>
        <a:prstGeom prst="rect">
          <a:avLst/>
        </a:prstGeom>
      </xdr:spPr>
    </xdr:pic>
    <xdr:clientData/>
  </xdr:twoCellAnchor>
  <xdr:twoCellAnchor editAs="oneCell">
    <xdr:from>
      <xdr:col>8</xdr:col>
      <xdr:colOff>200829</xdr:colOff>
      <xdr:row>61</xdr:row>
      <xdr:rowOff>21981</xdr:rowOff>
    </xdr:from>
    <xdr:to>
      <xdr:col>8</xdr:col>
      <xdr:colOff>603810</xdr:colOff>
      <xdr:row>62</xdr:row>
      <xdr:rowOff>153091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2E7D73-9719-4A28-85A7-F105BE772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7630329" y="12118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8</xdr:col>
      <xdr:colOff>163631</xdr:colOff>
      <xdr:row>63</xdr:row>
      <xdr:rowOff>7327</xdr:rowOff>
    </xdr:from>
    <xdr:to>
      <xdr:col>9</xdr:col>
      <xdr:colOff>31407</xdr:colOff>
      <xdr:row>64</xdr:row>
      <xdr:rowOff>156876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3291CF-389F-4605-88F7-DFEE3952F2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7593131" y="12485077"/>
          <a:ext cx="477376" cy="340049"/>
        </a:xfrm>
        <a:prstGeom prst="rect">
          <a:avLst/>
        </a:prstGeom>
      </xdr:spPr>
    </xdr:pic>
    <xdr:clientData/>
  </xdr:twoCellAnchor>
  <xdr:twoCellAnchor editAs="oneCell">
    <xdr:from>
      <xdr:col>8</xdr:col>
      <xdr:colOff>15111</xdr:colOff>
      <xdr:row>62</xdr:row>
      <xdr:rowOff>29307</xdr:rowOff>
    </xdr:from>
    <xdr:to>
      <xdr:col>8</xdr:col>
      <xdr:colOff>379534</xdr:colOff>
      <xdr:row>63</xdr:row>
      <xdr:rowOff>129645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0352DF-9C59-48F6-BE99-0B3C3523AD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7444611" y="12316557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8</xdr:col>
      <xdr:colOff>378122</xdr:colOff>
      <xdr:row>62</xdr:row>
      <xdr:rowOff>29307</xdr:rowOff>
    </xdr:from>
    <xdr:to>
      <xdr:col>9</xdr:col>
      <xdr:colOff>149469</xdr:colOff>
      <xdr:row>63</xdr:row>
      <xdr:rowOff>142833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CB328C-D7F4-4273-8433-DF921ADA86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7807622" y="12316557"/>
          <a:ext cx="380947" cy="304026"/>
        </a:xfrm>
        <a:prstGeom prst="rect">
          <a:avLst/>
        </a:prstGeom>
      </xdr:spPr>
    </xdr:pic>
    <xdr:clientData/>
  </xdr:twoCellAnchor>
  <xdr:twoCellAnchor editAs="oneCell">
    <xdr:from>
      <xdr:col>8</xdr:col>
      <xdr:colOff>147028</xdr:colOff>
      <xdr:row>64</xdr:row>
      <xdr:rowOff>14652</xdr:rowOff>
    </xdr:from>
    <xdr:to>
      <xdr:col>9</xdr:col>
      <xdr:colOff>48009</xdr:colOff>
      <xdr:row>65</xdr:row>
      <xdr:rowOff>153864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6862BCD-61F6-4ADA-9861-21C0A63411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7576528" y="12682902"/>
          <a:ext cx="510581" cy="329712"/>
        </a:xfrm>
        <a:prstGeom prst="rect">
          <a:avLst/>
        </a:prstGeom>
      </xdr:spPr>
    </xdr:pic>
    <xdr:clientData/>
  </xdr:twoCellAnchor>
  <xdr:twoCellAnchor>
    <xdr:from>
      <xdr:col>8</xdr:col>
      <xdr:colOff>147028</xdr:colOff>
      <xdr:row>65</xdr:row>
      <xdr:rowOff>13187</xdr:rowOff>
    </xdr:from>
    <xdr:to>
      <xdr:col>9</xdr:col>
      <xdr:colOff>385</xdr:colOff>
      <xdr:row>65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2B2974A-9F7C-4D78-A9CB-04AB73A5D161}"/>
            </a:ext>
          </a:extLst>
        </xdr:cNvPr>
        <xdr:cNvGrpSpPr/>
      </xdr:nvGrpSpPr>
      <xdr:grpSpPr>
        <a:xfrm>
          <a:off x="7576528" y="12857283"/>
          <a:ext cx="46149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BD4D1E1-ACE3-4AA2-9963-93706CDFF7E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498784C9-7B87-4241-A7FC-25335785C15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193502</xdr:colOff>
      <xdr:row>66</xdr:row>
      <xdr:rowOff>26981</xdr:rowOff>
    </xdr:from>
    <xdr:to>
      <xdr:col>9</xdr:col>
      <xdr:colOff>1535</xdr:colOff>
      <xdr:row>67</xdr:row>
      <xdr:rowOff>124557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E623EEF-D4D7-4ED8-9E33-4CF23EF9AC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7623002" y="13076231"/>
          <a:ext cx="417633" cy="288076"/>
        </a:xfrm>
        <a:prstGeom prst="rect">
          <a:avLst/>
        </a:prstGeom>
      </xdr:spPr>
    </xdr:pic>
    <xdr:clientData/>
  </xdr:twoCellAnchor>
  <xdr:twoCellAnchor editAs="oneCell">
    <xdr:from>
      <xdr:col>8</xdr:col>
      <xdr:colOff>215482</xdr:colOff>
      <xdr:row>67</xdr:row>
      <xdr:rowOff>36634</xdr:rowOff>
    </xdr:from>
    <xdr:to>
      <xdr:col>8</xdr:col>
      <xdr:colOff>589157</xdr:colOff>
      <xdr:row>68</xdr:row>
      <xdr:rowOff>134210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D1F3F70-C477-4F15-90C2-319A27BBF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7644982" y="1327638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8</xdr:col>
      <xdr:colOff>186673</xdr:colOff>
      <xdr:row>72</xdr:row>
      <xdr:rowOff>29308</xdr:rowOff>
    </xdr:from>
    <xdr:to>
      <xdr:col>9</xdr:col>
      <xdr:colOff>8365</xdr:colOff>
      <xdr:row>73</xdr:row>
      <xdr:rowOff>153866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4A5EA29-91D1-4539-AC5F-CCEC767D7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7616173" y="14221558"/>
          <a:ext cx="431292" cy="315058"/>
        </a:xfrm>
        <a:prstGeom prst="rect">
          <a:avLst/>
        </a:prstGeom>
      </xdr:spPr>
    </xdr:pic>
    <xdr:clientData/>
  </xdr:twoCellAnchor>
  <xdr:twoCellAnchor editAs="oneCell">
    <xdr:from>
      <xdr:col>8</xdr:col>
      <xdr:colOff>79275</xdr:colOff>
      <xdr:row>73</xdr:row>
      <xdr:rowOff>29308</xdr:rowOff>
    </xdr:from>
    <xdr:to>
      <xdr:col>9</xdr:col>
      <xdr:colOff>115763</xdr:colOff>
      <xdr:row>74</xdr:row>
      <xdr:rowOff>139212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246D905-5A14-494B-8778-ACD038F6E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7508775" y="14412058"/>
          <a:ext cx="646088" cy="300404"/>
        </a:xfrm>
        <a:prstGeom prst="rect">
          <a:avLst/>
        </a:prstGeom>
      </xdr:spPr>
    </xdr:pic>
    <xdr:clientData/>
  </xdr:twoCellAnchor>
  <xdr:twoCellAnchor editAs="oneCell">
    <xdr:from>
      <xdr:col>8</xdr:col>
      <xdr:colOff>248719</xdr:colOff>
      <xdr:row>71</xdr:row>
      <xdr:rowOff>32769</xdr:rowOff>
    </xdr:from>
    <xdr:to>
      <xdr:col>8</xdr:col>
      <xdr:colOff>555919</xdr:colOff>
      <xdr:row>72</xdr:row>
      <xdr:rowOff>139141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93F0A4A-F91D-4C3F-AF5F-E0A58EB2B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678219" y="1403451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8</xdr:col>
      <xdr:colOff>204492</xdr:colOff>
      <xdr:row>70</xdr:row>
      <xdr:rowOff>30446</xdr:rowOff>
    </xdr:from>
    <xdr:to>
      <xdr:col>8</xdr:col>
      <xdr:colOff>600147</xdr:colOff>
      <xdr:row>71</xdr:row>
      <xdr:rowOff>144565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6E7EC87-14C7-4DDB-96C0-AF1C12A94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992" y="13841696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8</xdr:col>
      <xdr:colOff>176838</xdr:colOff>
      <xdr:row>68</xdr:row>
      <xdr:rowOff>65942</xdr:rowOff>
    </xdr:from>
    <xdr:to>
      <xdr:col>9</xdr:col>
      <xdr:colOff>18199</xdr:colOff>
      <xdr:row>69</xdr:row>
      <xdr:rowOff>147396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A683BE3-AA4D-4249-9C7C-EE67B40D5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6338" y="13496192"/>
          <a:ext cx="450961" cy="271954"/>
        </a:xfrm>
        <a:prstGeom prst="rect">
          <a:avLst/>
        </a:prstGeom>
      </xdr:spPr>
    </xdr:pic>
    <xdr:clientData/>
  </xdr:twoCellAnchor>
  <xdr:twoCellAnchor editAs="oneCell">
    <xdr:from>
      <xdr:col>8</xdr:col>
      <xdr:colOff>240326</xdr:colOff>
      <xdr:row>69</xdr:row>
      <xdr:rowOff>50963</xdr:rowOff>
    </xdr:from>
    <xdr:to>
      <xdr:col>8</xdr:col>
      <xdr:colOff>564312</xdr:colOff>
      <xdr:row>70</xdr:row>
      <xdr:rowOff>109904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9B8D431-36DA-4BFD-9344-AD779020E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9826" y="13671713"/>
          <a:ext cx="323986" cy="249441"/>
        </a:xfrm>
        <a:prstGeom prst="rect">
          <a:avLst/>
        </a:prstGeom>
      </xdr:spPr>
    </xdr:pic>
    <xdr:clientData/>
  </xdr:twoCellAnchor>
  <xdr:twoCellAnchor>
    <xdr:from>
      <xdr:col>3</xdr:col>
      <xdr:colOff>397329</xdr:colOff>
      <xdr:row>15</xdr:row>
      <xdr:rowOff>82781</xdr:rowOff>
    </xdr:from>
    <xdr:to>
      <xdr:col>5</xdr:col>
      <xdr:colOff>326571</xdr:colOff>
      <xdr:row>17</xdr:row>
      <xdr:rowOff>123825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C74DFA1-1D9D-4B2E-A451-2A0B42CA3CB2}"/>
            </a:ext>
          </a:extLst>
        </xdr:cNvPr>
        <xdr:cNvGrpSpPr/>
      </xdr:nvGrpSpPr>
      <xdr:grpSpPr>
        <a:xfrm>
          <a:off x="2793233" y="2998896"/>
          <a:ext cx="1738992" cy="422044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0F9F593A-F216-4E38-A945-B2B7EE1D8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9FF278A-A346-48B6-AC34-6B7BE867D2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6534950E-4744-43CB-8BE4-BF2AD49751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B12EE2-329C-4EDF-90F1-15AF902CF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23948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EA4E8F-08FB-4847-989A-462096655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50" y="9234855"/>
          <a:ext cx="337039" cy="3501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BD6B10-0E08-446D-979A-203F9572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578" y="9449533"/>
          <a:ext cx="434782" cy="314522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9527CC-94B4-43A8-9B33-0815E63D92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6163479" y="96422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8F4413-C542-4868-BCF0-0D482BC6CE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6126281" y="1000857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C96722A-02F0-4EB3-9A26-AF67CC5B4B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5977761" y="9840057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9CFD5D-2D38-402E-BD92-9869B6784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6340772" y="9840057"/>
          <a:ext cx="380948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738AE83-435D-48B7-A5CF-1DBCDE641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6109678" y="10206402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DE70655-763A-418E-BF21-E04CC8DFEBE7}"/>
            </a:ext>
          </a:extLst>
        </xdr:cNvPr>
        <xdr:cNvGrpSpPr/>
      </xdr:nvGrpSpPr>
      <xdr:grpSpPr>
        <a:xfrm>
          <a:off x="1395131" y="8382049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31952805-9A59-4819-ADCB-65099D323A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A9D37614-4D85-408D-A021-9B8441E3FD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8AF5B06-FA56-4837-B770-B46844DAA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6156152" y="10599731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E350BA6-19D5-401C-A923-8236BB7D9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6178132" y="1079988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19C3517-DCE1-4829-9367-55D242E490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6149323" y="11745058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BE3149B-1B61-4C5D-A881-994229B562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6041925" y="11935558"/>
          <a:ext cx="646089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DD59B85-7CC2-44DE-83BA-EB98BC080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211369" y="1155801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9D14EE4B-E1C7-429F-8F03-4674C908C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7142" y="11365196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2BBEE87-7909-42D7-9FD9-CEDAFF7BD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9488" y="11019692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EB4DF6F-7325-4A3A-98B9-AB244458A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976" y="111952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397329</xdr:colOff>
      <xdr:row>6</xdr:row>
      <xdr:rowOff>82781</xdr:rowOff>
    </xdr:from>
    <xdr:to>
      <xdr:col>4</xdr:col>
      <xdr:colOff>326571</xdr:colOff>
      <xdr:row>8</xdr:row>
      <xdr:rowOff>123825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73C3CD3-5E6F-45F1-981A-A747EFED36E4}"/>
            </a:ext>
          </a:extLst>
        </xdr:cNvPr>
        <xdr:cNvGrpSpPr/>
      </xdr:nvGrpSpPr>
      <xdr:grpSpPr>
        <a:xfrm>
          <a:off x="1645432" y="1173229"/>
          <a:ext cx="1742277" cy="422044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69CD416E-B22B-4DDB-B7F3-DFE6C4BAFB2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E631AAD5-1D77-44E6-9914-C8335F6E80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90DAF649-D9D2-44C0-A70C-FCAE7340C7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14151-C97B-4ED1-BAE1-F033B834F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7AAB4B-A0DE-44A9-A569-BB12D8EE1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5691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AE22D2D-2345-42B2-9114-0404FA5BD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058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4B9F0D0-2627-4107-9A85-EB24B3941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6403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DF318A9-6AAB-4C52-8AB6-371880A33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093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64771EE-3D41-4D3F-BD0E-932947485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6763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A36AEA4-ADEE-46D7-B958-86ABC3093D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6763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48BEA3-0A8C-4392-B297-7038C217E9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7453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AEEE7FF4-F74A-4B2E-AEDC-5917B9236538}"/>
            </a:ext>
          </a:extLst>
        </xdr:cNvPr>
        <xdr:cNvGrpSpPr/>
      </xdr:nvGrpSpPr>
      <xdr:grpSpPr>
        <a:xfrm>
          <a:off x="1395131" y="8382049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DCE407CB-8D75-4912-9BB8-2CAD2F3415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0AF956F8-22EE-4CBD-9501-EEDE072DF2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845F6EE-A568-407E-B882-A4C2E101F8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170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C516DE0-0868-43D0-83AF-4A23F89C6C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8532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DE6DA47-715E-4E41-8F29-6719C27E3A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0287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2169A9B-E786-47B1-B624-A63F44CA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0640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D2D74EA-5B17-4F77-ACC1-CE15A3242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9938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10974FF-9BD7-452B-9FD4-88B76EEEB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9584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624DE66-EF55-4623-ADA7-6440CF80C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8914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40966C2-2EB8-411E-81BE-8E7A5369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9252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397329</xdr:colOff>
      <xdr:row>6</xdr:row>
      <xdr:rowOff>82781</xdr:rowOff>
    </xdr:from>
    <xdr:to>
      <xdr:col>4</xdr:col>
      <xdr:colOff>326571</xdr:colOff>
      <xdr:row>8</xdr:row>
      <xdr:rowOff>123825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24D98269-5D1D-4D3F-B18C-0CD1D645386D}"/>
            </a:ext>
          </a:extLst>
        </xdr:cNvPr>
        <xdr:cNvGrpSpPr/>
      </xdr:nvGrpSpPr>
      <xdr:grpSpPr>
        <a:xfrm>
          <a:off x="1645432" y="1173229"/>
          <a:ext cx="1742277" cy="422044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D96EBC7-4D8C-4CBF-9112-BAAEDD8184E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1C753C60-B69D-41D3-BFB2-5CAD820FE6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83C692B2-E08B-4BAA-A90C-EE95AE14D0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E4E694-8C6C-4FE9-AACE-ED5D561AE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E6C7DE-F0CC-4803-A0AC-4F22CE317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5691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3F407C-CA5F-4B49-9B0A-D95296A18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058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B417123-1DEF-4F09-A2B6-5C77CE1C97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6403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3413D1-6403-45C6-BC1C-380AE6DB0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093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B43D72-75E3-4228-802B-8140A6A1C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6763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BEAD5C0-721D-4730-A651-8C979E857E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6763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BE7BAD-2C94-4E36-81E8-35B13718F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7453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C6B7926-C785-43DE-BCA8-0F15EA0CBDE7}"/>
            </a:ext>
          </a:extLst>
        </xdr:cNvPr>
        <xdr:cNvGrpSpPr/>
      </xdr:nvGrpSpPr>
      <xdr:grpSpPr>
        <a:xfrm>
          <a:off x="1397184" y="9520328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BAA322F8-3702-4F63-B3CD-D3CEC88042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C9109481-09EF-4E43-95D1-5FCC3A537C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42CAC4F-6A90-489D-BA4B-7932141173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170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45376A7-4DB2-4C88-8731-F7B3A8FC0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8532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8349F8F-CFC2-49ED-92F6-F9AC0F1E30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0287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48ED028-B9D3-472B-B93C-A03900AD9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0640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73933B4-C585-4A82-B985-E518F3B08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9938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1FB6C4F-CD10-4753-813B-884B032AA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9584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D0A484C-278F-421F-A943-08075481C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8914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6BBD08D-8348-406C-B28F-5D779BC1F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9252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397329</xdr:colOff>
      <xdr:row>6</xdr:row>
      <xdr:rowOff>82781</xdr:rowOff>
    </xdr:from>
    <xdr:to>
      <xdr:col>4</xdr:col>
      <xdr:colOff>326571</xdr:colOff>
      <xdr:row>8</xdr:row>
      <xdr:rowOff>123825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72A73D67-D9D5-4BE6-8D32-0DFF9EF86BA3}"/>
            </a:ext>
          </a:extLst>
        </xdr:cNvPr>
        <xdr:cNvGrpSpPr/>
      </xdr:nvGrpSpPr>
      <xdr:grpSpPr>
        <a:xfrm>
          <a:off x="1647485" y="1184109"/>
          <a:ext cx="1911633" cy="422044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A1485A3E-E142-4D7D-AE1A-CF403921213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697D1F7A-F05E-49FE-AB51-4E15C21994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A4E5EC64-B0B5-450C-BBA4-88D29AE986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666210-5F87-49B3-9445-FB7550C07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91BB6-BB14-4CF4-980F-F15E7ED13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6453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17183C-A4CC-44C0-AE58-6355344AB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820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F57CDA-BA18-4EF2-A768-7B5E48C189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7165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4CCF82-9F60-4FBC-A5D7-CE017CB32D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855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D7BEE55-F28A-4E10-A14A-0250C9718B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7525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C72EB7-5931-44FB-B5FD-98CDB48581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7525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91485DE-1E9D-426C-80D2-C65C5C96EB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8215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65A9FEB7-1261-4DF0-BAC2-2561AD70D9B1}"/>
            </a:ext>
          </a:extLst>
        </xdr:cNvPr>
        <xdr:cNvGrpSpPr/>
      </xdr:nvGrpSpPr>
      <xdr:grpSpPr>
        <a:xfrm>
          <a:off x="1397184" y="9329828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AA273761-C228-4940-98C9-D810F5CF14E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33DA8EAC-36C7-499E-8FCD-FB188780203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6C2C59-1251-4966-B0BE-C9986E2C8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932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1A7611C-6B24-44D8-95DC-30CA7BB85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9294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1BF3B-4D1C-4077-BC1F-288F423F6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1049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5B2BEF6-37A6-4D2C-8C34-85ABDE8543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1402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C0889EC-C7F0-4673-AD92-6889DA478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10700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48CE421-B96E-456E-991B-D712FD0A9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10346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355C3AF-156D-48C3-8E26-DC3774A1A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9676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75C7572-5A5E-4E11-933B-F3538C37C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10014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397329</xdr:colOff>
      <xdr:row>6</xdr:row>
      <xdr:rowOff>82781</xdr:rowOff>
    </xdr:from>
    <xdr:to>
      <xdr:col>4</xdr:col>
      <xdr:colOff>326571</xdr:colOff>
      <xdr:row>8</xdr:row>
      <xdr:rowOff>123825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7F44AE65-2ADF-48A5-B2DB-B04A9E07D4AB}"/>
            </a:ext>
          </a:extLst>
        </xdr:cNvPr>
        <xdr:cNvGrpSpPr/>
      </xdr:nvGrpSpPr>
      <xdr:grpSpPr>
        <a:xfrm>
          <a:off x="1647485" y="1184109"/>
          <a:ext cx="1911633" cy="422044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74E8A595-9CCE-4371-BCDA-09191D71CF0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3CFD3421-AFE9-47BA-899B-5973065E5A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3BAA71F6-47EB-4D50-BA45-9E5B801004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2</xdr:row>
      <xdr:rowOff>48987</xdr:rowOff>
    </xdr:from>
    <xdr:to>
      <xdr:col>1</xdr:col>
      <xdr:colOff>1093602</xdr:colOff>
      <xdr:row>3</xdr:row>
      <xdr:rowOff>125187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6A99B-C436-44A3-A2F2-020C2676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518" y="372837"/>
          <a:ext cx="1011959" cy="276225"/>
        </a:xfrm>
        <a:prstGeom prst="rect">
          <a:avLst/>
        </a:prstGeom>
      </xdr:spPr>
    </xdr:pic>
    <xdr:clientData/>
  </xdr:twoCellAnchor>
  <xdr:twoCellAnchor editAs="oneCell">
    <xdr:from>
      <xdr:col>2</xdr:col>
      <xdr:colOff>233800</xdr:colOff>
      <xdr:row>29</xdr:row>
      <xdr:rowOff>14655</xdr:rowOff>
    </xdr:from>
    <xdr:to>
      <xdr:col>2</xdr:col>
      <xdr:colOff>570839</xdr:colOff>
      <xdr:row>30</xdr:row>
      <xdr:rowOff>14346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EB99C8-B76D-44D7-9AE0-CB0BA20B8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575" y="5691555"/>
          <a:ext cx="337039" cy="352116"/>
        </a:xfrm>
        <a:prstGeom prst="rect">
          <a:avLst/>
        </a:prstGeom>
      </xdr:spPr>
    </xdr:pic>
    <xdr:clientData/>
  </xdr:twoCellAnchor>
  <xdr:twoCellAnchor editAs="oneCell">
    <xdr:from>
      <xdr:col>2</xdr:col>
      <xdr:colOff>184928</xdr:colOff>
      <xdr:row>30</xdr:row>
      <xdr:rowOff>29308</xdr:rowOff>
    </xdr:from>
    <xdr:to>
      <xdr:col>2</xdr:col>
      <xdr:colOff>619710</xdr:colOff>
      <xdr:row>30</xdr:row>
      <xdr:rowOff>344331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1FF5EF-F781-4329-8E0B-7C0310090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703" y="6058633"/>
          <a:ext cx="434782" cy="315023"/>
        </a:xfrm>
        <a:prstGeom prst="rect">
          <a:avLst/>
        </a:prstGeom>
      </xdr:spPr>
    </xdr:pic>
    <xdr:clientData/>
  </xdr:twoCellAnchor>
  <xdr:twoCellAnchor editAs="oneCell">
    <xdr:from>
      <xdr:col>2</xdr:col>
      <xdr:colOff>200829</xdr:colOff>
      <xdr:row>31</xdr:row>
      <xdr:rowOff>21981</xdr:rowOff>
    </xdr:from>
    <xdr:to>
      <xdr:col>2</xdr:col>
      <xdr:colOff>603810</xdr:colOff>
      <xdr:row>31</xdr:row>
      <xdr:rowOff>343591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78351B-77A9-4000-A0A2-796EBC5A8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448604" y="6403731"/>
          <a:ext cx="402981" cy="321610"/>
        </a:xfrm>
        <a:prstGeom prst="rect">
          <a:avLst/>
        </a:prstGeom>
      </xdr:spPr>
    </xdr:pic>
    <xdr:clientData/>
  </xdr:twoCellAnchor>
  <xdr:twoCellAnchor editAs="oneCell">
    <xdr:from>
      <xdr:col>2</xdr:col>
      <xdr:colOff>163631</xdr:colOff>
      <xdr:row>33</xdr:row>
      <xdr:rowOff>7327</xdr:rowOff>
    </xdr:from>
    <xdr:to>
      <xdr:col>2</xdr:col>
      <xdr:colOff>641008</xdr:colOff>
      <xdr:row>33</xdr:row>
      <xdr:rowOff>347376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BEA919-A35C-4E72-B47E-C0DFD4957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34" t="8541" r="3614" b="10851"/>
        <a:stretch/>
      </xdr:blipFill>
      <xdr:spPr>
        <a:xfrm>
          <a:off x="1411406" y="7093927"/>
          <a:ext cx="477377" cy="340049"/>
        </a:xfrm>
        <a:prstGeom prst="rect">
          <a:avLst/>
        </a:prstGeom>
      </xdr:spPr>
    </xdr:pic>
    <xdr:clientData/>
  </xdr:twoCellAnchor>
  <xdr:twoCellAnchor editAs="oneCell">
    <xdr:from>
      <xdr:col>2</xdr:col>
      <xdr:colOff>15111</xdr:colOff>
      <xdr:row>32</xdr:row>
      <xdr:rowOff>29307</xdr:rowOff>
    </xdr:from>
    <xdr:to>
      <xdr:col>2</xdr:col>
      <xdr:colOff>379534</xdr:colOff>
      <xdr:row>32</xdr:row>
      <xdr:rowOff>320145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331274-5D40-41EF-B4F6-D8A243105D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262886" y="6763482"/>
          <a:ext cx="364423" cy="290838"/>
        </a:xfrm>
        <a:prstGeom prst="rect">
          <a:avLst/>
        </a:prstGeom>
      </xdr:spPr>
    </xdr:pic>
    <xdr:clientData/>
  </xdr:twoCellAnchor>
  <xdr:twoCellAnchor editAs="oneCell">
    <xdr:from>
      <xdr:col>2</xdr:col>
      <xdr:colOff>378122</xdr:colOff>
      <xdr:row>32</xdr:row>
      <xdr:rowOff>29307</xdr:rowOff>
    </xdr:from>
    <xdr:to>
      <xdr:col>2</xdr:col>
      <xdr:colOff>760073</xdr:colOff>
      <xdr:row>32</xdr:row>
      <xdr:rowOff>333333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A1171A-8D50-4A1D-8A14-D3F76A0054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7" b="9616"/>
        <a:stretch/>
      </xdr:blipFill>
      <xdr:spPr>
        <a:xfrm>
          <a:off x="1625897" y="6763482"/>
          <a:ext cx="381951" cy="304026"/>
        </a:xfrm>
        <a:prstGeom prst="rect">
          <a:avLst/>
        </a:prstGeom>
      </xdr:spPr>
    </xdr:pic>
    <xdr:clientData/>
  </xdr:twoCellAnchor>
  <xdr:twoCellAnchor editAs="oneCell">
    <xdr:from>
      <xdr:col>2</xdr:col>
      <xdr:colOff>147028</xdr:colOff>
      <xdr:row>34</xdr:row>
      <xdr:rowOff>14652</xdr:rowOff>
    </xdr:from>
    <xdr:to>
      <xdr:col>2</xdr:col>
      <xdr:colOff>657610</xdr:colOff>
      <xdr:row>34</xdr:row>
      <xdr:rowOff>344364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BA8A2D-4ED9-4FDA-846C-582D1DA6E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66" t="6305" r="9930" b="20134"/>
        <a:stretch/>
      </xdr:blipFill>
      <xdr:spPr>
        <a:xfrm>
          <a:off x="1394803" y="7453677"/>
          <a:ext cx="510582" cy="329712"/>
        </a:xfrm>
        <a:prstGeom prst="rect">
          <a:avLst/>
        </a:prstGeom>
      </xdr:spPr>
    </xdr:pic>
    <xdr:clientData/>
  </xdr:twoCellAnchor>
  <xdr:twoCellAnchor>
    <xdr:from>
      <xdr:col>2</xdr:col>
      <xdr:colOff>147028</xdr:colOff>
      <xdr:row>35</xdr:row>
      <xdr:rowOff>13187</xdr:rowOff>
    </xdr:from>
    <xdr:to>
      <xdr:col>2</xdr:col>
      <xdr:colOff>657610</xdr:colOff>
      <xdr:row>35</xdr:row>
      <xdr:rowOff>190499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7BE23BC7-02A8-4B3C-A5B2-E6EA60F2F9A2}"/>
            </a:ext>
          </a:extLst>
        </xdr:cNvPr>
        <xdr:cNvGrpSpPr/>
      </xdr:nvGrpSpPr>
      <xdr:grpSpPr>
        <a:xfrm>
          <a:off x="1394496" y="9132606"/>
          <a:ext cx="510582" cy="177312"/>
          <a:chOff x="3215053" y="3068514"/>
          <a:chExt cx="510582" cy="32971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86C922D3-8459-4D12-A75D-65EB8AFF6DE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266" t="6305" r="9930" b="20134"/>
          <a:stretch/>
        </xdr:blipFill>
        <xdr:spPr>
          <a:xfrm>
            <a:off x="3215053" y="3068514"/>
            <a:ext cx="510582" cy="329712"/>
          </a:xfrm>
          <a:prstGeom prst="rect">
            <a:avLst/>
          </a:prstGeom>
        </xdr:spPr>
      </xdr:pic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77AE9284-10E4-4D7D-BE48-F579BD5B54C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/>
          <a:srcRect l="31772" t="22500" r="29338" b="17500"/>
          <a:stretch/>
        </xdr:blipFill>
        <xdr:spPr>
          <a:xfrm>
            <a:off x="3413125" y="3260481"/>
            <a:ext cx="147760" cy="12228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193502</xdr:colOff>
      <xdr:row>36</xdr:row>
      <xdr:rowOff>26981</xdr:rowOff>
    </xdr:from>
    <xdr:to>
      <xdr:col>2</xdr:col>
      <xdr:colOff>611136</xdr:colOff>
      <xdr:row>36</xdr:row>
      <xdr:rowOff>315057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FAAC7FB-1419-4E0C-A63D-91FCAF61C3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>
          <a:off x="1441277" y="8170856"/>
          <a:ext cx="417634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215482</xdr:colOff>
      <xdr:row>37</xdr:row>
      <xdr:rowOff>36634</xdr:rowOff>
    </xdr:from>
    <xdr:to>
      <xdr:col>2</xdr:col>
      <xdr:colOff>589157</xdr:colOff>
      <xdr:row>37</xdr:row>
      <xdr:rowOff>324710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0B75747-45E1-46C4-8F86-BBB6D58A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2" t="14179" r="5579" b="18823"/>
        <a:stretch/>
      </xdr:blipFill>
      <xdr:spPr>
        <a:xfrm flipH="1">
          <a:off x="1463257" y="8532934"/>
          <a:ext cx="373675" cy="288076"/>
        </a:xfrm>
        <a:prstGeom prst="rect">
          <a:avLst/>
        </a:prstGeom>
      </xdr:spPr>
    </xdr:pic>
    <xdr:clientData/>
  </xdr:twoCellAnchor>
  <xdr:twoCellAnchor editAs="oneCell">
    <xdr:from>
      <xdr:col>2</xdr:col>
      <xdr:colOff>186673</xdr:colOff>
      <xdr:row>42</xdr:row>
      <xdr:rowOff>29308</xdr:rowOff>
    </xdr:from>
    <xdr:to>
      <xdr:col>2</xdr:col>
      <xdr:colOff>617966</xdr:colOff>
      <xdr:row>42</xdr:row>
      <xdr:rowOff>344366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91CFF1A-2DC3-4B6D-8861-88E8590C13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65" t="12179" r="13708" b="21795"/>
        <a:stretch/>
      </xdr:blipFill>
      <xdr:spPr>
        <a:xfrm>
          <a:off x="1434448" y="10287733"/>
          <a:ext cx="431293" cy="315058"/>
        </a:xfrm>
        <a:prstGeom prst="rect">
          <a:avLst/>
        </a:prstGeom>
      </xdr:spPr>
    </xdr:pic>
    <xdr:clientData/>
  </xdr:twoCellAnchor>
  <xdr:twoCellAnchor editAs="oneCell">
    <xdr:from>
      <xdr:col>2</xdr:col>
      <xdr:colOff>79275</xdr:colOff>
      <xdr:row>43</xdr:row>
      <xdr:rowOff>29308</xdr:rowOff>
    </xdr:from>
    <xdr:to>
      <xdr:col>2</xdr:col>
      <xdr:colOff>726367</xdr:colOff>
      <xdr:row>43</xdr:row>
      <xdr:rowOff>329712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3DB2EFB-D9C8-4FCE-88C5-9F8B19EDFC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25" b="27180"/>
        <a:stretch/>
      </xdr:blipFill>
      <xdr:spPr>
        <a:xfrm rot="10800000" flipH="1">
          <a:off x="1327050" y="10640158"/>
          <a:ext cx="647092" cy="300404"/>
        </a:xfrm>
        <a:prstGeom prst="rect">
          <a:avLst/>
        </a:prstGeom>
      </xdr:spPr>
    </xdr:pic>
    <xdr:clientData/>
  </xdr:twoCellAnchor>
  <xdr:twoCellAnchor editAs="oneCell">
    <xdr:from>
      <xdr:col>2</xdr:col>
      <xdr:colOff>248719</xdr:colOff>
      <xdr:row>41</xdr:row>
      <xdr:rowOff>32769</xdr:rowOff>
    </xdr:from>
    <xdr:to>
      <xdr:col>2</xdr:col>
      <xdr:colOff>555919</xdr:colOff>
      <xdr:row>41</xdr:row>
      <xdr:rowOff>329641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4F5E7C2-C337-40FE-AEF1-AE39077A1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6494" y="9938769"/>
          <a:ext cx="307200" cy="296872"/>
        </a:xfrm>
        <a:prstGeom prst="rect">
          <a:avLst/>
        </a:prstGeom>
      </xdr:spPr>
    </xdr:pic>
    <xdr:clientData/>
  </xdr:twoCellAnchor>
  <xdr:twoCellAnchor editAs="oneCell">
    <xdr:from>
      <xdr:col>2</xdr:col>
      <xdr:colOff>204492</xdr:colOff>
      <xdr:row>40</xdr:row>
      <xdr:rowOff>30446</xdr:rowOff>
    </xdr:from>
    <xdr:to>
      <xdr:col>2</xdr:col>
      <xdr:colOff>600147</xdr:colOff>
      <xdr:row>40</xdr:row>
      <xdr:rowOff>335065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15B9953-961B-48B8-B545-D81E2F14F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267" y="9584021"/>
          <a:ext cx="395655" cy="304619"/>
        </a:xfrm>
        <a:prstGeom prst="rect">
          <a:avLst/>
        </a:prstGeom>
      </xdr:spPr>
    </xdr:pic>
    <xdr:clientData/>
  </xdr:twoCellAnchor>
  <xdr:twoCellAnchor editAs="oneCell">
    <xdr:from>
      <xdr:col>2</xdr:col>
      <xdr:colOff>176838</xdr:colOff>
      <xdr:row>38</xdr:row>
      <xdr:rowOff>65942</xdr:rowOff>
    </xdr:from>
    <xdr:to>
      <xdr:col>2</xdr:col>
      <xdr:colOff>627800</xdr:colOff>
      <xdr:row>38</xdr:row>
      <xdr:rowOff>337896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51897F9-D20C-4454-9F65-1DC493E5F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13" y="8914667"/>
          <a:ext cx="450962" cy="271954"/>
        </a:xfrm>
        <a:prstGeom prst="rect">
          <a:avLst/>
        </a:prstGeom>
      </xdr:spPr>
    </xdr:pic>
    <xdr:clientData/>
  </xdr:twoCellAnchor>
  <xdr:twoCellAnchor editAs="oneCell">
    <xdr:from>
      <xdr:col>2</xdr:col>
      <xdr:colOff>240326</xdr:colOff>
      <xdr:row>39</xdr:row>
      <xdr:rowOff>50963</xdr:rowOff>
    </xdr:from>
    <xdr:to>
      <xdr:col>2</xdr:col>
      <xdr:colOff>564312</xdr:colOff>
      <xdr:row>39</xdr:row>
      <xdr:rowOff>300404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8FCAE4F-55E0-487C-A3AC-0F0ECDBC2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101" y="9252113"/>
          <a:ext cx="323986" cy="249441"/>
        </a:xfrm>
        <a:prstGeom prst="rect">
          <a:avLst/>
        </a:prstGeom>
      </xdr:spPr>
    </xdr:pic>
    <xdr:clientData/>
  </xdr:twoCellAnchor>
  <xdr:twoCellAnchor>
    <xdr:from>
      <xdr:col>2</xdr:col>
      <xdr:colOff>163814</xdr:colOff>
      <xdr:row>7</xdr:row>
      <xdr:rowOff>88926</xdr:rowOff>
    </xdr:from>
    <xdr:to>
      <xdr:col>3</xdr:col>
      <xdr:colOff>546920</xdr:colOff>
      <xdr:row>8</xdr:row>
      <xdr:rowOff>159774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6FFAF776-0B26-490C-9B77-D95EBAD118A2}"/>
            </a:ext>
          </a:extLst>
        </xdr:cNvPr>
        <xdr:cNvGrpSpPr/>
      </xdr:nvGrpSpPr>
      <xdr:grpSpPr>
        <a:xfrm>
          <a:off x="1411282" y="1379410"/>
          <a:ext cx="1323315" cy="261348"/>
          <a:chOff x="1545771" y="1049719"/>
          <a:chExt cx="1856014" cy="451150"/>
        </a:xfrm>
      </xdr:grpSpPr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C65396D2-E480-4398-B19B-BCFD6CF4E33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7" t="2142" r="2446" b="2680"/>
          <a:stretch/>
        </xdr:blipFill>
        <xdr:spPr>
          <a:xfrm>
            <a:off x="1545771" y="1083129"/>
            <a:ext cx="304800" cy="304800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71E71AD3-CCCF-404A-9801-42A6C3BEB0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33600" y="1061359"/>
            <a:ext cx="368754" cy="368754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BBE10CF-6CE9-4A68-B528-4FB01E42BE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17370" y="1049719"/>
            <a:ext cx="484415" cy="45115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5400">
          <a:solidFill>
            <a:srgbClr val="FF0000"/>
          </a:solidFill>
        </a:ln>
      </a:spPr>
      <a:bodyPr vertOverflow="clip" horzOverflow="clip" rtlCol="0" anchor="ctr"/>
      <a:lstStyle>
        <a:defPPr algn="ctr">
          <a:defRPr sz="2000" b="0" i="0" u="none" strike="noStrike" cap="none" spc="0">
            <a:ln w="0"/>
            <a:solidFill>
              <a:srgbClr val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Calibri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7D19-075D-4DA2-A61E-709B3F9C4E89}">
  <sheetPr codeName="Sheet1">
    <tabColor rgb="FFFFFF00"/>
  </sheetPr>
  <dimension ref="A1:AU41"/>
  <sheetViews>
    <sheetView tabSelected="1" zoomScaleNormal="100" workbookViewId="0">
      <selection activeCell="N43" sqref="N43"/>
    </sheetView>
  </sheetViews>
  <sheetFormatPr defaultRowHeight="15" x14ac:dyDescent="0.25"/>
  <cols>
    <col min="1" max="1" width="7.7109375" customWidth="1"/>
    <col min="2" max="2" width="3" customWidth="1"/>
    <col min="3" max="3" width="17.28515625" customWidth="1"/>
    <col min="4" max="9" width="10.42578125" customWidth="1"/>
    <col min="10" max="10" width="12.140625" customWidth="1"/>
    <col min="11" max="16" width="10.42578125" customWidth="1"/>
    <col min="17" max="17" width="9.42578125" customWidth="1"/>
    <col min="18" max="18" width="3.28515625" customWidth="1"/>
    <col min="23" max="23" width="12.5703125" customWidth="1"/>
  </cols>
  <sheetData>
    <row r="1" spans="1:47" ht="29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8.75" customHeight="1" thickTop="1" x14ac:dyDescent="0.5">
      <c r="A2" s="1"/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32.25" x14ac:dyDescent="0.5">
      <c r="A3" s="1"/>
      <c r="B3" s="5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8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8.5" x14ac:dyDescent="0.45">
      <c r="A4" s="1"/>
      <c r="B4" s="23" t="s">
        <v>241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8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7.5" customHeight="1" x14ac:dyDescent="0.4">
      <c r="A5" s="1"/>
      <c r="B5" s="9"/>
      <c r="C5" s="10"/>
      <c r="D5" s="10"/>
      <c r="E5" s="10"/>
      <c r="F5" s="11"/>
      <c r="G5" s="11"/>
      <c r="H5" s="11"/>
      <c r="I5" s="11"/>
      <c r="J5" s="12"/>
      <c r="K5" s="11"/>
      <c r="L5" s="12"/>
      <c r="M5" s="12"/>
      <c r="N5" s="13"/>
      <c r="O5" s="14"/>
      <c r="P5" s="14"/>
      <c r="Q5" s="14"/>
      <c r="R5" s="1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6.25" x14ac:dyDescent="0.4">
      <c r="A6" s="1"/>
      <c r="B6" s="9"/>
      <c r="C6" s="26" t="s">
        <v>0</v>
      </c>
      <c r="D6" s="10"/>
      <c r="E6" s="10"/>
      <c r="F6" s="11"/>
      <c r="G6" s="11"/>
      <c r="H6" s="11"/>
      <c r="I6" s="11"/>
      <c r="J6" s="12"/>
      <c r="K6" s="11"/>
      <c r="L6" s="12"/>
      <c r="M6" s="12"/>
      <c r="N6" s="13"/>
      <c r="O6" s="14"/>
      <c r="P6" s="16"/>
      <c r="Q6" s="11"/>
      <c r="R6" s="17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6.25" x14ac:dyDescent="0.4">
      <c r="A7" s="1"/>
      <c r="B7" s="9"/>
      <c r="C7" s="25" t="s">
        <v>2</v>
      </c>
      <c r="D7" s="10"/>
      <c r="E7" s="10"/>
      <c r="F7" s="11"/>
      <c r="G7" s="11"/>
      <c r="H7" s="11"/>
      <c r="I7" s="11"/>
      <c r="J7" s="12"/>
      <c r="K7" s="11"/>
      <c r="L7" s="12"/>
      <c r="M7" s="12"/>
      <c r="N7" s="13"/>
      <c r="O7" s="11"/>
      <c r="P7" s="11"/>
      <c r="Q7" s="11"/>
      <c r="R7" s="1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26.25" x14ac:dyDescent="0.4">
      <c r="A8" s="1"/>
      <c r="B8" s="9"/>
      <c r="C8" s="25" t="s">
        <v>204</v>
      </c>
      <c r="D8" s="22"/>
      <c r="E8" s="10"/>
      <c r="F8" s="11"/>
      <c r="G8" s="11"/>
      <c r="H8" s="11"/>
      <c r="I8" s="11"/>
      <c r="J8" s="12"/>
      <c r="K8" s="11"/>
      <c r="L8" s="12"/>
      <c r="M8" s="12"/>
      <c r="N8" s="13"/>
      <c r="O8" s="11"/>
      <c r="P8" s="11"/>
      <c r="Q8" s="11"/>
      <c r="R8" s="17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26.25" x14ac:dyDescent="0.4">
      <c r="A9" s="1"/>
      <c r="B9" s="9"/>
      <c r="C9" s="25" t="s">
        <v>237</v>
      </c>
      <c r="D9" s="10"/>
      <c r="E9" s="10"/>
      <c r="F9" s="11"/>
      <c r="G9" s="11"/>
      <c r="H9" s="11"/>
      <c r="I9" s="11"/>
      <c r="J9" s="12"/>
      <c r="K9" s="11"/>
      <c r="L9" s="12"/>
      <c r="M9" s="12"/>
      <c r="N9" s="13"/>
      <c r="O9" s="11"/>
      <c r="P9" s="11"/>
      <c r="Q9" s="11"/>
      <c r="R9" s="1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26.25" x14ac:dyDescent="0.4">
      <c r="A10" s="1"/>
      <c r="B10" s="9"/>
      <c r="C10" s="25" t="s">
        <v>238</v>
      </c>
      <c r="D10" s="22"/>
      <c r="E10" s="10"/>
      <c r="F10" s="11"/>
      <c r="G10" s="11"/>
      <c r="H10" s="11"/>
      <c r="I10" s="11"/>
      <c r="J10" s="12"/>
      <c r="K10" s="11"/>
      <c r="L10" s="12"/>
      <c r="M10" s="12"/>
      <c r="N10" s="13"/>
      <c r="O10" s="11"/>
      <c r="P10" s="11"/>
      <c r="Q10" s="11"/>
      <c r="R10" s="17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26.25" x14ac:dyDescent="0.4">
      <c r="A11" s="1"/>
      <c r="B11" s="9"/>
      <c r="C11" s="25" t="s">
        <v>239</v>
      </c>
      <c r="D11" s="22"/>
      <c r="E11" s="10"/>
      <c r="F11" s="11"/>
      <c r="G11" s="11"/>
      <c r="H11" s="11"/>
      <c r="I11" s="11"/>
      <c r="J11" s="12"/>
      <c r="K11" s="11"/>
      <c r="L11" s="12"/>
      <c r="M11" s="12"/>
      <c r="N11" s="13"/>
      <c r="O11" s="11"/>
      <c r="P11" s="11"/>
      <c r="Q11" s="11"/>
      <c r="R11" s="17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6.25" x14ac:dyDescent="0.4">
      <c r="A12" s="1"/>
      <c r="B12" s="9"/>
      <c r="C12" s="25" t="s">
        <v>3</v>
      </c>
      <c r="D12" s="10"/>
      <c r="E12" s="10"/>
      <c r="F12" s="11"/>
      <c r="G12" s="11"/>
      <c r="H12" s="11"/>
      <c r="I12" s="11"/>
      <c r="J12" s="12"/>
      <c r="K12" s="11"/>
      <c r="L12" s="12"/>
      <c r="M12" s="12"/>
      <c r="N12" s="13"/>
      <c r="O12" s="11"/>
      <c r="P12" s="11"/>
      <c r="Q12" s="11"/>
      <c r="R12" s="17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26.25" x14ac:dyDescent="0.4">
      <c r="A13" s="1"/>
      <c r="B13" s="9"/>
      <c r="C13" s="25" t="s">
        <v>4</v>
      </c>
      <c r="D13" s="10"/>
      <c r="E13" s="10"/>
      <c r="F13" s="11"/>
      <c r="G13" s="11"/>
      <c r="H13" s="11"/>
      <c r="I13" s="11"/>
      <c r="J13" s="12"/>
      <c r="K13" s="11"/>
      <c r="L13" s="12"/>
      <c r="M13" s="12"/>
      <c r="N13" s="13"/>
      <c r="O13" s="11"/>
      <c r="P13" s="11"/>
      <c r="Q13" s="11"/>
      <c r="R13" s="1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26.25" x14ac:dyDescent="0.4">
      <c r="A14" s="1"/>
      <c r="B14" s="9"/>
      <c r="C14" s="27" t="s">
        <v>5</v>
      </c>
      <c r="D14" s="10"/>
      <c r="E14" s="10"/>
      <c r="F14" s="11"/>
      <c r="G14" s="11"/>
      <c r="H14" s="11"/>
      <c r="I14" s="11"/>
      <c r="J14" s="12"/>
      <c r="K14" s="11"/>
      <c r="L14" s="12"/>
      <c r="M14" s="12"/>
      <c r="N14" s="13"/>
      <c r="O14" s="11"/>
      <c r="P14" s="11"/>
      <c r="Q14" s="11"/>
      <c r="R14" s="1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26.25" x14ac:dyDescent="0.4">
      <c r="A15" s="1"/>
      <c r="B15" s="9"/>
      <c r="C15" s="27" t="s">
        <v>8</v>
      </c>
      <c r="D15" s="10"/>
      <c r="E15" s="10"/>
      <c r="F15" s="11"/>
      <c r="G15" s="11"/>
      <c r="H15" s="11"/>
      <c r="I15" s="11"/>
      <c r="J15" s="12"/>
      <c r="K15" s="11"/>
      <c r="L15" s="12"/>
      <c r="M15" s="12"/>
      <c r="N15" s="13"/>
      <c r="O15" s="11"/>
      <c r="P15" s="11"/>
      <c r="Q15" s="11"/>
      <c r="R15" s="1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26.25" x14ac:dyDescent="0.4">
      <c r="A16" s="1"/>
      <c r="B16" s="9"/>
      <c r="C16" s="27" t="s">
        <v>6</v>
      </c>
      <c r="D16" s="10"/>
      <c r="E16" s="10"/>
      <c r="F16" s="11"/>
      <c r="G16" s="11"/>
      <c r="H16" s="11"/>
      <c r="I16" s="11"/>
      <c r="J16" s="12"/>
      <c r="K16" s="11"/>
      <c r="L16" s="12"/>
      <c r="M16" s="12"/>
      <c r="N16" s="13"/>
      <c r="O16" s="11"/>
      <c r="P16" s="11"/>
      <c r="Q16" s="11"/>
      <c r="R16" s="1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26.25" x14ac:dyDescent="0.4">
      <c r="A17" s="1"/>
      <c r="B17" s="9"/>
      <c r="C17" s="27" t="s">
        <v>7</v>
      </c>
      <c r="D17" s="10"/>
      <c r="E17" s="10"/>
      <c r="F17" s="11"/>
      <c r="G17" s="11"/>
      <c r="H17" s="11"/>
      <c r="I17" s="11"/>
      <c r="J17" s="12"/>
      <c r="K17" s="11"/>
      <c r="L17" s="12"/>
      <c r="M17" s="12"/>
      <c r="N17" s="13"/>
      <c r="O17" s="11"/>
      <c r="P17" s="11"/>
      <c r="Q17" s="11"/>
      <c r="R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26.25" x14ac:dyDescent="0.4">
      <c r="A18" s="1"/>
      <c r="B18" s="18"/>
      <c r="C18" s="25" t="s">
        <v>240</v>
      </c>
      <c r="D18" s="10"/>
      <c r="E18" s="10"/>
      <c r="F18" s="11"/>
      <c r="G18" s="11"/>
      <c r="H18" s="11"/>
      <c r="I18" s="11"/>
      <c r="J18" s="12"/>
      <c r="K18" s="11"/>
      <c r="L18" s="12"/>
      <c r="M18" s="12"/>
      <c r="N18" s="13"/>
      <c r="O18" s="11"/>
      <c r="P18" s="11"/>
      <c r="Q18" s="11"/>
      <c r="R18" s="1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26.25" x14ac:dyDescent="0.4">
      <c r="A19" s="1"/>
      <c r="B19" s="18"/>
      <c r="C19" s="24"/>
      <c r="D19" s="10"/>
      <c r="E19" s="10"/>
      <c r="F19" s="11"/>
      <c r="G19" s="11"/>
      <c r="H19" s="11"/>
      <c r="I19" s="11"/>
      <c r="J19" s="12"/>
      <c r="K19" s="11"/>
      <c r="L19" s="12"/>
      <c r="M19" s="12"/>
      <c r="N19" s="13"/>
      <c r="O19" s="11"/>
      <c r="P19" s="11"/>
      <c r="Q19" s="11"/>
      <c r="R19" s="17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23.25" x14ac:dyDescent="0.35">
      <c r="A20" s="1"/>
      <c r="B20" s="18"/>
      <c r="C20" s="24"/>
      <c r="D20" s="11"/>
      <c r="E20" s="11"/>
      <c r="F20" s="11"/>
      <c r="G20" s="11"/>
      <c r="H20" s="11"/>
      <c r="I20" s="11"/>
      <c r="J20" s="11"/>
      <c r="K20" s="11"/>
      <c r="L20" s="11"/>
      <c r="M20" s="14"/>
      <c r="N20" s="11"/>
      <c r="O20" s="11"/>
      <c r="P20" s="11"/>
      <c r="Q20" s="11"/>
      <c r="R20" s="17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thickBot="1" x14ac:dyDescent="0.3">
      <c r="A21" s="1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.75" thickTop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29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4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4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4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4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4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4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4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4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4E2C-1A70-4B1E-B075-5C8E459EBDEC}">
  <sheetPr>
    <tabColor rgb="FF0000FF"/>
  </sheetPr>
  <dimension ref="B1:N74"/>
  <sheetViews>
    <sheetView showGridLines="0" zoomScale="145" zoomScaleNormal="145" workbookViewId="0">
      <selection activeCell="H3" sqref="H3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3" style="48" customWidth="1"/>
    <col min="5" max="5" width="14.140625" style="48" customWidth="1"/>
    <col min="6" max="6" width="4.5703125" style="48" customWidth="1"/>
    <col min="7" max="7" width="38" style="48" customWidth="1"/>
    <col min="8" max="8" width="12.85546875" style="48" customWidth="1"/>
    <col min="9" max="9" width="5.140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130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/>
    </row>
    <row r="4" spans="2:14" ht="15" x14ac:dyDescent="0.25">
      <c r="B4" s="55"/>
      <c r="C4" s="56"/>
      <c r="D4" s="56"/>
      <c r="E4" s="57"/>
      <c r="G4" s="35" t="s">
        <v>134</v>
      </c>
      <c r="H4" s="54"/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54"/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35" t="s">
        <v>136</v>
      </c>
      <c r="H6" s="62"/>
      <c r="I6"/>
    </row>
    <row r="7" spans="2:14" ht="15" x14ac:dyDescent="0.25">
      <c r="B7" s="63" t="s">
        <v>94</v>
      </c>
      <c r="C7" s="66"/>
      <c r="D7" s="67"/>
      <c r="E7" s="68"/>
      <c r="G7" s="35" t="s">
        <v>181</v>
      </c>
      <c r="H7" s="62">
        <v>43164</v>
      </c>
    </row>
    <row r="8" spans="2:14" ht="15" x14ac:dyDescent="0.25">
      <c r="B8" s="70" t="s">
        <v>95</v>
      </c>
      <c r="C8" s="66"/>
      <c r="D8" s="66"/>
      <c r="E8" s="71"/>
      <c r="G8" s="35" t="s">
        <v>210</v>
      </c>
      <c r="H8" s="148"/>
      <c r="J8" s="48" t="str">
        <f ca="1">IF(_xlfn.ISFORMULA(H8)," "&amp;_xlfn.FORMULATEXT(H8),"")</f>
        <v/>
      </c>
    </row>
    <row r="9" spans="2:14" ht="15" x14ac:dyDescent="0.25">
      <c r="B9" s="83"/>
      <c r="C9" s="72"/>
      <c r="D9" s="73"/>
      <c r="E9" s="74"/>
      <c r="G9" s="35" t="s">
        <v>166</v>
      </c>
      <c r="H9" s="69"/>
      <c r="J9" s="48" t="str">
        <f ca="1">IF(_xlfn.ISFORMULA(H9)," "&amp;_xlfn.FORMULATEXT(H9),"")</f>
        <v/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35" t="str">
        <f>"Discount Earned? Paid in "&amp;H4&amp;" or fewer days?"</f>
        <v>Discount Earned? Paid in  or fewer days?</v>
      </c>
      <c r="H10" s="69"/>
      <c r="J10" s="48" t="str">
        <f t="shared" ref="J10:J16" ca="1" si="0">IF(_xlfn.ISFORMULA(H10)," "&amp;_xlfn.FORMULATEXT(H10),"")</f>
        <v/>
      </c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180</v>
      </c>
      <c r="H11" s="143"/>
      <c r="J11" s="48" t="str">
        <f t="shared" ca="1" si="0"/>
        <v/>
      </c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138</v>
      </c>
      <c r="H12" s="143"/>
      <c r="J12" s="48" t="str">
        <f t="shared" ca="1" si="0"/>
        <v/>
      </c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179</v>
      </c>
      <c r="H13" s="143"/>
      <c r="J13" s="48" t="str">
        <f t="shared" ca="1" si="0"/>
        <v/>
      </c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 s="35" t="s">
        <v>141</v>
      </c>
      <c r="H14" s="143"/>
      <c r="J14" s="48" t="str">
        <f t="shared" ca="1" si="0"/>
        <v/>
      </c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/>
      <c r="H15"/>
      <c r="I15"/>
      <c r="J15" s="48" t="str">
        <f t="shared" ca="1" si="0"/>
        <v/>
      </c>
      <c r="K15"/>
      <c r="L15"/>
      <c r="M15"/>
    </row>
    <row r="16" spans="2:14" ht="15" x14ac:dyDescent="0.25">
      <c r="B16" s="85"/>
      <c r="D16" s="60" t="s">
        <v>106</v>
      </c>
      <c r="E16" s="140">
        <f>SUM(E11:E15)</f>
        <v>833.1</v>
      </c>
      <c r="G16" s="35" t="s">
        <v>142</v>
      </c>
      <c r="H16" s="143"/>
      <c r="I16"/>
      <c r="J16" s="48" t="str">
        <f t="shared" ca="1" si="0"/>
        <v/>
      </c>
      <c r="K16"/>
      <c r="L16"/>
      <c r="M16"/>
      <c r="N16"/>
    </row>
    <row r="17" spans="2:13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H17"/>
      <c r="I17"/>
      <c r="J17"/>
      <c r="K17"/>
      <c r="L17"/>
      <c r="M17"/>
    </row>
    <row r="18" spans="2:13" ht="15.75" thickBot="1" x14ac:dyDescent="0.3">
      <c r="B18" s="78" t="s">
        <v>109</v>
      </c>
      <c r="C18" s="79" t="s">
        <v>110</v>
      </c>
      <c r="D18" s="80" t="s">
        <v>111</v>
      </c>
      <c r="E18" s="142">
        <f>SUM(E16:E17)</f>
        <v>848.1</v>
      </c>
      <c r="F18"/>
      <c r="H18"/>
      <c r="I18"/>
      <c r="J18"/>
      <c r="K18"/>
      <c r="L18"/>
      <c r="M18"/>
    </row>
    <row r="19" spans="2:13" ht="15" x14ac:dyDescent="0.25">
      <c r="B19"/>
      <c r="C19"/>
      <c r="D19"/>
      <c r="E19"/>
      <c r="F19"/>
      <c r="G19"/>
      <c r="H19"/>
      <c r="I19"/>
      <c r="J19"/>
      <c r="K19"/>
      <c r="L19"/>
      <c r="M19"/>
    </row>
    <row r="20" spans="2:13" ht="15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ht="15" x14ac:dyDescent="0.25">
      <c r="B21"/>
      <c r="C21"/>
      <c r="D21"/>
      <c r="E21"/>
      <c r="F21"/>
      <c r="G21"/>
      <c r="H21"/>
      <c r="I21"/>
      <c r="J21"/>
      <c r="K21"/>
      <c r="L21"/>
      <c r="M21"/>
    </row>
    <row r="22" spans="2:13" ht="15" x14ac:dyDescent="0.25">
      <c r="B22"/>
      <c r="C22"/>
      <c r="D22"/>
      <c r="E22"/>
      <c r="F22"/>
      <c r="G22"/>
      <c r="H22"/>
      <c r="I22"/>
      <c r="J22"/>
      <c r="K22"/>
      <c r="L22"/>
      <c r="M22"/>
    </row>
    <row r="23" spans="2:13" ht="15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ht="15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ht="15" x14ac:dyDescent="0.25">
      <c r="B25"/>
      <c r="C25"/>
      <c r="D25"/>
      <c r="E25"/>
      <c r="F25"/>
      <c r="H25"/>
      <c r="I25"/>
      <c r="J25"/>
      <c r="K25"/>
      <c r="L25"/>
      <c r="M25"/>
    </row>
    <row r="26" spans="2:13" ht="15" x14ac:dyDescent="0.25">
      <c r="B26"/>
      <c r="C26"/>
      <c r="D26"/>
      <c r="E26"/>
      <c r="F26"/>
      <c r="H26"/>
      <c r="I26"/>
      <c r="J26"/>
      <c r="K26"/>
      <c r="L26"/>
      <c r="M26"/>
    </row>
    <row r="27" spans="2:13" ht="15" x14ac:dyDescent="0.25">
      <c r="B27"/>
      <c r="C27"/>
      <c r="D27"/>
      <c r="E27"/>
      <c r="F27"/>
      <c r="H27"/>
      <c r="I27"/>
      <c r="J27"/>
      <c r="K27"/>
      <c r="L27"/>
      <c r="M27"/>
    </row>
    <row r="28" spans="2:13" ht="15" x14ac:dyDescent="0.25">
      <c r="B28"/>
      <c r="C28"/>
      <c r="D28"/>
      <c r="E28"/>
      <c r="F28"/>
      <c r="H28"/>
      <c r="I28"/>
      <c r="J28"/>
      <c r="K28"/>
      <c r="L28"/>
      <c r="M28"/>
    </row>
    <row r="29" spans="2:13" ht="75" x14ac:dyDescent="0.25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  <c r="H29"/>
      <c r="I29"/>
      <c r="J29"/>
      <c r="K29"/>
      <c r="L29"/>
      <c r="M29"/>
    </row>
    <row r="30" spans="2:13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  <c r="H30"/>
      <c r="I30"/>
      <c r="J30"/>
      <c r="K30"/>
      <c r="L30"/>
      <c r="M30"/>
    </row>
    <row r="31" spans="2:13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3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disablePrompts="1" count="1">
    <dataValidation type="list" allowBlank="1" showInputMessage="1" showErrorMessage="1" sqref="B11:B15" xr:uid="{0EC680D8-46DB-421C-A5A6-D9D099725C44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4064-FBF9-4832-9F43-B43D47348A5E}">
  <sheetPr>
    <tabColor rgb="FFFF0000"/>
  </sheetPr>
  <dimension ref="B1:N74"/>
  <sheetViews>
    <sheetView showGridLines="0" zoomScale="145" zoomScaleNormal="145" workbookViewId="0">
      <selection activeCell="H3" sqref="H3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3" style="48" customWidth="1"/>
    <col min="5" max="5" width="14.140625" style="48" customWidth="1"/>
    <col min="6" max="6" width="4.5703125" style="48" customWidth="1"/>
    <col min="7" max="7" width="38" style="48" customWidth="1"/>
    <col min="8" max="8" width="12.85546875" style="48" customWidth="1"/>
    <col min="9" max="9" width="5.140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130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>
        <v>0.01</v>
      </c>
    </row>
    <row r="4" spans="2:14" ht="15" x14ac:dyDescent="0.25">
      <c r="B4" s="55"/>
      <c r="C4" s="56"/>
      <c r="D4" s="56"/>
      <c r="E4" s="57"/>
      <c r="G4" s="35" t="s">
        <v>134</v>
      </c>
      <c r="H4" s="54">
        <v>15</v>
      </c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54">
        <v>45</v>
      </c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35" t="s">
        <v>136</v>
      </c>
      <c r="H6" s="62">
        <f>E6</f>
        <v>43150</v>
      </c>
      <c r="I6"/>
    </row>
    <row r="7" spans="2:14" ht="15" x14ac:dyDescent="0.25">
      <c r="B7" s="63" t="s">
        <v>94</v>
      </c>
      <c r="C7" s="66"/>
      <c r="D7" s="67"/>
      <c r="E7" s="68"/>
      <c r="G7" s="35" t="s">
        <v>181</v>
      </c>
      <c r="H7" s="62">
        <v>43164</v>
      </c>
    </row>
    <row r="8" spans="2:14" ht="15" x14ac:dyDescent="0.25">
      <c r="B8" s="70" t="s">
        <v>95</v>
      </c>
      <c r="C8" s="66"/>
      <c r="D8" s="66"/>
      <c r="E8" s="71"/>
      <c r="G8" s="35" t="s">
        <v>210</v>
      </c>
      <c r="H8" s="148">
        <f>H6+H4</f>
        <v>43165</v>
      </c>
      <c r="J8" s="48" t="str">
        <f ca="1">IF(_xlfn.ISFORMULA(H8)," "&amp;_xlfn.FORMULATEXT(H8),"")</f>
        <v xml:space="preserve"> =H6+H4</v>
      </c>
    </row>
    <row r="9" spans="2:14" ht="15" x14ac:dyDescent="0.25">
      <c r="B9" s="83"/>
      <c r="C9" s="72"/>
      <c r="D9" s="73"/>
      <c r="E9" s="74"/>
      <c r="G9" s="35" t="s">
        <v>166</v>
      </c>
      <c r="H9" s="69">
        <f>H7-H6</f>
        <v>14</v>
      </c>
      <c r="J9" s="48" t="str">
        <f ca="1">IF(_xlfn.ISFORMULA(H9)," "&amp;_xlfn.FORMULATEXT(H9),"")</f>
        <v xml:space="preserve"> =H7-H6</v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35" t="str">
        <f>"Discount Earned? Paid in "&amp;H4&amp;" or fewer days?"</f>
        <v>Discount Earned? Paid in 15 or fewer days?</v>
      </c>
      <c r="H10" s="69" t="b">
        <f>H9&lt;=H4</f>
        <v>1</v>
      </c>
      <c r="J10" s="48" t="str">
        <f t="shared" ref="J10:J16" ca="1" si="0">IF(_xlfn.ISFORMULA(H10)," "&amp;_xlfn.FORMULATEXT(H10),"")</f>
        <v xml:space="preserve"> =H9&lt;=H4</v>
      </c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180</v>
      </c>
      <c r="H11" s="143">
        <f>E16</f>
        <v>833.1</v>
      </c>
      <c r="J11" s="48" t="str">
        <f t="shared" ca="1" si="0"/>
        <v xml:space="preserve"> =E16</v>
      </c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138</v>
      </c>
      <c r="H12" s="143">
        <f>IF(H10,ROUND(H11*H3,2),0)</f>
        <v>8.33</v>
      </c>
      <c r="J12" s="48" t="str">
        <f t="shared" ca="1" si="0"/>
        <v xml:space="preserve"> =IF(H10,ROUND(H11*H3,2),0)</v>
      </c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179</v>
      </c>
      <c r="H13" s="143">
        <f>E17</f>
        <v>15</v>
      </c>
      <c r="J13" s="48" t="str">
        <f t="shared" ca="1" si="0"/>
        <v xml:space="preserve"> =E17</v>
      </c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 s="35" t="s">
        <v>141</v>
      </c>
      <c r="H14" s="143">
        <f>H11-H12+H13</f>
        <v>839.77</v>
      </c>
      <c r="J14" s="48" t="str">
        <f t="shared" ca="1" si="0"/>
        <v xml:space="preserve"> =H11-H12+H13</v>
      </c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/>
      <c r="H15"/>
      <c r="I15"/>
      <c r="J15" s="48" t="str">
        <f t="shared" ca="1" si="0"/>
        <v/>
      </c>
      <c r="K15"/>
      <c r="L15"/>
      <c r="M15"/>
    </row>
    <row r="16" spans="2:14" ht="15" x14ac:dyDescent="0.25">
      <c r="B16" s="85"/>
      <c r="D16" s="60" t="s">
        <v>106</v>
      </c>
      <c r="E16" s="140">
        <f>SUM(E11:E15)</f>
        <v>833.1</v>
      </c>
      <c r="G16" s="35" t="s">
        <v>142</v>
      </c>
      <c r="H16" s="143">
        <f>E16-IF(H7-H6&lt;=H4,ROUND(E16*H3,2),0)+E17</f>
        <v>839.77</v>
      </c>
      <c r="I16"/>
      <c r="J16" s="48" t="str">
        <f t="shared" ca="1" si="0"/>
        <v xml:space="preserve"> =E16-IF(H7-H6&lt;=H4,ROUND(E16*H3,2),0)+E17</v>
      </c>
      <c r="K16"/>
      <c r="L16"/>
      <c r="M16"/>
      <c r="N16"/>
    </row>
    <row r="17" spans="2:13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H17"/>
      <c r="I17"/>
      <c r="J17"/>
      <c r="K17"/>
      <c r="L17"/>
      <c r="M17"/>
    </row>
    <row r="18" spans="2:13" ht="15.75" thickBot="1" x14ac:dyDescent="0.3">
      <c r="B18" s="78" t="s">
        <v>109</v>
      </c>
      <c r="C18" s="79" t="s">
        <v>110</v>
      </c>
      <c r="D18" s="80" t="s">
        <v>111</v>
      </c>
      <c r="E18" s="142">
        <f>SUM(E16:E17)</f>
        <v>848.1</v>
      </c>
      <c r="F18"/>
      <c r="H18"/>
      <c r="I18"/>
      <c r="J18"/>
      <c r="K18"/>
      <c r="L18"/>
      <c r="M18"/>
    </row>
    <row r="19" spans="2:13" ht="15" x14ac:dyDescent="0.25">
      <c r="B19"/>
      <c r="C19"/>
      <c r="D19"/>
      <c r="E19"/>
      <c r="F19"/>
      <c r="G19"/>
      <c r="H19"/>
      <c r="I19"/>
      <c r="J19"/>
      <c r="K19"/>
      <c r="L19"/>
      <c r="M19"/>
    </row>
    <row r="20" spans="2:13" ht="15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ht="15" x14ac:dyDescent="0.25">
      <c r="B21"/>
      <c r="C21"/>
      <c r="D21"/>
      <c r="E21"/>
      <c r="F21"/>
      <c r="G21"/>
      <c r="H21"/>
      <c r="I21"/>
      <c r="J21"/>
      <c r="K21"/>
      <c r="L21"/>
      <c r="M21"/>
    </row>
    <row r="22" spans="2:13" ht="15" x14ac:dyDescent="0.25">
      <c r="B22"/>
      <c r="C22"/>
      <c r="D22"/>
      <c r="E22"/>
      <c r="F22"/>
      <c r="G22"/>
      <c r="H22"/>
      <c r="I22"/>
      <c r="J22"/>
      <c r="K22"/>
      <c r="L22"/>
      <c r="M22"/>
    </row>
    <row r="23" spans="2:13" ht="15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ht="15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ht="15" x14ac:dyDescent="0.25">
      <c r="B25"/>
      <c r="C25"/>
      <c r="D25"/>
      <c r="E25"/>
      <c r="F25"/>
      <c r="H25"/>
      <c r="I25"/>
      <c r="J25"/>
      <c r="K25"/>
      <c r="L25"/>
      <c r="M25"/>
    </row>
    <row r="26" spans="2:13" ht="15" x14ac:dyDescent="0.25">
      <c r="B26"/>
      <c r="C26"/>
      <c r="D26"/>
      <c r="E26"/>
      <c r="F26"/>
      <c r="H26"/>
      <c r="I26"/>
      <c r="J26"/>
      <c r="K26"/>
      <c r="L26"/>
      <c r="M26"/>
    </row>
    <row r="27" spans="2:13" ht="15" x14ac:dyDescent="0.25">
      <c r="B27"/>
      <c r="C27"/>
      <c r="D27"/>
      <c r="E27"/>
      <c r="F27"/>
      <c r="H27"/>
      <c r="I27"/>
      <c r="J27"/>
      <c r="K27"/>
      <c r="L27"/>
      <c r="M27"/>
    </row>
    <row r="28" spans="2:13" ht="15" x14ac:dyDescent="0.25">
      <c r="B28"/>
      <c r="C28"/>
      <c r="D28"/>
      <c r="E28"/>
      <c r="F28"/>
      <c r="H28"/>
      <c r="I28"/>
      <c r="J28"/>
      <c r="K28"/>
      <c r="L28"/>
      <c r="M28"/>
    </row>
    <row r="29" spans="2:13" ht="75" x14ac:dyDescent="0.25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  <c r="H29"/>
      <c r="I29"/>
      <c r="J29"/>
      <c r="K29"/>
      <c r="L29"/>
      <c r="M29"/>
    </row>
    <row r="30" spans="2:13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  <c r="H30"/>
      <c r="I30"/>
      <c r="J30"/>
      <c r="K30"/>
      <c r="L30"/>
      <c r="M30"/>
    </row>
    <row r="31" spans="2:13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3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96BB69D1-0F3F-4F19-B16A-CD2032D4B2CD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90E4-3332-49FC-8AD3-A3C7A6390F76}">
  <sheetPr>
    <tabColor rgb="FF0000FF"/>
  </sheetPr>
  <dimension ref="B1:O74"/>
  <sheetViews>
    <sheetView showGridLines="0" zoomScale="160" zoomScaleNormal="160" workbookViewId="0">
      <selection activeCell="H5" sqref="H5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6.7109375" style="48" customWidth="1"/>
    <col min="4" max="4" width="13" style="48" customWidth="1"/>
    <col min="5" max="5" width="14.7109375" style="48" customWidth="1"/>
    <col min="6" max="6" width="2.5703125" style="48" customWidth="1"/>
    <col min="7" max="7" width="40" style="48" customWidth="1"/>
    <col min="8" max="8" width="12.85546875" style="48" customWidth="1"/>
    <col min="9" max="16384" width="8.85546875" style="48"/>
  </cols>
  <sheetData>
    <row r="1" spans="2:15" customFormat="1" ht="9.75" customHeight="1" thickBot="1" x14ac:dyDescent="0.3">
      <c r="B1" s="48"/>
      <c r="C1" s="48"/>
      <c r="D1" s="48"/>
      <c r="E1" s="48"/>
      <c r="G1" s="48"/>
      <c r="H1" s="48"/>
      <c r="J1" s="48" t="str">
        <f t="shared" ref="J1:J12" ca="1" si="0">IF(_xlfn.ISFORMULA(H1)," "&amp;_xlfn.FORMULATEXT(H1),"")</f>
        <v/>
      </c>
    </row>
    <row r="2" spans="2:15" ht="15.75" x14ac:dyDescent="0.25">
      <c r="B2" s="49" t="s">
        <v>89</v>
      </c>
      <c r="C2" s="50"/>
      <c r="D2" s="50"/>
      <c r="E2" s="51"/>
      <c r="G2" s="105" t="s">
        <v>130</v>
      </c>
      <c r="H2" s="105"/>
      <c r="J2" s="48" t="str">
        <f t="shared" ca="1" si="0"/>
        <v/>
      </c>
    </row>
    <row r="3" spans="2:15" ht="15.75" thickBot="1" x14ac:dyDescent="0.3">
      <c r="B3" s="84"/>
      <c r="C3" s="52" t="s">
        <v>125</v>
      </c>
      <c r="D3" s="52"/>
      <c r="E3" s="53"/>
      <c r="G3" s="35" t="s">
        <v>92</v>
      </c>
      <c r="H3" s="65">
        <f>E6</f>
        <v>43150</v>
      </c>
      <c r="J3" s="48" t="str">
        <f t="shared" ca="1" si="0"/>
        <v xml:space="preserve"> =E6</v>
      </c>
    </row>
    <row r="4" spans="2:15" ht="15" x14ac:dyDescent="0.25">
      <c r="B4" s="55"/>
      <c r="C4" s="56"/>
      <c r="D4" s="56"/>
      <c r="E4" s="57"/>
      <c r="G4" s="35" t="s">
        <v>173</v>
      </c>
      <c r="H4" s="62">
        <v>43167</v>
      </c>
      <c r="J4" s="48" t="str">
        <f t="shared" ca="1" si="0"/>
        <v/>
      </c>
    </row>
    <row r="5" spans="2:15" ht="15" x14ac:dyDescent="0.25">
      <c r="B5" s="58" t="s">
        <v>90</v>
      </c>
      <c r="C5" s="59"/>
      <c r="D5" s="60" t="s">
        <v>91</v>
      </c>
      <c r="E5" s="61">
        <v>1255</v>
      </c>
      <c r="G5" s="35" t="s">
        <v>166</v>
      </c>
      <c r="H5" s="69"/>
      <c r="J5" s="48" t="str">
        <f t="shared" ca="1" si="0"/>
        <v/>
      </c>
    </row>
    <row r="6" spans="2:15" ht="15" x14ac:dyDescent="0.25">
      <c r="B6" s="63" t="s">
        <v>93</v>
      </c>
      <c r="C6" s="64"/>
      <c r="D6" s="60" t="s">
        <v>10</v>
      </c>
      <c r="E6" s="65">
        <v>43150</v>
      </c>
      <c r="G6" s="35" t="s">
        <v>167</v>
      </c>
      <c r="H6" s="135">
        <v>0.02</v>
      </c>
      <c r="I6"/>
      <c r="J6" s="48" t="str">
        <f t="shared" ca="1" si="0"/>
        <v/>
      </c>
    </row>
    <row r="7" spans="2:15" ht="15" x14ac:dyDescent="0.25">
      <c r="B7" s="63" t="s">
        <v>94</v>
      </c>
      <c r="C7" s="66"/>
      <c r="D7" s="67"/>
      <c r="E7" s="68"/>
      <c r="G7" s="35" t="s">
        <v>168</v>
      </c>
      <c r="H7" s="54">
        <v>15</v>
      </c>
      <c r="J7" s="48" t="str">
        <f t="shared" ca="1" si="0"/>
        <v/>
      </c>
    </row>
    <row r="8" spans="2:15" ht="15" x14ac:dyDescent="0.25">
      <c r="B8" s="70" t="s">
        <v>95</v>
      </c>
      <c r="C8" s="66"/>
      <c r="D8" s="66"/>
      <c r="E8" s="71"/>
      <c r="G8" s="35" t="s">
        <v>169</v>
      </c>
      <c r="H8" s="135">
        <v>0.01</v>
      </c>
      <c r="J8" s="48" t="str">
        <f t="shared" ca="1" si="0"/>
        <v/>
      </c>
    </row>
    <row r="9" spans="2:15" ht="15" x14ac:dyDescent="0.25">
      <c r="B9" s="83"/>
      <c r="C9" s="72"/>
      <c r="D9" s="73"/>
      <c r="E9" s="74"/>
      <c r="G9" s="35" t="s">
        <v>170</v>
      </c>
      <c r="H9" s="54">
        <v>30</v>
      </c>
      <c r="J9" s="48" t="str">
        <f t="shared" ca="1" si="0"/>
        <v/>
      </c>
    </row>
    <row r="10" spans="2:15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35" t="s">
        <v>182</v>
      </c>
      <c r="H10" s="54">
        <v>45</v>
      </c>
      <c r="J10" s="48" t="str">
        <f t="shared" ca="1" si="0"/>
        <v/>
      </c>
    </row>
    <row r="11" spans="2:15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tr">
        <f>"Discount Earned? Paid in "&amp;H7&amp;" or fewer days?"</f>
        <v>Discount Earned? Paid in 15 or fewer days?</v>
      </c>
      <c r="H11" s="69"/>
      <c r="J11" s="48" t="str">
        <f t="shared" ca="1" si="0"/>
        <v/>
      </c>
    </row>
    <row r="12" spans="2:15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tr">
        <f>"Discount Earned? Paid in "&amp;H9&amp;" or fewer days?"</f>
        <v>Discount Earned? Paid in 30 or fewer days?</v>
      </c>
      <c r="H12" s="69"/>
      <c r="J12" s="48" t="str">
        <f t="shared" ca="1" si="0"/>
        <v/>
      </c>
    </row>
    <row r="13" spans="2:15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248</v>
      </c>
      <c r="H13" s="164"/>
      <c r="I13"/>
      <c r="J13" s="48" t="str">
        <f ca="1">IF(_xlfn.ISFORMULA(H13)," "&amp;_xlfn.FORMULATEXT(H13),"")</f>
        <v/>
      </c>
      <c r="K13"/>
      <c r="L13"/>
      <c r="M13"/>
      <c r="N13"/>
      <c r="O13"/>
    </row>
    <row r="14" spans="2:15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 s="35" t="s">
        <v>138</v>
      </c>
      <c r="H14" s="143"/>
      <c r="I14"/>
      <c r="J14" s="48" t="str">
        <f ca="1">IF(_xlfn.ISFORMULA(H14)," "&amp;_xlfn.FORMULATEXT(H14),"")</f>
        <v/>
      </c>
      <c r="K14"/>
      <c r="L14"/>
      <c r="M14"/>
    </row>
    <row r="15" spans="2:15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 s="35" t="s">
        <v>104</v>
      </c>
      <c r="H15" s="143"/>
      <c r="I15"/>
      <c r="J15" s="48" t="str">
        <f ca="1">IF(_xlfn.ISFORMULA(H15)," "&amp;_xlfn.FORMULATEXT(H15),"")</f>
        <v/>
      </c>
      <c r="K15"/>
      <c r="L15"/>
      <c r="M15"/>
      <c r="N15"/>
      <c r="O15"/>
    </row>
    <row r="16" spans="2:15" ht="15" x14ac:dyDescent="0.25">
      <c r="B16" s="85"/>
      <c r="D16" s="60" t="s">
        <v>106</v>
      </c>
      <c r="E16" s="140">
        <f>SUM(E11:E15)</f>
        <v>833.1</v>
      </c>
      <c r="G16"/>
      <c r="H16"/>
      <c r="I16"/>
      <c r="J16" s="48" t="str">
        <f ca="1">IF(_xlfn.ISFORMULA(H16)," "&amp;_xlfn.FORMULATEXT(H16),"")</f>
        <v/>
      </c>
      <c r="K16"/>
      <c r="L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 s="35" t="s">
        <v>142</v>
      </c>
      <c r="H17" s="143"/>
      <c r="I17"/>
      <c r="K17"/>
      <c r="L17"/>
      <c r="M17"/>
      <c r="N17"/>
    </row>
    <row r="18" spans="2:14" ht="15.75" thickBot="1" x14ac:dyDescent="0.3">
      <c r="B18" s="78" t="s">
        <v>109</v>
      </c>
      <c r="C18" s="79" t="s">
        <v>152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 s="48" t="str">
        <f ca="1">IF(_xlfn.ISFORMULA(H17)," "&amp;_xlfn.FORMULATEXT(H17),"")</f>
        <v/>
      </c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65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disablePrompts="1" count="1">
    <dataValidation type="list" allowBlank="1" showInputMessage="1" showErrorMessage="1" sqref="B11:B15" xr:uid="{0AC4D2A4-4D06-4FB8-A990-E4888B8BAF59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29CD-3442-4723-A7BE-09E2A594A012}">
  <sheetPr>
    <tabColor rgb="FFFF0000"/>
  </sheetPr>
  <dimension ref="B1:O74"/>
  <sheetViews>
    <sheetView showGridLines="0" zoomScale="160" zoomScaleNormal="160" workbookViewId="0">
      <selection activeCell="H5" sqref="H5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6.7109375" style="48" customWidth="1"/>
    <col min="4" max="4" width="13" style="48" customWidth="1"/>
    <col min="5" max="5" width="14.7109375" style="48" customWidth="1"/>
    <col min="6" max="6" width="2.7109375" style="48" customWidth="1"/>
    <col min="7" max="7" width="40" style="48" customWidth="1"/>
    <col min="8" max="8" width="12.85546875" style="48" customWidth="1"/>
    <col min="9" max="16384" width="8.85546875" style="48"/>
  </cols>
  <sheetData>
    <row r="1" spans="2:15" customFormat="1" ht="9.75" customHeight="1" thickBot="1" x14ac:dyDescent="0.3">
      <c r="B1" s="48"/>
      <c r="C1" s="48"/>
      <c r="D1" s="48"/>
      <c r="E1" s="48"/>
      <c r="G1" s="48"/>
      <c r="H1" s="48"/>
      <c r="J1" s="48" t="str">
        <f t="shared" ref="J1:J12" ca="1" si="0">IF(_xlfn.ISFORMULA(H1)," "&amp;_xlfn.FORMULATEXT(H1),"")</f>
        <v/>
      </c>
    </row>
    <row r="2" spans="2:15" ht="15.75" x14ac:dyDescent="0.25">
      <c r="B2" s="49" t="s">
        <v>89</v>
      </c>
      <c r="C2" s="50"/>
      <c r="D2" s="50"/>
      <c r="E2" s="51"/>
      <c r="G2" s="105" t="s">
        <v>130</v>
      </c>
      <c r="H2" s="105"/>
      <c r="J2" s="48" t="str">
        <f t="shared" ca="1" si="0"/>
        <v/>
      </c>
    </row>
    <row r="3" spans="2:15" ht="15.75" thickBot="1" x14ac:dyDescent="0.3">
      <c r="B3" s="84"/>
      <c r="C3" s="52" t="s">
        <v>125</v>
      </c>
      <c r="D3" s="52"/>
      <c r="E3" s="53"/>
      <c r="G3" s="35" t="s">
        <v>92</v>
      </c>
      <c r="H3" s="65">
        <f>E6</f>
        <v>43150</v>
      </c>
      <c r="J3" s="48" t="str">
        <f t="shared" ca="1" si="0"/>
        <v xml:space="preserve"> =E6</v>
      </c>
    </row>
    <row r="4" spans="2:15" ht="15" x14ac:dyDescent="0.25">
      <c r="B4" s="55"/>
      <c r="C4" s="56"/>
      <c r="D4" s="56"/>
      <c r="E4" s="57"/>
      <c r="G4" s="35" t="s">
        <v>173</v>
      </c>
      <c r="H4" s="62">
        <v>43167</v>
      </c>
      <c r="J4" s="48" t="str">
        <f t="shared" ca="1" si="0"/>
        <v/>
      </c>
    </row>
    <row r="5" spans="2:15" ht="15" x14ac:dyDescent="0.25">
      <c r="B5" s="58" t="s">
        <v>90</v>
      </c>
      <c r="C5" s="59"/>
      <c r="D5" s="60" t="s">
        <v>91</v>
      </c>
      <c r="E5" s="61">
        <v>1255</v>
      </c>
      <c r="G5" s="35" t="s">
        <v>166</v>
      </c>
      <c r="H5" s="69">
        <f>H4-H3</f>
        <v>17</v>
      </c>
      <c r="J5" s="48" t="str">
        <f t="shared" ca="1" si="0"/>
        <v xml:space="preserve"> =H4-H3</v>
      </c>
    </row>
    <row r="6" spans="2:15" ht="15" x14ac:dyDescent="0.25">
      <c r="B6" s="63" t="s">
        <v>93</v>
      </c>
      <c r="C6" s="64"/>
      <c r="D6" s="60" t="s">
        <v>10</v>
      </c>
      <c r="E6" s="65">
        <v>43150</v>
      </c>
      <c r="G6" s="35" t="s">
        <v>167</v>
      </c>
      <c r="H6" s="135">
        <v>0.02</v>
      </c>
      <c r="I6"/>
      <c r="J6" s="48" t="str">
        <f t="shared" ca="1" si="0"/>
        <v/>
      </c>
    </row>
    <row r="7" spans="2:15" ht="15" x14ac:dyDescent="0.25">
      <c r="B7" s="63" t="s">
        <v>94</v>
      </c>
      <c r="C7" s="66"/>
      <c r="D7" s="67"/>
      <c r="E7" s="68"/>
      <c r="G7" s="35" t="s">
        <v>168</v>
      </c>
      <c r="H7" s="54">
        <v>15</v>
      </c>
      <c r="J7" s="48" t="str">
        <f t="shared" ca="1" si="0"/>
        <v/>
      </c>
    </row>
    <row r="8" spans="2:15" ht="15" x14ac:dyDescent="0.25">
      <c r="B8" s="70" t="s">
        <v>95</v>
      </c>
      <c r="C8" s="66"/>
      <c r="D8" s="66"/>
      <c r="E8" s="71"/>
      <c r="G8" s="35" t="s">
        <v>169</v>
      </c>
      <c r="H8" s="135">
        <v>0.01</v>
      </c>
      <c r="J8" s="48" t="str">
        <f t="shared" ca="1" si="0"/>
        <v/>
      </c>
    </row>
    <row r="9" spans="2:15" ht="15" x14ac:dyDescent="0.25">
      <c r="B9" s="83"/>
      <c r="C9" s="72"/>
      <c r="D9" s="73"/>
      <c r="E9" s="74"/>
      <c r="G9" s="35" t="s">
        <v>170</v>
      </c>
      <c r="H9" s="54">
        <v>30</v>
      </c>
      <c r="J9" s="48" t="str">
        <f t="shared" ca="1" si="0"/>
        <v/>
      </c>
    </row>
    <row r="10" spans="2:15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35" t="s">
        <v>182</v>
      </c>
      <c r="H10" s="54">
        <v>45</v>
      </c>
      <c r="J10" s="48" t="str">
        <f t="shared" ca="1" si="0"/>
        <v/>
      </c>
    </row>
    <row r="11" spans="2:15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tr">
        <f>"Discount Earned? Paid in "&amp;H7&amp;" or fewer days?"</f>
        <v>Discount Earned? Paid in 15 or fewer days?</v>
      </c>
      <c r="H11" s="69" t="b">
        <f>H5&lt;=H7</f>
        <v>0</v>
      </c>
      <c r="J11" s="48" t="str">
        <f t="shared" ca="1" si="0"/>
        <v xml:space="preserve"> =H5&lt;=H7</v>
      </c>
    </row>
    <row r="12" spans="2:15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tr">
        <f>"Discount Earned? Paid in "&amp;H9&amp;" or fewer days?"</f>
        <v>Discount Earned? Paid in 30 or fewer days?</v>
      </c>
      <c r="H12" s="69" t="b">
        <f>H5&lt;=H9</f>
        <v>1</v>
      </c>
      <c r="J12" s="48" t="str">
        <f t="shared" ca="1" si="0"/>
        <v xml:space="preserve"> =H5&lt;=H9</v>
      </c>
    </row>
    <row r="13" spans="2:15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248</v>
      </c>
      <c r="H13" s="164">
        <f>IF(H11,H6,IF(H12,H8,0))</f>
        <v>0.01</v>
      </c>
      <c r="I13"/>
      <c r="J13" s="48" t="str">
        <f ca="1">IF(_xlfn.ISFORMULA(H13)," "&amp;_xlfn.FORMULATEXT(H13),"")</f>
        <v xml:space="preserve"> =IF(H11,H6,IF(H12,H8,0))</v>
      </c>
      <c r="K13"/>
      <c r="L13"/>
      <c r="M13"/>
      <c r="N13"/>
      <c r="O13"/>
    </row>
    <row r="14" spans="2:15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 s="35" t="s">
        <v>138</v>
      </c>
      <c r="H14" s="143">
        <f>ROUND(E16*H13,2)</f>
        <v>8.33</v>
      </c>
      <c r="I14"/>
      <c r="J14" s="48" t="str">
        <f ca="1">IF(_xlfn.ISFORMULA(H14)," "&amp;_xlfn.FORMULATEXT(H14),"")</f>
        <v xml:space="preserve"> =ROUND(E16*H13,2)</v>
      </c>
      <c r="K14"/>
      <c r="L14"/>
      <c r="M14"/>
    </row>
    <row r="15" spans="2:15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 s="35" t="s">
        <v>104</v>
      </c>
      <c r="H15" s="143">
        <f>E16-H14+E17</f>
        <v>839.77</v>
      </c>
      <c r="I15"/>
      <c r="J15" s="48" t="str">
        <f ca="1">IF(_xlfn.ISFORMULA(H15)," "&amp;_xlfn.FORMULATEXT(H15),"")</f>
        <v xml:space="preserve"> =E16-H14+E17</v>
      </c>
      <c r="K15"/>
      <c r="L15"/>
      <c r="M15"/>
      <c r="N15"/>
      <c r="O15"/>
    </row>
    <row r="16" spans="2:15" ht="15" x14ac:dyDescent="0.25">
      <c r="B16" s="85"/>
      <c r="D16" s="60" t="s">
        <v>106</v>
      </c>
      <c r="E16" s="140">
        <f>SUM(E11:E15)</f>
        <v>833.1</v>
      </c>
      <c r="G16"/>
      <c r="H16"/>
      <c r="I16"/>
      <c r="J16" s="48" t="str">
        <f ca="1">IF(_xlfn.ISFORMULA(H16)," "&amp;_xlfn.FORMULATEXT(H16),"")</f>
        <v/>
      </c>
      <c r="K16"/>
      <c r="L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 s="35" t="s">
        <v>142</v>
      </c>
      <c r="H17" s="143">
        <f>E16-ROUND(E16*IF(H4-H3&lt;=H7,H6,IF(H4-H3&lt;=H9,H8,0)),2)+E17</f>
        <v>839.77</v>
      </c>
      <c r="I17"/>
      <c r="K17"/>
      <c r="L17"/>
      <c r="M17"/>
      <c r="N17"/>
    </row>
    <row r="18" spans="2:14" ht="15.75" thickBot="1" x14ac:dyDescent="0.3">
      <c r="B18" s="78" t="s">
        <v>109</v>
      </c>
      <c r="C18" s="79" t="s">
        <v>152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 s="48" t="str">
        <f ca="1">IF(_xlfn.ISFORMULA(H17)," "&amp;_xlfn.FORMULATEXT(H17),"")</f>
        <v xml:space="preserve"> =E16-ROUND(E16*IF(H4-H3&lt;=H7,H6,IF(H4-H3&lt;=H9,H8,0)),2)+E17</v>
      </c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50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1F30CD89-F175-4360-9A60-F72AB1364C17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F95A-1B45-4940-9ACD-9E5BC7CA2B9E}">
  <sheetPr>
    <tabColor rgb="FF0000FF"/>
  </sheetPr>
  <dimension ref="B1:N74"/>
  <sheetViews>
    <sheetView showGridLines="0" zoomScale="155" zoomScaleNormal="155" workbookViewId="0">
      <selection activeCell="H8" sqref="H8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3" style="48" customWidth="1"/>
    <col min="5" max="5" width="14.140625" style="48" customWidth="1"/>
    <col min="6" max="6" width="3.140625" style="48" customWidth="1"/>
    <col min="7" max="7" width="38" style="48" customWidth="1"/>
    <col min="8" max="8" width="12.85546875" style="48" customWidth="1"/>
    <col min="9" max="9" width="4.28515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202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>
        <v>1.4999999999999999E-2</v>
      </c>
    </row>
    <row r="4" spans="2:14" ht="15" x14ac:dyDescent="0.25">
      <c r="B4" s="55"/>
      <c r="C4" s="56"/>
      <c r="D4" s="56"/>
      <c r="E4" s="57"/>
      <c r="G4" s="35" t="s">
        <v>134</v>
      </c>
      <c r="H4" s="54">
        <v>25</v>
      </c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54">
        <v>90</v>
      </c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146" t="str">
        <f>D7</f>
        <v>AS OF Date</v>
      </c>
      <c r="H6" s="62">
        <f>E7</f>
        <v>43159</v>
      </c>
      <c r="I6"/>
    </row>
    <row r="7" spans="2:14" ht="15" x14ac:dyDescent="0.25">
      <c r="B7" s="63" t="s">
        <v>94</v>
      </c>
      <c r="C7" s="66"/>
      <c r="D7" s="145" t="s">
        <v>174</v>
      </c>
      <c r="E7" s="65">
        <v>43159</v>
      </c>
      <c r="G7" s="35" t="s">
        <v>173</v>
      </c>
      <c r="H7" s="62">
        <v>43181</v>
      </c>
    </row>
    <row r="8" spans="2:14" ht="15" x14ac:dyDescent="0.25">
      <c r="B8" s="70" t="s">
        <v>95</v>
      </c>
      <c r="C8" s="66"/>
      <c r="D8" s="66"/>
      <c r="E8" s="71"/>
      <c r="G8" s="35" t="s">
        <v>249</v>
      </c>
      <c r="H8" s="69"/>
      <c r="J8" s="48" t="str">
        <f ca="1">IF(_xlfn.ISFORMULA(H8)," "&amp;_xlfn.FORMULATEXT(H8),"")</f>
        <v/>
      </c>
    </row>
    <row r="9" spans="2:14" ht="15" x14ac:dyDescent="0.25">
      <c r="B9" s="83"/>
      <c r="C9" s="72"/>
      <c r="D9" s="73"/>
      <c r="E9" s="74"/>
      <c r="G9" s="35" t="str">
        <f>"Discount Earned? Paid in "&amp;H4&amp;" or fewer days?"</f>
        <v>Discount Earned? Paid in 25 or fewer days?</v>
      </c>
      <c r="H9" s="69"/>
      <c r="J9" s="48" t="str">
        <f t="shared" ref="J9" ca="1" si="0">IF(_xlfn.ISFORMULA(H9)," "&amp;_xlfn.FORMULATEXT(H9),"")</f>
        <v/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129" t="s">
        <v>96</v>
      </c>
      <c r="H10" s="144"/>
      <c r="J10" s="48" t="str">
        <f ca="1">IF(_xlfn.ISFORMULA(H10)," "&amp;_xlfn.FORMULATEXT(H10),"")</f>
        <v/>
      </c>
      <c r="K10"/>
      <c r="L10"/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138</v>
      </c>
      <c r="H11" s="143"/>
      <c r="J11" s="48" t="str">
        <f ca="1">IF(_xlfn.ISFORMULA(H11)," "&amp;_xlfn.FORMULATEXT(H11),"")</f>
        <v/>
      </c>
      <c r="K11"/>
      <c r="L11"/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102</v>
      </c>
      <c r="H12" s="143"/>
      <c r="J12" s="48" t="str">
        <f ca="1">IF(_xlfn.ISFORMULA(H12)," "&amp;_xlfn.FORMULATEXT(H12),"")</f>
        <v/>
      </c>
      <c r="K12"/>
      <c r="L12"/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104</v>
      </c>
      <c r="H13" s="143"/>
      <c r="I13"/>
      <c r="J13" s="48" t="str">
        <f ca="1">IF(_xlfn.ISFORMULA(H13)," "&amp;_xlfn.FORMULATEXT(H13),"")</f>
        <v/>
      </c>
      <c r="K13"/>
      <c r="L13"/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/>
      <c r="H14"/>
      <c r="I14"/>
      <c r="J14"/>
      <c r="K14"/>
      <c r="L14"/>
      <c r="M14"/>
      <c r="N14"/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/>
      <c r="H15"/>
      <c r="I15"/>
      <c r="J15"/>
      <c r="K15"/>
      <c r="L15"/>
      <c r="M15"/>
      <c r="N15"/>
    </row>
    <row r="16" spans="2:14" ht="15" x14ac:dyDescent="0.25">
      <c r="B16" s="85"/>
      <c r="D16" s="60" t="s">
        <v>106</v>
      </c>
      <c r="E16" s="140">
        <f>SUM(E11:E15)</f>
        <v>833.1</v>
      </c>
      <c r="G16"/>
      <c r="H16"/>
      <c r="I16"/>
      <c r="J16"/>
      <c r="K16"/>
      <c r="L16"/>
      <c r="M16"/>
      <c r="N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/>
      <c r="H17"/>
      <c r="I17"/>
      <c r="J17"/>
      <c r="K17"/>
      <c r="L17"/>
      <c r="M17"/>
      <c r="N17"/>
    </row>
    <row r="18" spans="2:14" ht="15.75" thickBot="1" x14ac:dyDescent="0.3">
      <c r="B18" s="78" t="s">
        <v>109</v>
      </c>
      <c r="C18" s="79" t="s">
        <v>176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35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33433840-85A7-49CC-AFE0-E29121225387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44D5-469A-400C-93D9-884DBA998C63}">
  <sheetPr>
    <tabColor rgb="FFFF0000"/>
  </sheetPr>
  <dimension ref="B1:N74"/>
  <sheetViews>
    <sheetView showGridLines="0" zoomScale="155" zoomScaleNormal="155" workbookViewId="0">
      <selection activeCell="H8" sqref="H8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3" style="48" customWidth="1"/>
    <col min="5" max="5" width="14.140625" style="48" customWidth="1"/>
    <col min="6" max="6" width="3.140625" style="48" customWidth="1"/>
    <col min="7" max="7" width="38" style="48" customWidth="1"/>
    <col min="8" max="8" width="12.85546875" style="48" customWidth="1"/>
    <col min="9" max="9" width="4.28515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202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>
        <v>1.4999999999999999E-2</v>
      </c>
    </row>
    <row r="4" spans="2:14" ht="15" x14ac:dyDescent="0.25">
      <c r="B4" s="55"/>
      <c r="C4" s="56"/>
      <c r="D4" s="56"/>
      <c r="E4" s="57"/>
      <c r="G4" s="35" t="s">
        <v>134</v>
      </c>
      <c r="H4" s="54">
        <v>25</v>
      </c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54">
        <v>90</v>
      </c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146" t="str">
        <f>D7</f>
        <v>AS OF Date</v>
      </c>
      <c r="H6" s="62">
        <f>E7</f>
        <v>43159</v>
      </c>
      <c r="I6"/>
    </row>
    <row r="7" spans="2:14" ht="15" x14ac:dyDescent="0.25">
      <c r="B7" s="63" t="s">
        <v>94</v>
      </c>
      <c r="C7" s="66"/>
      <c r="D7" s="145" t="s">
        <v>174</v>
      </c>
      <c r="E7" s="65">
        <v>43159</v>
      </c>
      <c r="G7" s="35" t="s">
        <v>173</v>
      </c>
      <c r="H7" s="62">
        <v>43181</v>
      </c>
    </row>
    <row r="8" spans="2:14" ht="15" x14ac:dyDescent="0.25">
      <c r="B8" s="70" t="s">
        <v>95</v>
      </c>
      <c r="C8" s="66"/>
      <c r="D8" s="66"/>
      <c r="E8" s="71"/>
      <c r="G8" s="35" t="s">
        <v>249</v>
      </c>
      <c r="H8" s="69">
        <f>H7-H6</f>
        <v>22</v>
      </c>
      <c r="J8" s="48" t="str">
        <f ca="1">IF(_xlfn.ISFORMULA(H8)," "&amp;_xlfn.FORMULATEXT(H8),"")</f>
        <v xml:space="preserve"> =H7-H6</v>
      </c>
    </row>
    <row r="9" spans="2:14" ht="15" x14ac:dyDescent="0.25">
      <c r="B9" s="83"/>
      <c r="C9" s="72"/>
      <c r="D9" s="73"/>
      <c r="E9" s="74"/>
      <c r="G9" s="35" t="str">
        <f>"Discount Earned? Paid in "&amp;H4&amp;" or fewer days?"</f>
        <v>Discount Earned? Paid in 25 or fewer days?</v>
      </c>
      <c r="H9" s="69" t="b">
        <f>H8&lt;=H4</f>
        <v>1</v>
      </c>
      <c r="J9" s="48" t="str">
        <f t="shared" ref="J9" ca="1" si="0">IF(_xlfn.ISFORMULA(H9)," "&amp;_xlfn.FORMULATEXT(H9),"")</f>
        <v xml:space="preserve"> =H8&lt;=H4</v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129" t="s">
        <v>96</v>
      </c>
      <c r="H10" s="144">
        <f>E16</f>
        <v>833.1</v>
      </c>
      <c r="J10" s="48" t="str">
        <f ca="1">IF(_xlfn.ISFORMULA(H10)," "&amp;_xlfn.FORMULATEXT(H10),"")</f>
        <v xml:space="preserve"> =E16</v>
      </c>
      <c r="K10"/>
      <c r="L10"/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138</v>
      </c>
      <c r="H11" s="143">
        <f>IF(H9,ROUND(H10*H3,2),0)</f>
        <v>12.5</v>
      </c>
      <c r="J11" s="48" t="str">
        <f ca="1">IF(_xlfn.ISFORMULA(H11)," "&amp;_xlfn.FORMULATEXT(H11),"")</f>
        <v xml:space="preserve"> =IF(H9,ROUND(H10*H3,2),0)</v>
      </c>
      <c r="K11"/>
      <c r="L11"/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102</v>
      </c>
      <c r="H12" s="143">
        <f>E17</f>
        <v>15</v>
      </c>
      <c r="J12" s="48" t="str">
        <f ca="1">IF(_xlfn.ISFORMULA(H12)," "&amp;_xlfn.FORMULATEXT(H12),"")</f>
        <v xml:space="preserve"> =E17</v>
      </c>
      <c r="K12"/>
      <c r="L12"/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104</v>
      </c>
      <c r="H13" s="143">
        <f>H10-H11+H12</f>
        <v>835.6</v>
      </c>
      <c r="I13"/>
      <c r="J13" s="48" t="str">
        <f ca="1">IF(_xlfn.ISFORMULA(H13)," "&amp;_xlfn.FORMULATEXT(H13),"")</f>
        <v xml:space="preserve"> =H10-H11+H12</v>
      </c>
      <c r="K13"/>
      <c r="L13"/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/>
      <c r="H14"/>
      <c r="I14"/>
      <c r="J14"/>
      <c r="K14"/>
      <c r="L14"/>
      <c r="M14"/>
      <c r="N14"/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/>
      <c r="H15"/>
      <c r="I15"/>
      <c r="J15"/>
      <c r="K15"/>
      <c r="L15"/>
      <c r="M15"/>
      <c r="N15"/>
    </row>
    <row r="16" spans="2:14" ht="15" x14ac:dyDescent="0.25">
      <c r="B16" s="85"/>
      <c r="D16" s="60" t="s">
        <v>106</v>
      </c>
      <c r="E16" s="140">
        <f>SUM(E11:E15)</f>
        <v>833.1</v>
      </c>
      <c r="G16"/>
      <c r="H16"/>
      <c r="I16"/>
      <c r="J16"/>
      <c r="K16"/>
      <c r="L16"/>
      <c r="M16"/>
      <c r="N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/>
      <c r="H17"/>
      <c r="I17"/>
      <c r="J17"/>
      <c r="K17"/>
      <c r="L17"/>
      <c r="M17"/>
      <c r="N17"/>
    </row>
    <row r="18" spans="2:14" ht="15.75" thickBot="1" x14ac:dyDescent="0.3">
      <c r="B18" s="78" t="s">
        <v>109</v>
      </c>
      <c r="C18" s="79" t="s">
        <v>176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35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3A099DB0-AC4D-42D0-8D38-F55343AA8762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AC99-C3CD-4D43-9649-4ABA7F770B61}">
  <sheetPr>
    <tabColor rgb="FF0000FF"/>
  </sheetPr>
  <dimension ref="B1:N74"/>
  <sheetViews>
    <sheetView showGridLines="0" zoomScale="155" zoomScaleNormal="155" workbookViewId="0">
      <selection activeCell="H5" sqref="H5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5.7109375" style="48" customWidth="1"/>
    <col min="5" max="5" width="14.140625" style="48" customWidth="1"/>
    <col min="6" max="6" width="3.140625" style="48" customWidth="1"/>
    <col min="7" max="7" width="38" style="48" customWidth="1"/>
    <col min="8" max="8" width="12.85546875" style="48" customWidth="1"/>
    <col min="9" max="9" width="4.28515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203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>
        <v>0.02</v>
      </c>
    </row>
    <row r="4" spans="2:14" ht="15" x14ac:dyDescent="0.25">
      <c r="B4" s="55"/>
      <c r="C4" s="56"/>
      <c r="D4" s="56"/>
      <c r="E4" s="57"/>
      <c r="G4" s="35" t="s">
        <v>134</v>
      </c>
      <c r="H4" s="54">
        <v>10</v>
      </c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69"/>
      <c r="J5" s="48" t="str">
        <f ca="1">IF(_xlfn.ISFORMULA(H5)," "&amp;_xlfn.FORMULATEXT(H5),"")</f>
        <v/>
      </c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146" t="str">
        <f>D7</f>
        <v>Receipt of Goods</v>
      </c>
      <c r="H6" s="62">
        <f>E7</f>
        <v>43155</v>
      </c>
      <c r="I6"/>
    </row>
    <row r="7" spans="2:14" ht="15" x14ac:dyDescent="0.25">
      <c r="B7" s="63" t="s">
        <v>94</v>
      </c>
      <c r="C7" s="66"/>
      <c r="D7" s="145" t="s">
        <v>183</v>
      </c>
      <c r="E7" s="65">
        <v>43155</v>
      </c>
      <c r="G7" s="35" t="s">
        <v>173</v>
      </c>
      <c r="H7" s="62">
        <v>43181</v>
      </c>
    </row>
    <row r="8" spans="2:14" ht="15" x14ac:dyDescent="0.25">
      <c r="B8" s="70" t="s">
        <v>95</v>
      </c>
      <c r="C8" s="66"/>
      <c r="D8" s="66"/>
      <c r="E8" s="71"/>
      <c r="G8" s="35" t="s">
        <v>250</v>
      </c>
      <c r="H8" s="69"/>
      <c r="J8" s="48" t="str">
        <f ca="1">IF(_xlfn.ISFORMULA(H8)," "&amp;_xlfn.FORMULATEXT(H8),"")</f>
        <v/>
      </c>
    </row>
    <row r="9" spans="2:14" ht="15" x14ac:dyDescent="0.25">
      <c r="B9" s="83"/>
      <c r="C9" s="72"/>
      <c r="D9" s="73"/>
      <c r="E9" s="74"/>
      <c r="G9" s="35" t="str">
        <f>"Discount Earned? Paid in "&amp;H4&amp;" or fewer days?"</f>
        <v>Discount Earned? Paid in 10 or fewer days?</v>
      </c>
      <c r="H9" s="69"/>
      <c r="J9" s="48" t="str">
        <f t="shared" ref="J9" ca="1" si="0">IF(_xlfn.ISFORMULA(H9)," "&amp;_xlfn.FORMULATEXT(H9),"")</f>
        <v/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129" t="s">
        <v>96</v>
      </c>
      <c r="H10" s="144"/>
      <c r="J10" s="48" t="str">
        <f ca="1">IF(_xlfn.ISFORMULA(H10)," "&amp;_xlfn.FORMULATEXT(H10),"")</f>
        <v/>
      </c>
      <c r="K10"/>
      <c r="L10"/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138</v>
      </c>
      <c r="H11" s="143"/>
      <c r="J11" s="48" t="str">
        <f ca="1">IF(_xlfn.ISFORMULA(H11)," "&amp;_xlfn.FORMULATEXT(H11),"")</f>
        <v/>
      </c>
      <c r="K11"/>
      <c r="L11"/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102</v>
      </c>
      <c r="H12" s="143"/>
      <c r="J12" s="48" t="str">
        <f ca="1">IF(_xlfn.ISFORMULA(H12)," "&amp;_xlfn.FORMULATEXT(H12),"")</f>
        <v/>
      </c>
      <c r="K12"/>
      <c r="L12"/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104</v>
      </c>
      <c r="H13" s="143"/>
      <c r="I13"/>
      <c r="J13" s="48" t="str">
        <f ca="1">IF(_xlfn.ISFORMULA(H13)," "&amp;_xlfn.FORMULATEXT(H13),"")</f>
        <v/>
      </c>
      <c r="K13"/>
      <c r="L13"/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/>
      <c r="H14"/>
      <c r="I14"/>
      <c r="J14"/>
      <c r="K14"/>
      <c r="L14"/>
      <c r="M14"/>
      <c r="N14"/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 s="147" t="s">
        <v>184</v>
      </c>
      <c r="H15"/>
      <c r="I15"/>
      <c r="J15"/>
      <c r="K15"/>
      <c r="L15"/>
      <c r="M15"/>
      <c r="N15"/>
    </row>
    <row r="16" spans="2:14" ht="15" x14ac:dyDescent="0.25">
      <c r="B16" s="85"/>
      <c r="D16" s="60" t="s">
        <v>106</v>
      </c>
      <c r="E16" s="140">
        <f>SUM(E11:E15)</f>
        <v>833.1</v>
      </c>
      <c r="G16" t="s">
        <v>185</v>
      </c>
      <c r="H16"/>
      <c r="I16"/>
      <c r="J16"/>
      <c r="K16"/>
      <c r="L16"/>
      <c r="M16"/>
      <c r="N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 t="s">
        <v>186</v>
      </c>
      <c r="H17"/>
      <c r="I17"/>
      <c r="J17"/>
      <c r="K17"/>
      <c r="L17"/>
      <c r="M17"/>
      <c r="N17"/>
    </row>
    <row r="18" spans="2:14" ht="15.75" thickBot="1" x14ac:dyDescent="0.3">
      <c r="B18" s="78" t="s">
        <v>109</v>
      </c>
      <c r="C18" s="35" t="s">
        <v>178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35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199839DA-CD50-437D-8BBA-AC14294BB6B7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A65F-BFE3-4A98-91BF-940FF5F9C8A4}">
  <sheetPr>
    <tabColor rgb="FFFF0000"/>
  </sheetPr>
  <dimension ref="B1:N74"/>
  <sheetViews>
    <sheetView showGridLines="0" zoomScale="155" zoomScaleNormal="155" workbookViewId="0">
      <selection activeCell="H5" sqref="H5"/>
    </sheetView>
  </sheetViews>
  <sheetFormatPr defaultColWidth="8.85546875" defaultRowHeight="12.75" x14ac:dyDescent="0.2"/>
  <cols>
    <col min="1" max="1" width="2.140625" style="48" customWidth="1"/>
    <col min="2" max="2" width="16.5703125" style="48" customWidth="1"/>
    <col min="3" max="3" width="14.140625" style="48" customWidth="1"/>
    <col min="4" max="4" width="15.7109375" style="48" customWidth="1"/>
    <col min="5" max="5" width="14.140625" style="48" customWidth="1"/>
    <col min="6" max="6" width="3.140625" style="48" customWidth="1"/>
    <col min="7" max="7" width="38" style="48" customWidth="1"/>
    <col min="8" max="8" width="12.85546875" style="48" customWidth="1"/>
    <col min="9" max="9" width="4.28515625" style="48" customWidth="1"/>
    <col min="10" max="16384" width="8.85546875" style="48"/>
  </cols>
  <sheetData>
    <row r="1" spans="2:14" customFormat="1" ht="9.75" customHeight="1" thickBot="1" x14ac:dyDescent="0.3">
      <c r="B1" s="48"/>
      <c r="C1" s="48"/>
      <c r="D1" s="48"/>
      <c r="E1" s="48"/>
      <c r="G1" s="48"/>
      <c r="H1" s="48"/>
    </row>
    <row r="2" spans="2:14" ht="15.75" x14ac:dyDescent="0.25">
      <c r="B2" s="49" t="s">
        <v>89</v>
      </c>
      <c r="C2" s="50"/>
      <c r="D2" s="50"/>
      <c r="E2" s="51"/>
      <c r="G2" s="105" t="s">
        <v>203</v>
      </c>
      <c r="H2" s="105"/>
    </row>
    <row r="3" spans="2:14" ht="15.75" thickBot="1" x14ac:dyDescent="0.3">
      <c r="B3" s="84"/>
      <c r="C3" s="52" t="s">
        <v>125</v>
      </c>
      <c r="D3" s="52"/>
      <c r="E3" s="53"/>
      <c r="G3" s="35" t="s">
        <v>164</v>
      </c>
      <c r="H3" s="135">
        <v>0.02</v>
      </c>
    </row>
    <row r="4" spans="2:14" ht="15" x14ac:dyDescent="0.25">
      <c r="B4" s="55"/>
      <c r="C4" s="56"/>
      <c r="D4" s="56"/>
      <c r="E4" s="57"/>
      <c r="G4" s="35" t="s">
        <v>134</v>
      </c>
      <c r="H4" s="54">
        <v>10</v>
      </c>
    </row>
    <row r="5" spans="2:14" ht="15" x14ac:dyDescent="0.25">
      <c r="B5" s="58" t="s">
        <v>90</v>
      </c>
      <c r="C5" s="59"/>
      <c r="D5" s="60" t="s">
        <v>91</v>
      </c>
      <c r="E5" s="61">
        <v>1255</v>
      </c>
      <c r="G5" s="35" t="s">
        <v>182</v>
      </c>
      <c r="H5" s="69">
        <f>H4+20</f>
        <v>30</v>
      </c>
      <c r="J5" s="48" t="str">
        <f ca="1">IF(_xlfn.ISFORMULA(H5)," "&amp;_xlfn.FORMULATEXT(H5),"")</f>
        <v xml:space="preserve"> =H4+20</v>
      </c>
    </row>
    <row r="6" spans="2:14" ht="15" x14ac:dyDescent="0.25">
      <c r="B6" s="63" t="s">
        <v>93</v>
      </c>
      <c r="C6" s="64"/>
      <c r="D6" s="60" t="s">
        <v>10</v>
      </c>
      <c r="E6" s="65">
        <v>43150</v>
      </c>
      <c r="G6" s="146" t="str">
        <f>D7</f>
        <v>Receipt of Goods</v>
      </c>
      <c r="H6" s="62">
        <f>E7</f>
        <v>43155</v>
      </c>
      <c r="I6"/>
    </row>
    <row r="7" spans="2:14" ht="15" x14ac:dyDescent="0.25">
      <c r="B7" s="63" t="s">
        <v>94</v>
      </c>
      <c r="C7" s="66"/>
      <c r="D7" s="145" t="s">
        <v>183</v>
      </c>
      <c r="E7" s="65">
        <v>43155</v>
      </c>
      <c r="G7" s="35" t="s">
        <v>173</v>
      </c>
      <c r="H7" s="62">
        <v>43181</v>
      </c>
    </row>
    <row r="8" spans="2:14" ht="15" x14ac:dyDescent="0.25">
      <c r="B8" s="70" t="s">
        <v>95</v>
      </c>
      <c r="C8" s="66"/>
      <c r="D8" s="66"/>
      <c r="E8" s="71"/>
      <c r="G8" s="35" t="s">
        <v>250</v>
      </c>
      <c r="H8" s="69">
        <f>H7-H6</f>
        <v>26</v>
      </c>
      <c r="J8" s="48" t="str">
        <f ca="1">IF(_xlfn.ISFORMULA(H8)," "&amp;_xlfn.FORMULATEXT(H8),"")</f>
        <v xml:space="preserve"> =H7-H6</v>
      </c>
    </row>
    <row r="9" spans="2:14" ht="15" x14ac:dyDescent="0.25">
      <c r="B9" s="83"/>
      <c r="C9" s="72"/>
      <c r="D9" s="73"/>
      <c r="E9" s="74"/>
      <c r="G9" s="35" t="str">
        <f>"Discount Earned? Paid in "&amp;H4&amp;" or fewer days?"</f>
        <v>Discount Earned? Paid in 10 or fewer days?</v>
      </c>
      <c r="H9" s="69" t="b">
        <f>H8&lt;=H4</f>
        <v>0</v>
      </c>
      <c r="J9" s="48" t="str">
        <f t="shared" ref="J9" ca="1" si="0">IF(_xlfn.ISFORMULA(H9)," "&amp;_xlfn.FORMULATEXT(H9),"")</f>
        <v xml:space="preserve"> =H8&lt;=H4</v>
      </c>
    </row>
    <row r="10" spans="2:14" ht="15" x14ac:dyDescent="0.25">
      <c r="B10" s="58" t="s">
        <v>97</v>
      </c>
      <c r="C10" s="60" t="s">
        <v>98</v>
      </c>
      <c r="D10" s="60" t="s">
        <v>99</v>
      </c>
      <c r="E10" s="75" t="s">
        <v>100</v>
      </c>
      <c r="G10" s="129" t="s">
        <v>96</v>
      </c>
      <c r="H10" s="144">
        <f>E16</f>
        <v>833.1</v>
      </c>
      <c r="J10" s="48" t="str">
        <f ca="1">IF(_xlfn.ISFORMULA(H10)," "&amp;_xlfn.FORMULATEXT(H10),"")</f>
        <v xml:space="preserve"> =E16</v>
      </c>
      <c r="K10"/>
      <c r="L10"/>
    </row>
    <row r="11" spans="2:14" ht="15" x14ac:dyDescent="0.25">
      <c r="B11" s="76" t="s">
        <v>101</v>
      </c>
      <c r="C11" s="54">
        <v>15</v>
      </c>
      <c r="D11" s="138">
        <f>IF(B11="","",VLOOKUP(B11,$B$30:$F$44,5,0))</f>
        <v>25.62</v>
      </c>
      <c r="E11" s="139">
        <f>IF(D11="","",ROUND(D11*C11,2))</f>
        <v>384.3</v>
      </c>
      <c r="G11" s="35" t="s">
        <v>138</v>
      </c>
      <c r="H11" s="143">
        <f>IF(H9,ROUND(H10*H3,2),0)</f>
        <v>0</v>
      </c>
      <c r="J11" s="48" t="str">
        <f ca="1">IF(_xlfn.ISFORMULA(H11)," "&amp;_xlfn.FORMULATEXT(H11),"")</f>
        <v xml:space="preserve"> =IF(H9,ROUND(H10*H3,2),0)</v>
      </c>
      <c r="K11"/>
      <c r="L11"/>
    </row>
    <row r="12" spans="2:14" ht="15" x14ac:dyDescent="0.25">
      <c r="B12" s="76" t="s">
        <v>113</v>
      </c>
      <c r="C12" s="54">
        <v>10</v>
      </c>
      <c r="D12" s="136">
        <f>IF(B12="","",VLOOKUP(B12,$B$30:$F$44,5,0))</f>
        <v>10.58</v>
      </c>
      <c r="E12" s="137">
        <f t="shared" ref="E12:E15" si="1">IF(D12="","",ROUND(D12*C12,2))</f>
        <v>105.8</v>
      </c>
      <c r="G12" s="35" t="s">
        <v>102</v>
      </c>
      <c r="H12" s="143">
        <f>E17</f>
        <v>15</v>
      </c>
      <c r="J12" s="48" t="str">
        <f ca="1">IF(_xlfn.ISFORMULA(H12)," "&amp;_xlfn.FORMULATEXT(H12),"")</f>
        <v xml:space="preserve"> =E17</v>
      </c>
      <c r="K12"/>
      <c r="L12"/>
    </row>
    <row r="13" spans="2:14" ht="15" x14ac:dyDescent="0.25">
      <c r="B13" s="76" t="s">
        <v>105</v>
      </c>
      <c r="C13" s="54">
        <v>25</v>
      </c>
      <c r="D13" s="136">
        <f>IF(B13="","",VLOOKUP(B13,$B$30:$F$44,5,0))</f>
        <v>13.72</v>
      </c>
      <c r="E13" s="137">
        <f t="shared" si="1"/>
        <v>343</v>
      </c>
      <c r="G13" s="35" t="s">
        <v>104</v>
      </c>
      <c r="H13" s="143">
        <f>H10-H11+H12</f>
        <v>848.1</v>
      </c>
      <c r="I13"/>
      <c r="J13" s="48" t="str">
        <f ca="1">IF(_xlfn.ISFORMULA(H13)," "&amp;_xlfn.FORMULATEXT(H13),"")</f>
        <v xml:space="preserve"> =H10-H11+H12</v>
      </c>
      <c r="K13"/>
      <c r="L13"/>
    </row>
    <row r="14" spans="2:14" ht="15" x14ac:dyDescent="0.25">
      <c r="B14" s="76"/>
      <c r="C14" s="54"/>
      <c r="D14" s="136" t="str">
        <f>IF(B14="","",VLOOKUP(B14,$B$30:$F$44,5,0))</f>
        <v/>
      </c>
      <c r="E14" s="137" t="str">
        <f t="shared" si="1"/>
        <v/>
      </c>
      <c r="G14"/>
      <c r="H14"/>
      <c r="I14"/>
      <c r="J14"/>
      <c r="K14"/>
      <c r="L14"/>
      <c r="M14"/>
      <c r="N14"/>
    </row>
    <row r="15" spans="2:14" ht="15" x14ac:dyDescent="0.25">
      <c r="B15" s="76"/>
      <c r="C15" s="54"/>
      <c r="D15" s="136" t="str">
        <f>IF(B15="","",VLOOKUP(B15,$B$30:$F$44,5,0))</f>
        <v/>
      </c>
      <c r="E15" s="137" t="str">
        <f t="shared" si="1"/>
        <v/>
      </c>
      <c r="G15" s="147" t="s">
        <v>184</v>
      </c>
      <c r="H15"/>
      <c r="I15"/>
      <c r="J15"/>
      <c r="K15"/>
      <c r="L15"/>
      <c r="M15"/>
      <c r="N15"/>
    </row>
    <row r="16" spans="2:14" ht="15" x14ac:dyDescent="0.25">
      <c r="B16" s="85"/>
      <c r="D16" s="60" t="s">
        <v>106</v>
      </c>
      <c r="E16" s="140">
        <f>SUM(E11:E15)</f>
        <v>833.1</v>
      </c>
      <c r="G16" t="s">
        <v>185</v>
      </c>
      <c r="H16"/>
      <c r="I16"/>
      <c r="J16"/>
      <c r="K16"/>
      <c r="L16"/>
      <c r="M16"/>
      <c r="N16"/>
    </row>
    <row r="17" spans="2:14" ht="15" x14ac:dyDescent="0.25">
      <c r="B17" s="77" t="s">
        <v>107</v>
      </c>
      <c r="C17" s="54" t="s">
        <v>108</v>
      </c>
      <c r="D17" s="60" t="s">
        <v>102</v>
      </c>
      <c r="E17" s="141">
        <v>15</v>
      </c>
      <c r="G17" t="s">
        <v>186</v>
      </c>
      <c r="H17"/>
      <c r="I17"/>
      <c r="J17"/>
      <c r="K17"/>
      <c r="L17"/>
      <c r="M17"/>
      <c r="N17"/>
    </row>
    <row r="18" spans="2:14" ht="15.75" thickBot="1" x14ac:dyDescent="0.3">
      <c r="B18" s="78" t="s">
        <v>109</v>
      </c>
      <c r="C18" s="35" t="s">
        <v>178</v>
      </c>
      <c r="D18" s="80" t="s">
        <v>111</v>
      </c>
      <c r="E18" s="142">
        <f>SUM(E16:E17)</f>
        <v>848.1</v>
      </c>
      <c r="F18"/>
      <c r="G18"/>
      <c r="H18"/>
      <c r="I18"/>
      <c r="J18"/>
      <c r="K18"/>
      <c r="L18"/>
      <c r="M18"/>
      <c r="N18"/>
    </row>
    <row r="19" spans="2:14" ht="15" x14ac:dyDescent="0.25"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2:14" ht="15" x14ac:dyDescent="0.25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2:14" ht="15" x14ac:dyDescent="0.25"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2:14" ht="15" x14ac:dyDescent="0.25"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2:14" ht="15" x14ac:dyDescent="0.25"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2:14" ht="15" x14ac:dyDescent="0.25"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2:14" ht="15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4" ht="15" x14ac:dyDescent="0.25">
      <c r="B26"/>
      <c r="C26"/>
      <c r="D26"/>
      <c r="E26"/>
      <c r="F26"/>
    </row>
    <row r="27" spans="2:14" ht="15" x14ac:dyDescent="0.25">
      <c r="B27"/>
      <c r="C27"/>
      <c r="D27"/>
      <c r="E27"/>
      <c r="F27"/>
    </row>
    <row r="28" spans="2:14" ht="15" x14ac:dyDescent="0.25">
      <c r="B28"/>
      <c r="C28"/>
      <c r="D28"/>
      <c r="E28"/>
      <c r="F28"/>
    </row>
    <row r="29" spans="2:14" ht="135" x14ac:dyDescent="0.2">
      <c r="B29" s="81" t="s">
        <v>126</v>
      </c>
      <c r="C29" s="81" t="s">
        <v>127</v>
      </c>
      <c r="D29" s="81" t="s">
        <v>128</v>
      </c>
      <c r="E29" s="81" t="s">
        <v>129</v>
      </c>
      <c r="F29" s="81" t="s">
        <v>112</v>
      </c>
    </row>
    <row r="30" spans="2:14" ht="27.75" customHeight="1" x14ac:dyDescent="0.25">
      <c r="B30" s="86" t="s">
        <v>101</v>
      </c>
      <c r="C30" s="86"/>
      <c r="D30" s="87">
        <v>44.95</v>
      </c>
      <c r="E30" s="88">
        <v>0.43</v>
      </c>
      <c r="F30" s="101">
        <f t="shared" ref="F30:F44" si="2">ROUND(D30*(1-E30),2)</f>
        <v>25.62</v>
      </c>
    </row>
    <row r="31" spans="2:14" ht="27.75" customHeight="1" x14ac:dyDescent="0.25">
      <c r="B31" s="96" t="s">
        <v>105</v>
      </c>
      <c r="C31" s="96"/>
      <c r="D31" s="82">
        <v>24.95</v>
      </c>
      <c r="E31" s="97">
        <v>0.45</v>
      </c>
      <c r="F31" s="35">
        <f t="shared" si="2"/>
        <v>13.72</v>
      </c>
    </row>
    <row r="32" spans="2:14" ht="27.75" customHeight="1" x14ac:dyDescent="0.25">
      <c r="B32" s="93" t="s">
        <v>113</v>
      </c>
      <c r="C32" s="93"/>
      <c r="D32" s="94">
        <v>23.5</v>
      </c>
      <c r="E32" s="95">
        <v>0.55000000000000004</v>
      </c>
      <c r="F32" s="103">
        <f t="shared" si="2"/>
        <v>10.58</v>
      </c>
    </row>
    <row r="33" spans="2:6" ht="27.75" customHeight="1" x14ac:dyDescent="0.25">
      <c r="B33" s="96" t="s">
        <v>114</v>
      </c>
      <c r="C33" s="96"/>
      <c r="D33" s="82">
        <v>79.95</v>
      </c>
      <c r="E33" s="97">
        <v>0.48</v>
      </c>
      <c r="F33" s="35">
        <f t="shared" si="2"/>
        <v>41.57</v>
      </c>
    </row>
    <row r="34" spans="2:6" ht="27.75" customHeight="1" x14ac:dyDescent="0.25">
      <c r="B34" s="98" t="s">
        <v>103</v>
      </c>
      <c r="C34" s="98"/>
      <c r="D34" s="99">
        <v>31.95</v>
      </c>
      <c r="E34" s="100">
        <v>0.54</v>
      </c>
      <c r="F34" s="104">
        <f t="shared" si="2"/>
        <v>14.7</v>
      </c>
    </row>
    <row r="35" spans="2:6" ht="27.75" customHeight="1" x14ac:dyDescent="0.25">
      <c r="B35" s="96" t="s">
        <v>115</v>
      </c>
      <c r="C35" s="96"/>
      <c r="D35" s="82">
        <v>19.989999999999998</v>
      </c>
      <c r="E35" s="97">
        <v>0.6</v>
      </c>
      <c r="F35" s="35">
        <f t="shared" si="2"/>
        <v>8</v>
      </c>
    </row>
    <row r="36" spans="2:6" ht="27.75" customHeight="1" x14ac:dyDescent="0.25">
      <c r="B36" s="98" t="s">
        <v>116</v>
      </c>
      <c r="C36" s="98"/>
      <c r="D36" s="99">
        <v>23</v>
      </c>
      <c r="E36" s="100">
        <v>0.5</v>
      </c>
      <c r="F36" s="104">
        <f t="shared" si="2"/>
        <v>11.5</v>
      </c>
    </row>
    <row r="37" spans="2:6" ht="27.75" customHeight="1" x14ac:dyDescent="0.25">
      <c r="B37" s="96" t="s">
        <v>117</v>
      </c>
      <c r="C37" s="96"/>
      <c r="D37" s="82">
        <v>23.5</v>
      </c>
      <c r="E37" s="97">
        <v>0.5</v>
      </c>
      <c r="F37" s="35">
        <f t="shared" si="2"/>
        <v>11.75</v>
      </c>
    </row>
    <row r="38" spans="2:6" ht="27.75" customHeight="1" x14ac:dyDescent="0.25">
      <c r="B38" s="98" t="s">
        <v>118</v>
      </c>
      <c r="C38" s="98"/>
      <c r="D38" s="99">
        <v>26.95</v>
      </c>
      <c r="E38" s="100">
        <v>0.46</v>
      </c>
      <c r="F38" s="104">
        <f t="shared" si="2"/>
        <v>14.55</v>
      </c>
    </row>
    <row r="39" spans="2:6" ht="27.75" customHeight="1" x14ac:dyDescent="0.25">
      <c r="B39" s="96" t="s">
        <v>119</v>
      </c>
      <c r="C39" s="96"/>
      <c r="D39" s="82">
        <v>30.95</v>
      </c>
      <c r="E39" s="97">
        <v>0.41</v>
      </c>
      <c r="F39" s="35">
        <f t="shared" si="2"/>
        <v>18.260000000000002</v>
      </c>
    </row>
    <row r="40" spans="2:6" ht="27.75" customHeight="1" x14ac:dyDescent="0.25">
      <c r="B40" s="98" t="s">
        <v>120</v>
      </c>
      <c r="C40" s="98"/>
      <c r="D40" s="99">
        <v>29.95</v>
      </c>
      <c r="E40" s="100">
        <v>0.53</v>
      </c>
      <c r="F40" s="104">
        <f t="shared" si="2"/>
        <v>14.08</v>
      </c>
    </row>
    <row r="41" spans="2:6" ht="27.75" customHeight="1" x14ac:dyDescent="0.25">
      <c r="B41" s="96" t="s">
        <v>121</v>
      </c>
      <c r="C41" s="96"/>
      <c r="D41" s="82">
        <v>32.25</v>
      </c>
      <c r="E41" s="97">
        <v>0.53</v>
      </c>
      <c r="F41" s="35">
        <f t="shared" si="2"/>
        <v>15.16</v>
      </c>
    </row>
    <row r="42" spans="2:6" ht="27.75" customHeight="1" x14ac:dyDescent="0.25">
      <c r="B42" s="98" t="s">
        <v>122</v>
      </c>
      <c r="C42" s="98"/>
      <c r="D42" s="99">
        <v>23.5</v>
      </c>
      <c r="E42" s="100">
        <v>0.4</v>
      </c>
      <c r="F42" s="104">
        <f t="shared" si="2"/>
        <v>14.1</v>
      </c>
    </row>
    <row r="43" spans="2:6" ht="27.75" customHeight="1" x14ac:dyDescent="0.25">
      <c r="B43" s="96" t="s">
        <v>123</v>
      </c>
      <c r="C43" s="96"/>
      <c r="D43" s="82">
        <v>55.5</v>
      </c>
      <c r="E43" s="97">
        <v>0.56000000000000005</v>
      </c>
      <c r="F43" s="35">
        <f t="shared" si="2"/>
        <v>24.42</v>
      </c>
    </row>
    <row r="44" spans="2:6" ht="27.75" customHeight="1" x14ac:dyDescent="0.25">
      <c r="B44" s="98" t="s">
        <v>124</v>
      </c>
      <c r="C44" s="98"/>
      <c r="D44" s="99">
        <v>43.25</v>
      </c>
      <c r="E44" s="100">
        <v>0.47</v>
      </c>
      <c r="F44" s="104">
        <f t="shared" si="2"/>
        <v>22.92</v>
      </c>
    </row>
    <row r="45" spans="2:6" ht="15" x14ac:dyDescent="0.25">
      <c r="B45"/>
      <c r="C45"/>
      <c r="D45"/>
      <c r="E45"/>
      <c r="F45"/>
    </row>
    <row r="46" spans="2:6" ht="15" x14ac:dyDescent="0.25">
      <c r="B46"/>
      <c r="C46"/>
      <c r="D46"/>
      <c r="E46"/>
      <c r="F46"/>
    </row>
    <row r="47" spans="2:6" ht="15" x14ac:dyDescent="0.25">
      <c r="B47"/>
      <c r="C47"/>
      <c r="D47"/>
      <c r="E47"/>
      <c r="F47"/>
    </row>
    <row r="48" spans="2:6" ht="15" x14ac:dyDescent="0.25">
      <c r="B48"/>
      <c r="C48"/>
      <c r="D48"/>
      <c r="E48"/>
      <c r="F48"/>
    </row>
    <row r="49" spans="2:6" ht="15" x14ac:dyDescent="0.25">
      <c r="B49"/>
      <c r="C49"/>
      <c r="D49"/>
      <c r="E49"/>
      <c r="F49"/>
    </row>
    <row r="50" spans="2:6" ht="15" x14ac:dyDescent="0.25">
      <c r="B50"/>
      <c r="C50"/>
      <c r="D50"/>
      <c r="E50"/>
      <c r="F50"/>
    </row>
    <row r="51" spans="2:6" ht="15" x14ac:dyDescent="0.25">
      <c r="B51"/>
      <c r="C51"/>
      <c r="D51"/>
      <c r="E51"/>
      <c r="F51"/>
    </row>
    <row r="52" spans="2:6" ht="15" x14ac:dyDescent="0.25">
      <c r="B52"/>
      <c r="C52"/>
      <c r="D52"/>
      <c r="E52"/>
      <c r="F52"/>
    </row>
    <row r="53" spans="2:6" ht="15" x14ac:dyDescent="0.25">
      <c r="B53"/>
      <c r="C53"/>
      <c r="D53"/>
      <c r="E53"/>
      <c r="F53"/>
    </row>
    <row r="54" spans="2:6" ht="15" x14ac:dyDescent="0.25">
      <c r="B54"/>
      <c r="C54"/>
      <c r="D54"/>
      <c r="E54"/>
      <c r="F54"/>
    </row>
    <row r="55" spans="2:6" ht="15" x14ac:dyDescent="0.25">
      <c r="B55"/>
      <c r="C55"/>
      <c r="D55"/>
      <c r="E55"/>
      <c r="F55"/>
    </row>
    <row r="56" spans="2:6" ht="15" x14ac:dyDescent="0.25">
      <c r="B56"/>
      <c r="C56"/>
      <c r="D56"/>
      <c r="E56"/>
      <c r="F56"/>
    </row>
    <row r="57" spans="2:6" ht="15" x14ac:dyDescent="0.25">
      <c r="B57"/>
      <c r="C57"/>
      <c r="D57"/>
      <c r="E57"/>
      <c r="F57"/>
    </row>
    <row r="58" spans="2:6" ht="15" x14ac:dyDescent="0.25">
      <c r="B58"/>
      <c r="C58"/>
      <c r="D58"/>
      <c r="E58"/>
      <c r="F58"/>
    </row>
    <row r="59" spans="2:6" ht="15" x14ac:dyDescent="0.25">
      <c r="B59"/>
      <c r="C59"/>
      <c r="D59"/>
      <c r="E59"/>
      <c r="F59"/>
    </row>
    <row r="60" spans="2:6" ht="15" x14ac:dyDescent="0.25">
      <c r="B60"/>
      <c r="C60"/>
      <c r="D60"/>
      <c r="E60"/>
      <c r="F60"/>
    </row>
    <row r="61" spans="2:6" ht="15" x14ac:dyDescent="0.25">
      <c r="B61"/>
      <c r="C61"/>
      <c r="D61"/>
      <c r="E61"/>
      <c r="F61"/>
    </row>
    <row r="62" spans="2:6" ht="15" x14ac:dyDescent="0.25">
      <c r="B62"/>
      <c r="C62"/>
      <c r="D62"/>
      <c r="E62"/>
      <c r="F62"/>
    </row>
    <row r="63" spans="2:6" ht="15" x14ac:dyDescent="0.25">
      <c r="B63"/>
      <c r="C63"/>
      <c r="D63"/>
      <c r="E63"/>
      <c r="F63"/>
    </row>
    <row r="64" spans="2:6" ht="15" x14ac:dyDescent="0.25">
      <c r="B64"/>
      <c r="C64"/>
      <c r="D64"/>
      <c r="E64"/>
      <c r="F64"/>
    </row>
    <row r="65" spans="2:6" ht="15" x14ac:dyDescent="0.25">
      <c r="B65"/>
      <c r="C65"/>
      <c r="D65"/>
      <c r="E65"/>
      <c r="F65"/>
    </row>
    <row r="66" spans="2:6" ht="15" x14ac:dyDescent="0.25">
      <c r="B66"/>
      <c r="C66"/>
      <c r="D66"/>
      <c r="E66"/>
      <c r="F66"/>
    </row>
    <row r="67" spans="2:6" ht="15" x14ac:dyDescent="0.25">
      <c r="B67"/>
      <c r="C67"/>
      <c r="D67"/>
      <c r="E67"/>
      <c r="F67"/>
    </row>
    <row r="68" spans="2:6" ht="15" x14ac:dyDescent="0.25">
      <c r="B68"/>
      <c r="C68"/>
      <c r="D68"/>
      <c r="E68"/>
      <c r="F68"/>
    </row>
    <row r="69" spans="2:6" ht="15" x14ac:dyDescent="0.25">
      <c r="B69"/>
      <c r="C69"/>
      <c r="D69"/>
      <c r="E69"/>
      <c r="F69"/>
    </row>
    <row r="70" spans="2:6" ht="15" x14ac:dyDescent="0.25">
      <c r="B70"/>
      <c r="C70"/>
      <c r="D70"/>
      <c r="E70"/>
      <c r="F70"/>
    </row>
    <row r="71" spans="2:6" ht="15" x14ac:dyDescent="0.25">
      <c r="B71"/>
      <c r="C71"/>
      <c r="D71"/>
      <c r="E71"/>
      <c r="F71"/>
    </row>
    <row r="72" spans="2:6" ht="15" x14ac:dyDescent="0.25">
      <c r="B72"/>
      <c r="C72"/>
      <c r="D72"/>
      <c r="E72"/>
      <c r="F72"/>
    </row>
    <row r="73" spans="2:6" ht="15" x14ac:dyDescent="0.25">
      <c r="B73"/>
      <c r="C73"/>
      <c r="D73"/>
      <c r="E73"/>
      <c r="F73"/>
    </row>
    <row r="74" spans="2:6" ht="15" x14ac:dyDescent="0.25">
      <c r="B74"/>
      <c r="C74"/>
      <c r="D74"/>
      <c r="E74"/>
      <c r="F74"/>
    </row>
  </sheetData>
  <dataValidations count="1">
    <dataValidation type="list" allowBlank="1" showInputMessage="1" showErrorMessage="1" sqref="B11:B15" xr:uid="{2EB16592-26F4-4AB3-ADD2-8AC7FF8731DE}">
      <formula1>$B$30:$B$44</formula1>
    </dataValidation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84B6-E40D-47D2-A3A8-AE93992B9E21}">
  <sheetPr>
    <tabColor rgb="FF0000FF"/>
  </sheetPr>
  <dimension ref="B1:I26"/>
  <sheetViews>
    <sheetView showGridLines="0" topLeftCell="A7" zoomScale="110" zoomScaleNormal="110" workbookViewId="0">
      <selection activeCell="C16" sqref="C16"/>
    </sheetView>
  </sheetViews>
  <sheetFormatPr defaultRowHeight="15" x14ac:dyDescent="0.25"/>
  <cols>
    <col min="1" max="1" width="1.7109375" customWidth="1"/>
    <col min="2" max="2" width="34" customWidth="1"/>
    <col min="3" max="3" width="11.28515625" customWidth="1"/>
    <col min="4" max="5" width="11.7109375" customWidth="1"/>
    <col min="6" max="6" width="11.28515625" customWidth="1"/>
    <col min="7" max="7" width="34" customWidth="1"/>
    <col min="8" max="8" width="11.42578125" customWidth="1"/>
    <col min="9" max="9" width="1.5703125" customWidth="1"/>
  </cols>
  <sheetData>
    <row r="1" spans="2:9" ht="6.75" customHeight="1" x14ac:dyDescent="0.25"/>
    <row r="2" spans="2:9" ht="21" x14ac:dyDescent="0.35">
      <c r="B2" s="111" t="s">
        <v>189</v>
      </c>
      <c r="C2" s="112"/>
      <c r="D2" s="112"/>
      <c r="E2" s="112"/>
      <c r="F2" s="112"/>
      <c r="G2" s="112"/>
    </row>
    <row r="3" spans="2:9" ht="15.75" thickBot="1" x14ac:dyDescent="0.3"/>
    <row r="4" spans="2:9" ht="82.5" customHeight="1" thickTop="1" thickBot="1" x14ac:dyDescent="0.3">
      <c r="B4" s="110" t="s">
        <v>191</v>
      </c>
      <c r="D4" s="169" t="s">
        <v>193</v>
      </c>
      <c r="E4" s="170"/>
      <c r="G4" s="109" t="s">
        <v>192</v>
      </c>
    </row>
    <row r="5" spans="2:9" ht="15.75" thickTop="1" x14ac:dyDescent="0.25">
      <c r="C5" s="106"/>
      <c r="F5" s="108"/>
    </row>
    <row r="6" spans="2:9" ht="25.5" customHeight="1" x14ac:dyDescent="0.25">
      <c r="D6" s="165" t="s">
        <v>190</v>
      </c>
      <c r="E6" s="165"/>
    </row>
    <row r="7" spans="2:9" x14ac:dyDescent="0.25">
      <c r="D7" s="107"/>
    </row>
    <row r="8" spans="2:9" ht="15.75" thickBot="1" x14ac:dyDescent="0.3">
      <c r="D8" s="107"/>
    </row>
    <row r="9" spans="2:9" ht="114" customHeight="1" thickTop="1" thickBot="1" x14ac:dyDescent="0.3">
      <c r="C9" s="166" t="s">
        <v>201</v>
      </c>
      <c r="D9" s="167"/>
      <c r="E9" s="167"/>
      <c r="F9" s="168"/>
    </row>
    <row r="10" spans="2:9" ht="15.75" thickTop="1" x14ac:dyDescent="0.25"/>
    <row r="11" spans="2:9" ht="21" x14ac:dyDescent="0.35">
      <c r="B11" s="149" t="s">
        <v>194</v>
      </c>
      <c r="C11" s="150"/>
      <c r="E11" t="s">
        <v>109</v>
      </c>
      <c r="G11" s="149" t="s">
        <v>195</v>
      </c>
      <c r="H11" s="150"/>
    </row>
    <row r="12" spans="2:9" x14ac:dyDescent="0.25">
      <c r="B12" s="35" t="s">
        <v>164</v>
      </c>
      <c r="C12" s="135">
        <v>0.03</v>
      </c>
      <c r="E12" t="s">
        <v>251</v>
      </c>
      <c r="G12" s="35" t="s">
        <v>164</v>
      </c>
      <c r="H12" s="135">
        <v>0.03</v>
      </c>
    </row>
    <row r="13" spans="2:9" x14ac:dyDescent="0.25">
      <c r="B13" s="35" t="s">
        <v>196</v>
      </c>
      <c r="C13" s="54">
        <v>15</v>
      </c>
      <c r="G13" s="35" t="s">
        <v>196</v>
      </c>
      <c r="H13" s="54">
        <v>15</v>
      </c>
    </row>
    <row r="14" spans="2:9" x14ac:dyDescent="0.25">
      <c r="B14" s="35" t="s">
        <v>136</v>
      </c>
      <c r="C14" s="62">
        <v>43150</v>
      </c>
      <c r="G14" s="35" t="s">
        <v>136</v>
      </c>
      <c r="H14" s="62">
        <v>43157</v>
      </c>
    </row>
    <row r="15" spans="2:9" x14ac:dyDescent="0.25">
      <c r="B15" s="35" t="s">
        <v>173</v>
      </c>
      <c r="C15" s="62">
        <v>43176</v>
      </c>
      <c r="G15" s="35" t="s">
        <v>173</v>
      </c>
      <c r="H15" s="62">
        <v>43176</v>
      </c>
    </row>
    <row r="16" spans="2:9" x14ac:dyDescent="0.25">
      <c r="B16" s="35" t="s">
        <v>187</v>
      </c>
      <c r="C16" s="69"/>
      <c r="D16" t="str">
        <f ca="1">IF(_xlfn.ISFORMULA(C16),_xlfn.FORMULATEXT(C16),"")</f>
        <v/>
      </c>
      <c r="G16" s="35" t="s">
        <v>187</v>
      </c>
      <c r="H16" s="69"/>
      <c r="I16" t="str">
        <f ca="1">IF(_xlfn.ISFORMULA(H16),_xlfn.FORMULATEXT(H16),"")</f>
        <v/>
      </c>
    </row>
    <row r="17" spans="2:9" x14ac:dyDescent="0.25">
      <c r="B17" s="54" t="s">
        <v>188</v>
      </c>
      <c r="C17" s="54">
        <v>26</v>
      </c>
      <c r="D17" t="str">
        <f t="shared" ref="D17:D26" ca="1" si="0">IF(_xlfn.ISFORMULA(C17),_xlfn.FORMULATEXT(C17),"")</f>
        <v/>
      </c>
      <c r="G17" s="54" t="s">
        <v>188</v>
      </c>
      <c r="H17" s="54">
        <v>26</v>
      </c>
      <c r="I17" t="str">
        <f t="shared" ref="I17:I26" ca="1" si="1">IF(_xlfn.ISFORMULA(H17),_xlfn.FORMULATEXT(H17),"")</f>
        <v/>
      </c>
    </row>
    <row r="18" spans="2:9" x14ac:dyDescent="0.25">
      <c r="B18" s="54" t="s">
        <v>254</v>
      </c>
      <c r="C18" s="37"/>
      <c r="D18" t="str">
        <f t="shared" ca="1" si="0"/>
        <v/>
      </c>
      <c r="G18" s="54" t="s">
        <v>254</v>
      </c>
      <c r="H18" s="37"/>
      <c r="I18" t="str">
        <f t="shared" ca="1" si="1"/>
        <v/>
      </c>
    </row>
    <row r="19" spans="2:9" x14ac:dyDescent="0.25">
      <c r="B19" s="35" t="s">
        <v>197</v>
      </c>
      <c r="C19" s="69"/>
      <c r="D19" t="str">
        <f t="shared" ca="1" si="0"/>
        <v/>
      </c>
      <c r="G19" s="35" t="s">
        <v>197</v>
      </c>
      <c r="H19" s="69"/>
      <c r="I19" t="str">
        <f t="shared" ca="1" si="1"/>
        <v/>
      </c>
    </row>
    <row r="20" spans="2:9" x14ac:dyDescent="0.25">
      <c r="B20" s="35" t="s">
        <v>196</v>
      </c>
      <c r="C20" s="38"/>
      <c r="D20" t="str">
        <f t="shared" ca="1" si="0"/>
        <v/>
      </c>
      <c r="G20" s="35" t="s">
        <v>196</v>
      </c>
      <c r="H20" s="38"/>
      <c r="I20" t="str">
        <f t="shared" ca="1" si="1"/>
        <v/>
      </c>
    </row>
    <row r="21" spans="2:9" x14ac:dyDescent="0.25">
      <c r="B21" s="35" t="s">
        <v>199</v>
      </c>
      <c r="C21" s="38"/>
      <c r="D21" t="str">
        <f t="shared" ca="1" si="0"/>
        <v/>
      </c>
      <c r="G21" s="35" t="s">
        <v>199</v>
      </c>
      <c r="H21" s="38"/>
      <c r="I21" t="str">
        <f t="shared" ca="1" si="1"/>
        <v/>
      </c>
    </row>
    <row r="22" spans="2:9" x14ac:dyDescent="0.25">
      <c r="B22" s="35" t="s">
        <v>180</v>
      </c>
      <c r="C22" s="44">
        <v>833.1</v>
      </c>
      <c r="D22" t="str">
        <f t="shared" ca="1" si="0"/>
        <v/>
      </c>
      <c r="G22" s="35" t="s">
        <v>180</v>
      </c>
      <c r="H22" s="44">
        <v>833.1</v>
      </c>
      <c r="I22" t="str">
        <f t="shared" ca="1" si="1"/>
        <v/>
      </c>
    </row>
    <row r="23" spans="2:9" x14ac:dyDescent="0.25">
      <c r="B23" s="35" t="s">
        <v>200</v>
      </c>
      <c r="C23" s="37"/>
      <c r="D23" t="str">
        <f t="shared" ca="1" si="0"/>
        <v/>
      </c>
      <c r="G23" s="35" t="s">
        <v>200</v>
      </c>
      <c r="H23" s="37"/>
      <c r="I23" t="str">
        <f t="shared" ca="1" si="1"/>
        <v/>
      </c>
    </row>
    <row r="24" spans="2:9" x14ac:dyDescent="0.25">
      <c r="B24" s="35" t="s">
        <v>138</v>
      </c>
      <c r="C24" s="117"/>
      <c r="D24" t="str">
        <f t="shared" ca="1" si="0"/>
        <v/>
      </c>
      <c r="G24" s="35" t="s">
        <v>138</v>
      </c>
      <c r="H24" s="117"/>
      <c r="I24" t="str">
        <f t="shared" ca="1" si="1"/>
        <v/>
      </c>
    </row>
    <row r="25" spans="2:9" x14ac:dyDescent="0.25">
      <c r="B25" s="35" t="s">
        <v>179</v>
      </c>
      <c r="C25" s="44">
        <v>15</v>
      </c>
      <c r="D25" t="str">
        <f t="shared" ca="1" si="0"/>
        <v/>
      </c>
      <c r="G25" s="35" t="s">
        <v>179</v>
      </c>
      <c r="H25" s="44">
        <v>15</v>
      </c>
      <c r="I25" t="str">
        <f t="shared" ca="1" si="1"/>
        <v/>
      </c>
    </row>
    <row r="26" spans="2:9" x14ac:dyDescent="0.25">
      <c r="B26" s="35" t="s">
        <v>141</v>
      </c>
      <c r="C26" s="117"/>
      <c r="D26" t="str">
        <f t="shared" ca="1" si="0"/>
        <v/>
      </c>
      <c r="G26" s="35" t="s">
        <v>141</v>
      </c>
      <c r="H26" s="117"/>
      <c r="I26" t="str">
        <f t="shared" ca="1" si="1"/>
        <v/>
      </c>
    </row>
  </sheetData>
  <mergeCells count="3">
    <mergeCell ref="D4:E4"/>
    <mergeCell ref="D6:E6"/>
    <mergeCell ref="C9:F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D9FC-F4D7-427C-A228-2BE2D841E0AE}">
  <sheetPr>
    <tabColor rgb="FFFF0000"/>
  </sheetPr>
  <dimension ref="B1:I26"/>
  <sheetViews>
    <sheetView showGridLines="0" topLeftCell="A7" zoomScale="110" zoomScaleNormal="110" workbookViewId="0">
      <selection activeCell="C16" sqref="C16"/>
    </sheetView>
  </sheetViews>
  <sheetFormatPr defaultRowHeight="15" x14ac:dyDescent="0.25"/>
  <cols>
    <col min="1" max="1" width="1.7109375" customWidth="1"/>
    <col min="2" max="2" width="34" customWidth="1"/>
    <col min="3" max="3" width="11.28515625" customWidth="1"/>
    <col min="4" max="5" width="11.7109375" customWidth="1"/>
    <col min="6" max="6" width="11.28515625" customWidth="1"/>
    <col min="7" max="7" width="34" customWidth="1"/>
    <col min="8" max="8" width="11.42578125" customWidth="1"/>
    <col min="9" max="9" width="1.5703125" customWidth="1"/>
  </cols>
  <sheetData>
    <row r="1" spans="2:9" ht="6.75" customHeight="1" x14ac:dyDescent="0.25"/>
    <row r="2" spans="2:9" ht="21" x14ac:dyDescent="0.35">
      <c r="B2" s="111" t="s">
        <v>189</v>
      </c>
      <c r="C2" s="112"/>
      <c r="D2" s="112"/>
      <c r="E2" s="112"/>
      <c r="F2" s="112"/>
      <c r="G2" s="112"/>
    </row>
    <row r="3" spans="2:9" ht="15.75" thickBot="1" x14ac:dyDescent="0.3"/>
    <row r="4" spans="2:9" ht="82.5" customHeight="1" thickTop="1" thickBot="1" x14ac:dyDescent="0.3">
      <c r="B4" s="110" t="s">
        <v>191</v>
      </c>
      <c r="D4" s="169" t="s">
        <v>193</v>
      </c>
      <c r="E4" s="170"/>
      <c r="G4" s="109" t="s">
        <v>192</v>
      </c>
    </row>
    <row r="5" spans="2:9" ht="15.75" thickTop="1" x14ac:dyDescent="0.25">
      <c r="C5" s="106"/>
      <c r="F5" s="108"/>
    </row>
    <row r="6" spans="2:9" ht="25.5" customHeight="1" x14ac:dyDescent="0.25">
      <c r="D6" s="165" t="s">
        <v>190</v>
      </c>
      <c r="E6" s="165"/>
    </row>
    <row r="7" spans="2:9" x14ac:dyDescent="0.25">
      <c r="D7" s="107"/>
    </row>
    <row r="8" spans="2:9" ht="15.75" thickBot="1" x14ac:dyDescent="0.3">
      <c r="D8" s="107"/>
    </row>
    <row r="9" spans="2:9" ht="114" customHeight="1" thickTop="1" thickBot="1" x14ac:dyDescent="0.3">
      <c r="C9" s="166" t="s">
        <v>201</v>
      </c>
      <c r="D9" s="167"/>
      <c r="E9" s="167"/>
      <c r="F9" s="168"/>
    </row>
    <row r="10" spans="2:9" ht="15.75" thickTop="1" x14ac:dyDescent="0.25"/>
    <row r="11" spans="2:9" ht="21" x14ac:dyDescent="0.35">
      <c r="B11" s="149" t="s">
        <v>194</v>
      </c>
      <c r="C11" s="150"/>
      <c r="E11" t="s">
        <v>109</v>
      </c>
      <c r="G11" s="149" t="s">
        <v>195</v>
      </c>
      <c r="H11" s="150"/>
    </row>
    <row r="12" spans="2:9" x14ac:dyDescent="0.25">
      <c r="B12" s="35" t="s">
        <v>164</v>
      </c>
      <c r="C12" s="135">
        <v>0.03</v>
      </c>
      <c r="E12" t="s">
        <v>251</v>
      </c>
      <c r="G12" s="35" t="s">
        <v>164</v>
      </c>
      <c r="H12" s="135">
        <v>0.03</v>
      </c>
    </row>
    <row r="13" spans="2:9" x14ac:dyDescent="0.25">
      <c r="B13" s="35" t="s">
        <v>196</v>
      </c>
      <c r="C13" s="54">
        <v>15</v>
      </c>
      <c r="G13" s="35" t="s">
        <v>196</v>
      </c>
      <c r="H13" s="54">
        <v>15</v>
      </c>
    </row>
    <row r="14" spans="2:9" x14ac:dyDescent="0.25">
      <c r="B14" s="35" t="s">
        <v>136</v>
      </c>
      <c r="C14" s="62">
        <v>43150</v>
      </c>
      <c r="G14" s="35" t="s">
        <v>136</v>
      </c>
      <c r="H14" s="62">
        <v>43157</v>
      </c>
    </row>
    <row r="15" spans="2:9" x14ac:dyDescent="0.25">
      <c r="B15" s="35" t="s">
        <v>173</v>
      </c>
      <c r="C15" s="62">
        <v>43176</v>
      </c>
      <c r="G15" s="35" t="s">
        <v>173</v>
      </c>
      <c r="H15" s="62">
        <v>43176</v>
      </c>
    </row>
    <row r="16" spans="2:9" x14ac:dyDescent="0.25">
      <c r="B16" s="35" t="s">
        <v>187</v>
      </c>
      <c r="C16" s="69">
        <f>DAY(C14)</f>
        <v>19</v>
      </c>
      <c r="D16" t="str">
        <f ca="1">IF(_xlfn.ISFORMULA(C16),_xlfn.FORMULATEXT(C16),"")</f>
        <v>=DAY(C14)</v>
      </c>
      <c r="G16" s="35" t="s">
        <v>187</v>
      </c>
      <c r="H16" s="69">
        <f>DAY(H14)</f>
        <v>26</v>
      </c>
      <c r="I16" t="str">
        <f ca="1">IF(_xlfn.ISFORMULA(H16),_xlfn.FORMULATEXT(H16),"")</f>
        <v>=DAY(H14)</v>
      </c>
    </row>
    <row r="17" spans="2:9" x14ac:dyDescent="0.25">
      <c r="B17" s="54" t="s">
        <v>188</v>
      </c>
      <c r="C17" s="54">
        <v>26</v>
      </c>
      <c r="D17" t="str">
        <f t="shared" ref="D17:D26" ca="1" si="0">IF(_xlfn.ISFORMULA(C17),_xlfn.FORMULATEXT(C17),"")</f>
        <v/>
      </c>
      <c r="G17" s="54" t="s">
        <v>188</v>
      </c>
      <c r="H17" s="54">
        <v>26</v>
      </c>
      <c r="I17" t="str">
        <f t="shared" ref="I17:I26" ca="1" si="1">IF(_xlfn.ISFORMULA(H17),_xlfn.FORMULATEXT(H17),"")</f>
        <v/>
      </c>
    </row>
    <row r="18" spans="2:9" x14ac:dyDescent="0.25">
      <c r="B18" s="54" t="s">
        <v>254</v>
      </c>
      <c r="C18" s="37" t="b">
        <f>C16&gt;=C17</f>
        <v>0</v>
      </c>
      <c r="D18" t="str">
        <f t="shared" ca="1" si="0"/>
        <v>=C16&gt;=C17</v>
      </c>
      <c r="G18" s="54" t="s">
        <v>254</v>
      </c>
      <c r="H18" s="37" t="b">
        <f>H16&gt;=H17</f>
        <v>1</v>
      </c>
      <c r="I18" t="str">
        <f t="shared" ca="1" si="1"/>
        <v>=H16&gt;=H17</v>
      </c>
    </row>
    <row r="19" spans="2:9" x14ac:dyDescent="0.25">
      <c r="B19" s="35" t="s">
        <v>197</v>
      </c>
      <c r="C19" s="69">
        <f>C18+0</f>
        <v>0</v>
      </c>
      <c r="D19" t="str">
        <f t="shared" ca="1" si="0"/>
        <v>=C18+0</v>
      </c>
      <c r="G19" s="35" t="s">
        <v>197</v>
      </c>
      <c r="H19" s="69">
        <f>H18+0</f>
        <v>1</v>
      </c>
      <c r="I19" t="str">
        <f t="shared" ca="1" si="1"/>
        <v>=H18+0</v>
      </c>
    </row>
    <row r="20" spans="2:9" x14ac:dyDescent="0.25">
      <c r="B20" s="35" t="s">
        <v>196</v>
      </c>
      <c r="C20" s="38">
        <f>EOMONTH(C14,C19)+C13</f>
        <v>43174</v>
      </c>
      <c r="D20" t="str">
        <f t="shared" ca="1" si="0"/>
        <v>=EOMONTH(C14,C19)+C13</v>
      </c>
      <c r="G20" s="35" t="s">
        <v>196</v>
      </c>
      <c r="H20" s="38">
        <f>EOMONTH(H14,H19)+H13</f>
        <v>43205</v>
      </c>
      <c r="I20" t="str">
        <f t="shared" ca="1" si="1"/>
        <v>=EOMONTH(H14,H19)+H13</v>
      </c>
    </row>
    <row r="21" spans="2:9" x14ac:dyDescent="0.25">
      <c r="B21" s="35" t="s">
        <v>199</v>
      </c>
      <c r="C21" s="38">
        <f>C20+20</f>
        <v>43194</v>
      </c>
      <c r="D21" t="str">
        <f t="shared" ca="1" si="0"/>
        <v>=C20+20</v>
      </c>
      <c r="G21" s="35" t="s">
        <v>199</v>
      </c>
      <c r="H21" s="38">
        <f>H20+20</f>
        <v>43225</v>
      </c>
      <c r="I21" t="str">
        <f t="shared" ca="1" si="1"/>
        <v>=H20+20</v>
      </c>
    </row>
    <row r="22" spans="2:9" x14ac:dyDescent="0.25">
      <c r="B22" s="35" t="s">
        <v>180</v>
      </c>
      <c r="C22" s="44">
        <v>833.1</v>
      </c>
      <c r="D22" t="str">
        <f t="shared" ca="1" si="0"/>
        <v/>
      </c>
      <c r="G22" s="35" t="s">
        <v>180</v>
      </c>
      <c r="H22" s="44">
        <v>833.1</v>
      </c>
      <c r="I22" t="str">
        <f t="shared" ca="1" si="1"/>
        <v/>
      </c>
    </row>
    <row r="23" spans="2:9" x14ac:dyDescent="0.25">
      <c r="B23" s="35" t="s">
        <v>200</v>
      </c>
      <c r="C23" s="37" t="b">
        <f>C15&lt;=C20</f>
        <v>0</v>
      </c>
      <c r="D23" t="str">
        <f t="shared" ca="1" si="0"/>
        <v>=C15&lt;=C20</v>
      </c>
      <c r="G23" s="35" t="s">
        <v>200</v>
      </c>
      <c r="H23" s="37" t="b">
        <f>H15&lt;=H20</f>
        <v>1</v>
      </c>
      <c r="I23" t="str">
        <f t="shared" ca="1" si="1"/>
        <v>=H15&lt;=H20</v>
      </c>
    </row>
    <row r="24" spans="2:9" x14ac:dyDescent="0.25">
      <c r="B24" s="35" t="s">
        <v>138</v>
      </c>
      <c r="C24" s="117">
        <f>ROUND(C22*C12*C23,2)</f>
        <v>0</v>
      </c>
      <c r="D24" t="str">
        <f t="shared" ca="1" si="0"/>
        <v>=ROUND(C22*C12*C23,2)</v>
      </c>
      <c r="G24" s="35" t="s">
        <v>138</v>
      </c>
      <c r="H24" s="117">
        <f>ROUND(H22*H12*H23,2)</f>
        <v>24.99</v>
      </c>
      <c r="I24" t="str">
        <f t="shared" ca="1" si="1"/>
        <v>=ROUND(H22*H12*H23,2)</v>
      </c>
    </row>
    <row r="25" spans="2:9" x14ac:dyDescent="0.25">
      <c r="B25" s="35" t="s">
        <v>179</v>
      </c>
      <c r="C25" s="44">
        <v>15</v>
      </c>
      <c r="D25" t="str">
        <f t="shared" ca="1" si="0"/>
        <v/>
      </c>
      <c r="G25" s="35" t="s">
        <v>179</v>
      </c>
      <c r="H25" s="44">
        <v>15</v>
      </c>
      <c r="I25" t="str">
        <f t="shared" ca="1" si="1"/>
        <v/>
      </c>
    </row>
    <row r="26" spans="2:9" x14ac:dyDescent="0.25">
      <c r="B26" s="35" t="s">
        <v>141</v>
      </c>
      <c r="C26" s="117">
        <f>C22-C24+C25</f>
        <v>848.1</v>
      </c>
      <c r="D26" t="str">
        <f t="shared" ca="1" si="0"/>
        <v>=C22-C24+C25</v>
      </c>
      <c r="G26" s="35" t="s">
        <v>141</v>
      </c>
      <c r="H26" s="117">
        <f>H22-H24+H25</f>
        <v>823.11</v>
      </c>
      <c r="I26" t="str">
        <f t="shared" ca="1" si="1"/>
        <v>=H22-H24+H25</v>
      </c>
    </row>
  </sheetData>
  <mergeCells count="3">
    <mergeCell ref="D4:E4"/>
    <mergeCell ref="D6:E6"/>
    <mergeCell ref="C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31C0C-3B1B-426D-9044-89FDC8940CC8}">
  <sheetPr>
    <tabColor rgb="FF0000FF"/>
  </sheetPr>
  <dimension ref="A1:J74"/>
  <sheetViews>
    <sheetView zoomScale="145" zoomScaleNormal="145" workbookViewId="0">
      <selection activeCell="B3" sqref="B3"/>
    </sheetView>
  </sheetViews>
  <sheetFormatPr defaultRowHeight="15" x14ac:dyDescent="0.25"/>
  <cols>
    <col min="1" max="1" width="30.7109375" customWidth="1"/>
    <col min="2" max="2" width="20.42578125" customWidth="1"/>
    <col min="3" max="3" width="3.28515625" customWidth="1"/>
    <col min="4" max="4" width="21.85546875" customWidth="1"/>
    <col min="5" max="5" width="14" customWidth="1"/>
    <col min="6" max="6" width="14.140625" customWidth="1"/>
    <col min="7" max="7" width="11.140625" bestFit="1" customWidth="1"/>
  </cols>
  <sheetData>
    <row r="1" spans="1:5" x14ac:dyDescent="0.25">
      <c r="A1" s="45" t="s">
        <v>50</v>
      </c>
      <c r="B1" s="46"/>
      <c r="C1" s="46"/>
      <c r="D1" s="46"/>
      <c r="E1" s="47"/>
    </row>
    <row r="3" spans="1:5" x14ac:dyDescent="0.25">
      <c r="A3" s="35" t="s">
        <v>54</v>
      </c>
      <c r="B3" s="35"/>
      <c r="D3" t="s">
        <v>242</v>
      </c>
    </row>
    <row r="4" spans="1:5" x14ac:dyDescent="0.25">
      <c r="A4" s="35" t="s">
        <v>53</v>
      </c>
      <c r="B4" s="35"/>
      <c r="D4" t="s">
        <v>59</v>
      </c>
    </row>
    <row r="5" spans="1:5" x14ac:dyDescent="0.25">
      <c r="A5" s="35" t="s">
        <v>57</v>
      </c>
      <c r="B5" s="35"/>
      <c r="D5" t="s">
        <v>70</v>
      </c>
    </row>
    <row r="6" spans="1:5" x14ac:dyDescent="0.25">
      <c r="A6" s="35" t="s">
        <v>56</v>
      </c>
      <c r="B6" s="35"/>
      <c r="D6" t="s">
        <v>58</v>
      </c>
    </row>
    <row r="7" spans="1:5" x14ac:dyDescent="0.25">
      <c r="A7" s="35" t="s">
        <v>60</v>
      </c>
      <c r="B7" s="35"/>
      <c r="D7" t="s">
        <v>243</v>
      </c>
    </row>
    <row r="8" spans="1:5" x14ac:dyDescent="0.25">
      <c r="D8" t="s">
        <v>51</v>
      </c>
    </row>
    <row r="9" spans="1:5" x14ac:dyDescent="0.25">
      <c r="D9" t="s">
        <v>52</v>
      </c>
    </row>
    <row r="11" spans="1:5" x14ac:dyDescent="0.25">
      <c r="A11" s="28" t="s">
        <v>9</v>
      </c>
      <c r="B11" s="29"/>
      <c r="C11" s="29"/>
      <c r="D11" s="29"/>
      <c r="E11" s="30"/>
    </row>
    <row r="12" spans="1:5" x14ac:dyDescent="0.25">
      <c r="A12" s="31" t="s">
        <v>64</v>
      </c>
      <c r="B12" s="32"/>
      <c r="C12" s="32"/>
      <c r="D12" s="32"/>
      <c r="E12" s="33"/>
    </row>
    <row r="14" spans="1:5" x14ac:dyDescent="0.25">
      <c r="A14" s="34" t="s">
        <v>61</v>
      </c>
      <c r="B14" s="35"/>
      <c r="D14" t="s">
        <v>65</v>
      </c>
    </row>
    <row r="15" spans="1:5" x14ac:dyDescent="0.25">
      <c r="A15" s="34" t="s">
        <v>62</v>
      </c>
      <c r="B15" s="35"/>
    </row>
    <row r="16" spans="1:5" x14ac:dyDescent="0.25">
      <c r="A16" s="34" t="s">
        <v>63</v>
      </c>
      <c r="B16" s="35"/>
    </row>
    <row r="18" spans="1:5" x14ac:dyDescent="0.25">
      <c r="A18" s="34" t="s">
        <v>10</v>
      </c>
      <c r="B18" s="34" t="s">
        <v>11</v>
      </c>
    </row>
    <row r="19" spans="1:5" x14ac:dyDescent="0.25">
      <c r="A19" s="36">
        <v>1</v>
      </c>
      <c r="B19" s="35">
        <v>1</v>
      </c>
    </row>
    <row r="20" spans="1:5" x14ac:dyDescent="0.25">
      <c r="A20" s="36">
        <v>2</v>
      </c>
      <c r="B20" s="35">
        <v>2</v>
      </c>
    </row>
    <row r="21" spans="1:5" x14ac:dyDescent="0.25">
      <c r="A21" s="36">
        <v>43036</v>
      </c>
      <c r="B21" s="35">
        <v>43036</v>
      </c>
    </row>
    <row r="23" spans="1:5" x14ac:dyDescent="0.25">
      <c r="A23" s="45" t="s">
        <v>71</v>
      </c>
      <c r="B23" s="46"/>
      <c r="C23" s="46"/>
      <c r="D23" s="46"/>
      <c r="E23" s="47"/>
    </row>
    <row r="25" spans="1:5" x14ac:dyDescent="0.25">
      <c r="A25" s="34" t="s">
        <v>92</v>
      </c>
      <c r="B25" s="36">
        <v>43131</v>
      </c>
      <c r="E25" t="s">
        <v>12</v>
      </c>
    </row>
    <row r="26" spans="1:5" x14ac:dyDescent="0.25">
      <c r="A26" s="34" t="s">
        <v>173</v>
      </c>
      <c r="B26" s="36">
        <v>43169</v>
      </c>
      <c r="E26" t="s">
        <v>14</v>
      </c>
    </row>
    <row r="27" spans="1:5" x14ac:dyDescent="0.25">
      <c r="A27" s="34" t="s">
        <v>175</v>
      </c>
      <c r="B27" s="37"/>
      <c r="D27" t="str">
        <f ca="1">IF(_xlfn.ISFORMULA(B27),_xlfn.FORMULATEXT(B27),"")</f>
        <v/>
      </c>
      <c r="E27" t="s">
        <v>66</v>
      </c>
    </row>
    <row r="29" spans="1:5" x14ac:dyDescent="0.25">
      <c r="A29" s="34" t="s">
        <v>32</v>
      </c>
      <c r="B29" s="36">
        <v>43153</v>
      </c>
    </row>
    <row r="30" spans="1:5" x14ac:dyDescent="0.25">
      <c r="A30" s="34" t="s">
        <v>13</v>
      </c>
      <c r="B30" s="38"/>
      <c r="D30" t="str">
        <f ca="1">IF(_xlfn.ISFORMULA(B30),_xlfn.FORMULATEXT(B30),"")</f>
        <v/>
      </c>
      <c r="E30" t="s">
        <v>67</v>
      </c>
    </row>
    <row r="31" spans="1:5" x14ac:dyDescent="0.25">
      <c r="A31" s="34" t="s">
        <v>175</v>
      </c>
      <c r="B31" s="37"/>
      <c r="D31" t="str">
        <f ca="1">IF(_xlfn.ISFORMULA(B31),_xlfn.FORMULATEXT(B31),"")</f>
        <v/>
      </c>
      <c r="E31" s="39" t="s">
        <v>15</v>
      </c>
    </row>
    <row r="33" spans="1:7" x14ac:dyDescent="0.25">
      <c r="A33" s="34" t="s">
        <v>16</v>
      </c>
      <c r="B33" s="36">
        <v>43099</v>
      </c>
    </row>
    <row r="34" spans="1:7" x14ac:dyDescent="0.25">
      <c r="A34" s="34" t="s">
        <v>17</v>
      </c>
      <c r="B34" s="35">
        <v>120</v>
      </c>
    </row>
    <row r="35" spans="1:7" x14ac:dyDescent="0.25">
      <c r="A35" s="34" t="s">
        <v>18</v>
      </c>
      <c r="B35" s="38"/>
      <c r="D35" t="str">
        <f ca="1">IF(_xlfn.ISFORMULA(B35),_xlfn.FORMULATEXT(B35),"")</f>
        <v/>
      </c>
      <c r="E35" t="s">
        <v>68</v>
      </c>
    </row>
    <row r="37" spans="1:7" x14ac:dyDescent="0.25">
      <c r="A37" s="34" t="s">
        <v>19</v>
      </c>
      <c r="B37" s="36">
        <v>43159</v>
      </c>
    </row>
    <row r="38" spans="1:7" x14ac:dyDescent="0.25">
      <c r="A38" s="34" t="s">
        <v>20</v>
      </c>
      <c r="B38" s="36">
        <v>43166</v>
      </c>
    </row>
    <row r="39" spans="1:7" x14ac:dyDescent="0.25">
      <c r="A39" s="34" t="s">
        <v>21</v>
      </c>
      <c r="B39" s="37"/>
      <c r="D39" t="str">
        <f ca="1">IF(_xlfn.ISFORMULA(B39),_xlfn.FORMULATEXT(B39),"")</f>
        <v/>
      </c>
      <c r="E39" t="s">
        <v>69</v>
      </c>
    </row>
    <row r="41" spans="1:7" x14ac:dyDescent="0.25">
      <c r="A41" s="40" t="s">
        <v>22</v>
      </c>
      <c r="B41" s="41"/>
      <c r="C41" s="41"/>
      <c r="D41" s="41"/>
      <c r="E41" s="41"/>
      <c r="F41" s="41"/>
      <c r="G41" s="42"/>
    </row>
    <row r="43" spans="1:7" x14ac:dyDescent="0.25">
      <c r="A43" s="34" t="s">
        <v>92</v>
      </c>
      <c r="B43" s="36">
        <v>43165</v>
      </c>
      <c r="E43" t="s">
        <v>23</v>
      </c>
    </row>
    <row r="44" spans="1:7" x14ac:dyDescent="0.25">
      <c r="A44" s="34" t="s">
        <v>24</v>
      </c>
      <c r="B44" s="38"/>
      <c r="D44" t="str">
        <f ca="1">IF(_xlfn.ISFORMULA(B44),_xlfn.FORMULATEXT(B44),"")</f>
        <v/>
      </c>
      <c r="E44" t="s">
        <v>244</v>
      </c>
    </row>
    <row r="45" spans="1:7" x14ac:dyDescent="0.25">
      <c r="E45" s="39" t="s">
        <v>25</v>
      </c>
    </row>
    <row r="47" spans="1:7" x14ac:dyDescent="0.25">
      <c r="A47" s="40" t="s">
        <v>26</v>
      </c>
      <c r="B47" s="41"/>
      <c r="C47" s="41"/>
      <c r="D47" s="41"/>
      <c r="E47" s="41"/>
      <c r="F47" s="42"/>
    </row>
    <row r="49" spans="1:10" x14ac:dyDescent="0.25">
      <c r="A49" s="34" t="s">
        <v>92</v>
      </c>
      <c r="B49" s="36">
        <v>42403</v>
      </c>
    </row>
    <row r="50" spans="1:10" x14ac:dyDescent="0.25">
      <c r="A50" s="34" t="s">
        <v>72</v>
      </c>
      <c r="B50" s="38"/>
      <c r="D50" t="str">
        <f ca="1">IF(_xlfn.ISFORMULA(B50),_xlfn.FORMULATEXT(B50),"")</f>
        <v/>
      </c>
      <c r="E50" t="s">
        <v>245</v>
      </c>
    </row>
    <row r="51" spans="1:10" x14ac:dyDescent="0.25">
      <c r="E51" s="39" t="s">
        <v>27</v>
      </c>
    </row>
    <row r="52" spans="1:10" x14ac:dyDescent="0.25">
      <c r="A52" s="34" t="s">
        <v>92</v>
      </c>
      <c r="B52" s="36">
        <v>42403</v>
      </c>
      <c r="E52" s="39" t="s">
        <v>28</v>
      </c>
    </row>
    <row r="53" spans="1:10" x14ac:dyDescent="0.25">
      <c r="A53" s="34" t="s">
        <v>88</v>
      </c>
      <c r="B53" s="35">
        <v>10</v>
      </c>
      <c r="E53" s="39" t="s">
        <v>29</v>
      </c>
    </row>
    <row r="54" spans="1:10" x14ac:dyDescent="0.25">
      <c r="A54" s="34" t="s">
        <v>73</v>
      </c>
      <c r="B54" s="38"/>
    </row>
    <row r="56" spans="1:10" x14ac:dyDescent="0.25">
      <c r="D56" s="40" t="s">
        <v>87</v>
      </c>
      <c r="E56" s="41"/>
      <c r="F56" s="41"/>
      <c r="G56" s="41"/>
      <c r="H56" s="41"/>
      <c r="I56" s="41"/>
      <c r="J56" s="42"/>
    </row>
    <row r="57" spans="1:10" x14ac:dyDescent="0.25">
      <c r="B57" t="str">
        <f ca="1">IF(_xlfn.ISFORMULA(B54),_xlfn.FORMULATEXT(B54),"")</f>
        <v/>
      </c>
    </row>
    <row r="58" spans="1:10" ht="60" x14ac:dyDescent="0.25">
      <c r="D58" s="43" t="s">
        <v>30</v>
      </c>
      <c r="E58" s="43" t="s">
        <v>31</v>
      </c>
      <c r="F58" s="43" t="s">
        <v>32</v>
      </c>
      <c r="G58" s="43" t="s">
        <v>13</v>
      </c>
      <c r="H58" s="43" t="s">
        <v>33</v>
      </c>
    </row>
    <row r="59" spans="1:10" x14ac:dyDescent="0.25">
      <c r="D59" s="35" t="s">
        <v>34</v>
      </c>
      <c r="E59" s="44">
        <v>2063</v>
      </c>
      <c r="F59" s="36">
        <v>43160</v>
      </c>
      <c r="G59" s="38"/>
      <c r="H59" s="37"/>
    </row>
    <row r="60" spans="1:10" x14ac:dyDescent="0.25">
      <c r="D60" s="35" t="s">
        <v>35</v>
      </c>
      <c r="E60" s="44">
        <v>2084.5500000000002</v>
      </c>
      <c r="F60" s="36">
        <v>43166</v>
      </c>
      <c r="G60" s="38"/>
      <c r="H60" s="37"/>
    </row>
    <row r="61" spans="1:10" x14ac:dyDescent="0.25">
      <c r="D61" s="35" t="s">
        <v>36</v>
      </c>
      <c r="E61" s="44">
        <v>1338.51</v>
      </c>
      <c r="F61" s="36">
        <v>43100</v>
      </c>
      <c r="G61" s="38"/>
      <c r="H61" s="37"/>
    </row>
    <row r="62" spans="1:10" x14ac:dyDescent="0.25">
      <c r="D62" s="35" t="s">
        <v>37</v>
      </c>
      <c r="E62" s="44">
        <v>1967.55</v>
      </c>
      <c r="F62" s="36">
        <v>43117</v>
      </c>
      <c r="G62" s="38"/>
      <c r="H62" s="37"/>
    </row>
    <row r="63" spans="1:10" x14ac:dyDescent="0.25">
      <c r="D63" s="35" t="s">
        <v>38</v>
      </c>
      <c r="E63" s="44">
        <v>2213.87</v>
      </c>
      <c r="F63" s="36">
        <v>43164</v>
      </c>
      <c r="G63" s="38"/>
      <c r="H63" s="37"/>
    </row>
    <row r="64" spans="1:10" x14ac:dyDescent="0.25">
      <c r="D64" s="35" t="s">
        <v>39</v>
      </c>
      <c r="E64" s="44">
        <v>1570.3</v>
      </c>
      <c r="F64" s="36">
        <v>43168</v>
      </c>
      <c r="G64" s="38"/>
      <c r="H64" s="37"/>
    </row>
    <row r="65" spans="4:8" x14ac:dyDescent="0.25">
      <c r="D65" s="35" t="s">
        <v>40</v>
      </c>
      <c r="E65" s="44">
        <v>1652.3</v>
      </c>
      <c r="F65" s="36">
        <v>43134</v>
      </c>
      <c r="G65" s="38"/>
      <c r="H65" s="37"/>
    </row>
    <row r="66" spans="4:8" x14ac:dyDescent="0.25">
      <c r="D66" s="35" t="s">
        <v>41</v>
      </c>
      <c r="E66" s="44">
        <v>1467.72</v>
      </c>
      <c r="F66" s="36">
        <v>43126</v>
      </c>
      <c r="G66" s="38"/>
      <c r="H66" s="37"/>
    </row>
    <row r="67" spans="4:8" x14ac:dyDescent="0.25">
      <c r="D67" s="35" t="s">
        <v>42</v>
      </c>
      <c r="E67" s="44">
        <v>1911.15</v>
      </c>
      <c r="F67" s="36">
        <v>43154</v>
      </c>
      <c r="G67" s="38"/>
      <c r="H67" s="37"/>
    </row>
    <row r="68" spans="4:8" x14ac:dyDescent="0.25">
      <c r="D68" s="35" t="s">
        <v>43</v>
      </c>
      <c r="E68" s="44">
        <v>597.07000000000005</v>
      </c>
      <c r="F68" s="36">
        <v>43095</v>
      </c>
      <c r="G68" s="38"/>
      <c r="H68" s="37"/>
    </row>
    <row r="69" spans="4:8" x14ac:dyDescent="0.25">
      <c r="D69" s="35" t="s">
        <v>44</v>
      </c>
      <c r="E69" s="44">
        <v>608.6</v>
      </c>
      <c r="F69" s="36">
        <v>43167</v>
      </c>
      <c r="G69" s="38"/>
      <c r="H69" s="37"/>
    </row>
    <row r="70" spans="4:8" x14ac:dyDescent="0.25">
      <c r="D70" s="35" t="s">
        <v>45</v>
      </c>
      <c r="E70" s="44">
        <v>1390.45</v>
      </c>
      <c r="F70" s="36">
        <v>43118</v>
      </c>
      <c r="G70" s="38"/>
      <c r="H70" s="37"/>
    </row>
    <row r="71" spans="4:8" x14ac:dyDescent="0.25">
      <c r="D71" s="35" t="s">
        <v>46</v>
      </c>
      <c r="E71" s="44">
        <v>419.68</v>
      </c>
      <c r="F71" s="36">
        <v>43103</v>
      </c>
      <c r="G71" s="38"/>
      <c r="H71" s="37"/>
    </row>
    <row r="72" spans="4:8" x14ac:dyDescent="0.25">
      <c r="D72" s="35" t="s">
        <v>47</v>
      </c>
      <c r="E72" s="44">
        <v>1210.17</v>
      </c>
      <c r="F72" s="36">
        <v>43156</v>
      </c>
      <c r="G72" s="38"/>
      <c r="H72" s="37"/>
    </row>
    <row r="73" spans="4:8" x14ac:dyDescent="0.25">
      <c r="D73" s="35" t="s">
        <v>48</v>
      </c>
      <c r="E73" s="44">
        <v>1815.46</v>
      </c>
      <c r="F73" s="36">
        <v>43123</v>
      </c>
      <c r="G73" s="38"/>
      <c r="H73" s="37"/>
    </row>
    <row r="74" spans="4:8" x14ac:dyDescent="0.25">
      <c r="D74" s="35" t="s">
        <v>49</v>
      </c>
      <c r="E74" s="44">
        <v>1803.3</v>
      </c>
      <c r="F74" s="36">
        <v>43130</v>
      </c>
      <c r="G74" s="38"/>
      <c r="H74" s="37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0D851-326A-49B0-8318-ED2621B3D727}">
  <sheetPr>
    <tabColor theme="1"/>
  </sheetPr>
  <dimension ref="A1"/>
  <sheetViews>
    <sheetView workbookViewId="0">
      <selection activeCell="A43" sqref="A43"/>
    </sheetView>
  </sheetViews>
  <sheetFormatPr defaultRowHeight="15" x14ac:dyDescent="0.25"/>
  <cols>
    <col min="1" max="14" width="8.140625" bestFit="1" customWidth="1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5A6E-7191-4108-8E2A-DB0503326CD4}">
  <sheetPr>
    <tabColor rgb="FF0000FF"/>
  </sheetPr>
  <dimension ref="A1:J7"/>
  <sheetViews>
    <sheetView zoomScale="130" zoomScaleNormal="130" workbookViewId="0">
      <selection activeCell="F5" sqref="F5"/>
    </sheetView>
  </sheetViews>
  <sheetFormatPr defaultRowHeight="15" x14ac:dyDescent="0.25"/>
  <cols>
    <col min="2" max="3" width="18" customWidth="1"/>
    <col min="4" max="4" width="17.140625" customWidth="1"/>
    <col min="5" max="5" width="23.42578125" customWidth="1"/>
    <col min="6" max="6" width="19.5703125" customWidth="1"/>
    <col min="7" max="7" width="14.7109375" customWidth="1"/>
    <col min="8" max="8" width="8" customWidth="1"/>
  </cols>
  <sheetData>
    <row r="1" spans="1:10" x14ac:dyDescent="0.25">
      <c r="A1" s="40" t="str">
        <f>"Calculate the "&amp;F4&amp;" and the "&amp;G4&amp;"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2"/>
    </row>
    <row r="4" spans="1:10" ht="30" x14ac:dyDescent="0.25">
      <c r="A4" s="43" t="s">
        <v>221</v>
      </c>
      <c r="B4" s="43" t="s">
        <v>92</v>
      </c>
      <c r="C4" s="43" t="s">
        <v>205</v>
      </c>
      <c r="D4" s="43" t="s">
        <v>216</v>
      </c>
      <c r="E4" s="43" t="s">
        <v>217</v>
      </c>
      <c r="F4" s="43" t="s">
        <v>218</v>
      </c>
      <c r="G4" s="43" t="s">
        <v>199</v>
      </c>
    </row>
    <row r="5" spans="1:10" x14ac:dyDescent="0.25">
      <c r="A5" s="152">
        <v>1</v>
      </c>
      <c r="B5" s="36">
        <v>42420</v>
      </c>
      <c r="C5" s="35" t="s">
        <v>208</v>
      </c>
      <c r="D5" s="35"/>
      <c r="E5" s="35"/>
      <c r="F5" s="38"/>
      <c r="G5" s="38"/>
      <c r="I5" t="str">
        <f ca="1">IF(_xlfn.ISFORMULA(F5),_xlfn.FORMULATEXT(F5),"")</f>
        <v/>
      </c>
      <c r="J5" t="str">
        <f ca="1">IF(_xlfn.ISFORMULA(G5),_xlfn.FORMULATEXT(G5),"")</f>
        <v/>
      </c>
    </row>
    <row r="6" spans="1:10" x14ac:dyDescent="0.25">
      <c r="A6" s="152">
        <v>2</v>
      </c>
      <c r="B6" s="36">
        <v>42924</v>
      </c>
      <c r="C6" s="35" t="s">
        <v>211</v>
      </c>
      <c r="D6" s="35"/>
      <c r="E6" s="35"/>
      <c r="F6" s="38"/>
      <c r="G6" s="38"/>
      <c r="I6" t="str">
        <f t="shared" ref="I6:I7" ca="1" si="0">IF(_xlfn.ISFORMULA(F6),_xlfn.FORMULATEXT(F6),"")</f>
        <v/>
      </c>
      <c r="J6" t="str">
        <f t="shared" ref="J6:J7" ca="1" si="1">IF(_xlfn.ISFORMULA(G6),_xlfn.FORMULATEXT(G6),"")</f>
        <v/>
      </c>
    </row>
    <row r="7" spans="1:10" x14ac:dyDescent="0.25">
      <c r="A7" s="152">
        <v>3</v>
      </c>
      <c r="B7" s="36">
        <v>43771</v>
      </c>
      <c r="C7" s="35" t="s">
        <v>219</v>
      </c>
      <c r="D7" s="35"/>
      <c r="E7" s="35"/>
      <c r="F7" s="38"/>
      <c r="G7" s="38"/>
      <c r="I7" t="str">
        <f t="shared" ca="1" si="0"/>
        <v/>
      </c>
      <c r="J7" t="str">
        <f t="shared" ca="1" si="1"/>
        <v/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B0E4-6713-4025-B455-50FE5573128E}">
  <sheetPr>
    <tabColor rgb="FFFF0000"/>
  </sheetPr>
  <dimension ref="A1:J7"/>
  <sheetViews>
    <sheetView zoomScale="130" zoomScaleNormal="130" workbookViewId="0">
      <selection activeCell="F5" sqref="F5"/>
    </sheetView>
  </sheetViews>
  <sheetFormatPr defaultRowHeight="15" x14ac:dyDescent="0.25"/>
  <cols>
    <col min="2" max="3" width="18" customWidth="1"/>
    <col min="4" max="4" width="17.140625" customWidth="1"/>
    <col min="5" max="5" width="23.42578125" customWidth="1"/>
    <col min="6" max="6" width="19.5703125" customWidth="1"/>
    <col min="7" max="7" width="14.7109375" customWidth="1"/>
    <col min="8" max="8" width="8" customWidth="1"/>
  </cols>
  <sheetData>
    <row r="1" spans="1:10" x14ac:dyDescent="0.25">
      <c r="A1" s="40" t="str">
        <f>"Calculate the "&amp;F4&amp;" and the "&amp;G4&amp;"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2"/>
    </row>
    <row r="4" spans="1:10" ht="30" x14ac:dyDescent="0.25">
      <c r="A4" s="43" t="s">
        <v>221</v>
      </c>
      <c r="B4" s="43" t="s">
        <v>92</v>
      </c>
      <c r="C4" s="43" t="s">
        <v>205</v>
      </c>
      <c r="D4" s="43" t="s">
        <v>216</v>
      </c>
      <c r="E4" s="43" t="s">
        <v>217</v>
      </c>
      <c r="F4" s="43" t="s">
        <v>218</v>
      </c>
      <c r="G4" s="43" t="s">
        <v>199</v>
      </c>
    </row>
    <row r="5" spans="1:10" x14ac:dyDescent="0.25">
      <c r="A5" s="152">
        <v>1</v>
      </c>
      <c r="B5" s="36">
        <v>42420</v>
      </c>
      <c r="C5" s="35" t="s">
        <v>208</v>
      </c>
      <c r="D5" s="35">
        <v>10</v>
      </c>
      <c r="E5" s="35">
        <v>30</v>
      </c>
      <c r="F5" s="38">
        <f>B5+D5</f>
        <v>42430</v>
      </c>
      <c r="G5" s="38">
        <f>B5+E5</f>
        <v>42450</v>
      </c>
      <c r="I5" t="str">
        <f ca="1">IF(_xlfn.ISFORMULA(F5),_xlfn.FORMULATEXT(F5),"")</f>
        <v>=B5+D5</v>
      </c>
      <c r="J5" t="str">
        <f ca="1">IF(_xlfn.ISFORMULA(G5),_xlfn.FORMULATEXT(G5),"")</f>
        <v>=B5+E5</v>
      </c>
    </row>
    <row r="6" spans="1:10" x14ac:dyDescent="0.25">
      <c r="A6" s="152">
        <v>2</v>
      </c>
      <c r="B6" s="36">
        <v>42924</v>
      </c>
      <c r="C6" s="35" t="s">
        <v>211</v>
      </c>
      <c r="D6" s="35">
        <v>15</v>
      </c>
      <c r="E6" s="35">
        <v>40</v>
      </c>
      <c r="F6" s="38">
        <f>B6+D6</f>
        <v>42939</v>
      </c>
      <c r="G6" s="38">
        <f>B6+E6</f>
        <v>42964</v>
      </c>
      <c r="I6" t="str">
        <f t="shared" ref="I6:J7" ca="1" si="0">IF(_xlfn.ISFORMULA(F6),_xlfn.FORMULATEXT(F6),"")</f>
        <v>=B6+D6</v>
      </c>
      <c r="J6" t="str">
        <f t="shared" ca="1" si="0"/>
        <v>=B6+E6</v>
      </c>
    </row>
    <row r="7" spans="1:10" x14ac:dyDescent="0.25">
      <c r="A7" s="152">
        <v>3</v>
      </c>
      <c r="B7" s="36">
        <v>43771</v>
      </c>
      <c r="C7" s="35" t="s">
        <v>219</v>
      </c>
      <c r="D7" s="35">
        <v>25</v>
      </c>
      <c r="E7" s="35">
        <v>90</v>
      </c>
      <c r="F7" s="38">
        <f>B7+D7</f>
        <v>43796</v>
      </c>
      <c r="G7" s="38">
        <f>B7+E7</f>
        <v>43861</v>
      </c>
      <c r="I7" t="str">
        <f t="shared" ca="1" si="0"/>
        <v>=B7+D7</v>
      </c>
      <c r="J7" t="str">
        <f t="shared" ca="1" si="0"/>
        <v>=B7+E7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E4814-6F62-47B3-AE6C-B66AAD1BBCC1}">
  <sheetPr>
    <tabColor rgb="FF0000FF"/>
  </sheetPr>
  <dimension ref="A1:L7"/>
  <sheetViews>
    <sheetView zoomScale="115" zoomScaleNormal="115" workbookViewId="0">
      <selection activeCell="D5" sqref="D5"/>
    </sheetView>
  </sheetViews>
  <sheetFormatPr defaultRowHeight="15" x14ac:dyDescent="0.25"/>
  <cols>
    <col min="2" max="3" width="18" customWidth="1"/>
    <col min="4" max="4" width="17.140625" customWidth="1"/>
    <col min="5" max="6" width="20" customWidth="1"/>
    <col min="7" max="7" width="14.85546875" customWidth="1"/>
    <col min="8" max="8" width="14.7109375" customWidth="1"/>
    <col min="9" max="9" width="3.42578125" customWidth="1"/>
    <col min="10" max="10" width="10.42578125" customWidth="1"/>
    <col min="11" max="11" width="34.140625" bestFit="1" customWidth="1"/>
    <col min="12" max="12" width="7.28515625" bestFit="1" customWidth="1"/>
  </cols>
  <sheetData>
    <row r="1" spans="1:12" x14ac:dyDescent="0.25">
      <c r="A1" s="40" t="str">
        <f>"Calculate the "&amp;G4&amp;" and the "&amp;H4&amp;"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2" ht="30" x14ac:dyDescent="0.25">
      <c r="A4" s="43" t="s">
        <v>221</v>
      </c>
      <c r="B4" s="43" t="s">
        <v>92</v>
      </c>
      <c r="C4" s="43" t="s">
        <v>205</v>
      </c>
      <c r="D4" s="43" t="s">
        <v>188</v>
      </c>
      <c r="E4" s="43" t="s">
        <v>196</v>
      </c>
      <c r="F4" s="43" t="s">
        <v>187</v>
      </c>
      <c r="G4" s="43" t="s">
        <v>218</v>
      </c>
      <c r="H4" s="43" t="s">
        <v>199</v>
      </c>
    </row>
    <row r="5" spans="1:12" x14ac:dyDescent="0.25">
      <c r="A5" s="152">
        <v>4</v>
      </c>
      <c r="B5" s="36">
        <v>42377</v>
      </c>
      <c r="C5" s="35" t="s">
        <v>223</v>
      </c>
      <c r="D5" s="35"/>
      <c r="E5" s="35"/>
      <c r="F5" s="37"/>
      <c r="G5" s="38"/>
      <c r="H5" s="38"/>
      <c r="J5" t="str">
        <f ca="1">IF(_xlfn.ISFORMULA(F5),_xlfn.FORMULATEXT(F5),"")</f>
        <v/>
      </c>
      <c r="K5" t="str">
        <f ca="1">IF(_xlfn.ISFORMULA(G5),_xlfn.FORMULATEXT(G5),"")</f>
        <v/>
      </c>
      <c r="L5" t="str">
        <f ca="1">IF(_xlfn.ISFORMULA(H5),_xlfn.FORMULATEXT(H5),"")</f>
        <v/>
      </c>
    </row>
    <row r="6" spans="1:12" x14ac:dyDescent="0.25">
      <c r="A6" s="152">
        <v>5</v>
      </c>
      <c r="B6" s="36">
        <v>43789</v>
      </c>
      <c r="C6" s="35" t="s">
        <v>224</v>
      </c>
      <c r="D6" s="35"/>
      <c r="E6" s="35"/>
      <c r="F6" s="37"/>
      <c r="G6" s="38"/>
      <c r="H6" s="38"/>
      <c r="J6" t="str">
        <f t="shared" ref="J6:J7" ca="1" si="0">IF(_xlfn.ISFORMULA(F6),_xlfn.FORMULATEXT(F6),"")</f>
        <v/>
      </c>
      <c r="K6" t="str">
        <f t="shared" ref="K6:K7" ca="1" si="1">IF(_xlfn.ISFORMULA(G6),_xlfn.FORMULATEXT(G6),"")</f>
        <v/>
      </c>
      <c r="L6" t="str">
        <f t="shared" ref="L6:L7" ca="1" si="2">IF(_xlfn.ISFORMULA(H6),_xlfn.FORMULATEXT(H6),"")</f>
        <v/>
      </c>
    </row>
    <row r="7" spans="1:12" x14ac:dyDescent="0.25">
      <c r="A7" s="152">
        <v>6</v>
      </c>
      <c r="B7" s="36">
        <v>43890</v>
      </c>
      <c r="C7" s="35" t="s">
        <v>222</v>
      </c>
      <c r="D7" s="35"/>
      <c r="E7" s="35"/>
      <c r="F7" s="37"/>
      <c r="G7" s="38"/>
      <c r="H7" s="38"/>
      <c r="J7" t="str">
        <f t="shared" ca="1" si="0"/>
        <v/>
      </c>
      <c r="K7" t="str">
        <f t="shared" ca="1" si="1"/>
        <v/>
      </c>
      <c r="L7" t="str">
        <f t="shared" ca="1" si="2"/>
        <v/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6E0B-FE48-4057-A793-0FFF91263A47}">
  <sheetPr>
    <tabColor rgb="FFFF0000"/>
  </sheetPr>
  <dimension ref="A1:L7"/>
  <sheetViews>
    <sheetView zoomScale="115" zoomScaleNormal="115" workbookViewId="0">
      <selection activeCell="D5" sqref="D5"/>
    </sheetView>
  </sheetViews>
  <sheetFormatPr defaultRowHeight="15" x14ac:dyDescent="0.25"/>
  <cols>
    <col min="2" max="3" width="18" customWidth="1"/>
    <col min="4" max="4" width="17.140625" customWidth="1"/>
    <col min="5" max="6" width="20" customWidth="1"/>
    <col min="7" max="7" width="14.85546875" customWidth="1"/>
    <col min="8" max="8" width="14.7109375" customWidth="1"/>
    <col min="9" max="9" width="3.42578125" customWidth="1"/>
    <col min="10" max="10" width="10.42578125" customWidth="1"/>
    <col min="11" max="11" width="34.140625" bestFit="1" customWidth="1"/>
    <col min="12" max="12" width="7.28515625" bestFit="1" customWidth="1"/>
  </cols>
  <sheetData>
    <row r="1" spans="1:12" x14ac:dyDescent="0.25">
      <c r="A1" s="40" t="str">
        <f>"Calculate the "&amp;G4&amp;" and the "&amp;H4&amp;"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2" ht="30" x14ac:dyDescent="0.25">
      <c r="A4" s="43" t="s">
        <v>221</v>
      </c>
      <c r="B4" s="43" t="s">
        <v>92</v>
      </c>
      <c r="C4" s="43" t="s">
        <v>205</v>
      </c>
      <c r="D4" s="43" t="s">
        <v>188</v>
      </c>
      <c r="E4" s="43" t="s">
        <v>196</v>
      </c>
      <c r="F4" s="43" t="s">
        <v>187</v>
      </c>
      <c r="G4" s="43" t="s">
        <v>218</v>
      </c>
      <c r="H4" s="43" t="s">
        <v>199</v>
      </c>
    </row>
    <row r="5" spans="1:12" x14ac:dyDescent="0.25">
      <c r="A5" s="152">
        <v>4</v>
      </c>
      <c r="B5" s="36">
        <v>42377</v>
      </c>
      <c r="C5" s="35" t="s">
        <v>223</v>
      </c>
      <c r="D5" s="35">
        <v>26</v>
      </c>
      <c r="E5" s="35">
        <v>10</v>
      </c>
      <c r="F5" s="37">
        <f t="shared" ref="F5:F7" si="0">DAY(B5)</f>
        <v>8</v>
      </c>
      <c r="G5" s="38">
        <f>EOMONTH(B5,(F5&gt;=D5)+0)+E5</f>
        <v>42410</v>
      </c>
      <c r="H5" s="38">
        <f>G5+20</f>
        <v>42430</v>
      </c>
      <c r="J5" t="str">
        <f ca="1">IF(_xlfn.ISFORMULA(F5),_xlfn.FORMULATEXT(F5),"")</f>
        <v>=DAY(B5)</v>
      </c>
      <c r="K5" t="str">
        <f ca="1">IF(_xlfn.ISFORMULA(G5),_xlfn.FORMULATEXT(G5),"")</f>
        <v>=EOMONTH(B5,(F5&gt;=D5)+0)+E5</v>
      </c>
      <c r="L5" t="str">
        <f ca="1">IF(_xlfn.ISFORMULA(H5),_xlfn.FORMULATEXT(H5),"")</f>
        <v>=G5+20</v>
      </c>
    </row>
    <row r="6" spans="1:12" x14ac:dyDescent="0.25">
      <c r="A6" s="152">
        <v>5</v>
      </c>
      <c r="B6" s="36">
        <v>43789</v>
      </c>
      <c r="C6" s="35" t="s">
        <v>224</v>
      </c>
      <c r="D6" s="35">
        <v>26</v>
      </c>
      <c r="E6" s="35">
        <v>15</v>
      </c>
      <c r="F6" s="37">
        <f t="shared" si="0"/>
        <v>20</v>
      </c>
      <c r="G6" s="38">
        <f t="shared" ref="G6:G7" si="1">EOMONTH(B6,(F6&gt;=D6)+0)+E6</f>
        <v>43814</v>
      </c>
      <c r="H6" s="38">
        <f t="shared" ref="H6:H7" si="2">G6+20</f>
        <v>43834</v>
      </c>
      <c r="J6" t="str">
        <f t="shared" ref="J6:L7" ca="1" si="3">IF(_xlfn.ISFORMULA(F6),_xlfn.FORMULATEXT(F6),"")</f>
        <v>=DAY(B6)</v>
      </c>
      <c r="K6" t="str">
        <f t="shared" ca="1" si="3"/>
        <v>=EOMONTH(B6,(F6&gt;=D6)+0)+E6</v>
      </c>
      <c r="L6" t="str">
        <f t="shared" ca="1" si="3"/>
        <v>=G6+20</v>
      </c>
    </row>
    <row r="7" spans="1:12" x14ac:dyDescent="0.25">
      <c r="A7" s="152">
        <v>6</v>
      </c>
      <c r="B7" s="36">
        <v>43890</v>
      </c>
      <c r="C7" s="35" t="s">
        <v>222</v>
      </c>
      <c r="D7" s="35">
        <v>26</v>
      </c>
      <c r="E7" s="35">
        <v>20</v>
      </c>
      <c r="F7" s="37">
        <f t="shared" si="0"/>
        <v>29</v>
      </c>
      <c r="G7" s="38">
        <f t="shared" si="1"/>
        <v>43941</v>
      </c>
      <c r="H7" s="38">
        <f t="shared" si="2"/>
        <v>43961</v>
      </c>
      <c r="J7" t="str">
        <f t="shared" ca="1" si="3"/>
        <v>=DAY(B7)</v>
      </c>
      <c r="K7" t="str">
        <f t="shared" ca="1" si="3"/>
        <v>=EOMONTH(B7,(F7&gt;=D7)+0)+E7</v>
      </c>
      <c r="L7" t="str">
        <f t="shared" ca="1" si="3"/>
        <v>=G7+20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D2F4-A82E-460E-8635-89CFEE0FBA9C}">
  <sheetPr>
    <tabColor rgb="FF0000FF"/>
  </sheetPr>
  <dimension ref="A1:J7"/>
  <sheetViews>
    <sheetView zoomScale="145" zoomScaleNormal="145" workbookViewId="0">
      <selection activeCell="E5" sqref="E5"/>
    </sheetView>
  </sheetViews>
  <sheetFormatPr defaultRowHeight="15" x14ac:dyDescent="0.25"/>
  <cols>
    <col min="2" max="3" width="18" customWidth="1"/>
    <col min="4" max="4" width="17.140625" customWidth="1"/>
    <col min="5" max="5" width="23.42578125" customWidth="1"/>
    <col min="6" max="6" width="19.5703125" customWidth="1"/>
    <col min="7" max="8" width="14.7109375" customWidth="1"/>
  </cols>
  <sheetData>
    <row r="1" spans="1:10" x14ac:dyDescent="0.25">
      <c r="A1" s="40" t="str">
        <f>"Calculate the "&amp;F4&amp;" and the "&amp;G4&amp;"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0" ht="30" x14ac:dyDescent="0.25">
      <c r="A4" s="43" t="s">
        <v>221</v>
      </c>
      <c r="B4" s="43" t="s">
        <v>92</v>
      </c>
      <c r="C4" s="43" t="s">
        <v>212</v>
      </c>
      <c r="D4" s="43" t="s">
        <v>205</v>
      </c>
      <c r="E4" s="43" t="s">
        <v>216</v>
      </c>
      <c r="F4" s="43" t="s">
        <v>218</v>
      </c>
      <c r="G4" s="43" t="s">
        <v>199</v>
      </c>
    </row>
    <row r="5" spans="1:10" x14ac:dyDescent="0.25">
      <c r="A5" s="152">
        <v>7</v>
      </c>
      <c r="B5" s="36">
        <v>43798</v>
      </c>
      <c r="C5" s="36">
        <v>43814</v>
      </c>
      <c r="D5" s="35" t="s">
        <v>214</v>
      </c>
      <c r="E5" s="35"/>
      <c r="F5" s="38"/>
      <c r="G5" s="38"/>
      <c r="I5" t="str">
        <f t="shared" ref="I5:J7" ca="1" si="0">IF(_xlfn.ISFORMULA(F5),_xlfn.FORMULATEXT(F5),"")</f>
        <v/>
      </c>
      <c r="J5" t="str">
        <f t="shared" ca="1" si="0"/>
        <v/>
      </c>
    </row>
    <row r="6" spans="1:10" x14ac:dyDescent="0.25">
      <c r="A6" s="152">
        <v>8</v>
      </c>
      <c r="B6" s="36">
        <v>43855</v>
      </c>
      <c r="C6" s="36">
        <v>43863</v>
      </c>
      <c r="D6" s="35" t="s">
        <v>225</v>
      </c>
      <c r="E6" s="35"/>
      <c r="F6" s="38"/>
      <c r="G6" s="38"/>
      <c r="I6" t="str">
        <f t="shared" ca="1" si="0"/>
        <v/>
      </c>
      <c r="J6" t="str">
        <f t="shared" ca="1" si="0"/>
        <v/>
      </c>
    </row>
    <row r="7" spans="1:10" x14ac:dyDescent="0.25">
      <c r="A7" s="152">
        <v>9</v>
      </c>
      <c r="B7" s="36">
        <v>44355</v>
      </c>
      <c r="C7" s="36">
        <v>44356</v>
      </c>
      <c r="D7" s="35" t="s">
        <v>226</v>
      </c>
      <c r="E7" s="35"/>
      <c r="F7" s="38"/>
      <c r="G7" s="38"/>
      <c r="I7" t="str">
        <f t="shared" ca="1" si="0"/>
        <v/>
      </c>
      <c r="J7" t="str">
        <f t="shared" ca="1" si="0"/>
        <v/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ECDF4-8A67-40DF-8745-ACE101A1A05F}">
  <sheetPr>
    <tabColor rgb="FFFF0000"/>
  </sheetPr>
  <dimension ref="A1:J7"/>
  <sheetViews>
    <sheetView zoomScale="145" zoomScaleNormal="145" workbookViewId="0">
      <selection activeCell="G5" sqref="G5"/>
    </sheetView>
  </sheetViews>
  <sheetFormatPr defaultRowHeight="15" x14ac:dyDescent="0.25"/>
  <cols>
    <col min="2" max="3" width="18" customWidth="1"/>
    <col min="4" max="4" width="17.140625" customWidth="1"/>
    <col min="5" max="5" width="23.42578125" customWidth="1"/>
    <col min="6" max="6" width="19.5703125" customWidth="1"/>
    <col min="7" max="8" width="14.7109375" customWidth="1"/>
  </cols>
  <sheetData>
    <row r="1" spans="1:10" x14ac:dyDescent="0.25">
      <c r="A1" s="40" t="str">
        <f>"Calculate the "&amp;F4&amp;" and the "&amp;G4&amp;"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0" ht="30" x14ac:dyDescent="0.25">
      <c r="A4" s="43" t="s">
        <v>221</v>
      </c>
      <c r="B4" s="43" t="s">
        <v>92</v>
      </c>
      <c r="C4" s="43" t="s">
        <v>212</v>
      </c>
      <c r="D4" s="43" t="s">
        <v>205</v>
      </c>
      <c r="E4" s="43" t="s">
        <v>216</v>
      </c>
      <c r="F4" s="43" t="s">
        <v>218</v>
      </c>
      <c r="G4" s="43" t="s">
        <v>199</v>
      </c>
    </row>
    <row r="5" spans="1:10" x14ac:dyDescent="0.25">
      <c r="A5" s="152">
        <v>7</v>
      </c>
      <c r="B5" s="36">
        <v>43798</v>
      </c>
      <c r="C5" s="36">
        <v>43814</v>
      </c>
      <c r="D5" s="35" t="s">
        <v>214</v>
      </c>
      <c r="E5" s="35">
        <v>20</v>
      </c>
      <c r="F5" s="38">
        <f>C5+E5</f>
        <v>43834</v>
      </c>
      <c r="G5" s="38">
        <f>F5+20</f>
        <v>43854</v>
      </c>
      <c r="I5" t="str">
        <f t="shared" ref="I5:J7" ca="1" si="0">IF(_xlfn.ISFORMULA(F5),_xlfn.FORMULATEXT(F5),"")</f>
        <v>=C5+E5</v>
      </c>
      <c r="J5" t="str">
        <f t="shared" ca="1" si="0"/>
        <v>=F5+20</v>
      </c>
    </row>
    <row r="6" spans="1:10" x14ac:dyDescent="0.25">
      <c r="A6" s="152">
        <v>8</v>
      </c>
      <c r="B6" s="36">
        <v>43855</v>
      </c>
      <c r="C6" s="36">
        <v>43863</v>
      </c>
      <c r="D6" s="35" t="s">
        <v>225</v>
      </c>
      <c r="E6" s="35">
        <v>15</v>
      </c>
      <c r="F6" s="38">
        <f t="shared" ref="F6:F7" si="1">C6+E6</f>
        <v>43878</v>
      </c>
      <c r="G6" s="38">
        <f t="shared" ref="G6:G7" si="2">F6+20</f>
        <v>43898</v>
      </c>
      <c r="I6" t="str">
        <f t="shared" ca="1" si="0"/>
        <v>=C6+E6</v>
      </c>
      <c r="J6" t="str">
        <f t="shared" ca="1" si="0"/>
        <v>=F6+20</v>
      </c>
    </row>
    <row r="7" spans="1:10" x14ac:dyDescent="0.25">
      <c r="A7" s="152">
        <v>9</v>
      </c>
      <c r="B7" s="36">
        <v>44355</v>
      </c>
      <c r="C7" s="36">
        <v>44356</v>
      </c>
      <c r="D7" s="35" t="s">
        <v>226</v>
      </c>
      <c r="E7" s="35">
        <v>20</v>
      </c>
      <c r="F7" s="38">
        <f t="shared" si="1"/>
        <v>44376</v>
      </c>
      <c r="G7" s="38">
        <f t="shared" si="2"/>
        <v>44396</v>
      </c>
      <c r="I7" t="str">
        <f t="shared" ca="1" si="0"/>
        <v>=C7+E7</v>
      </c>
      <c r="J7" t="str">
        <f t="shared" ca="1" si="0"/>
        <v>=F7+20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469A-F219-44F9-87B9-7E1D1BF0C385}">
  <sheetPr>
    <tabColor rgb="FF0000FF"/>
  </sheetPr>
  <dimension ref="A1:K7"/>
  <sheetViews>
    <sheetView zoomScale="130" zoomScaleNormal="130" workbookViewId="0">
      <selection activeCell="E5" sqref="E5"/>
    </sheetView>
  </sheetViews>
  <sheetFormatPr defaultRowHeight="15" x14ac:dyDescent="0.25"/>
  <cols>
    <col min="2" max="3" width="18" customWidth="1"/>
    <col min="4" max="4" width="17.140625" customWidth="1"/>
    <col min="5" max="5" width="15.42578125" customWidth="1"/>
    <col min="6" max="6" width="23.42578125" customWidth="1"/>
    <col min="7" max="8" width="14.7109375" customWidth="1"/>
  </cols>
  <sheetData>
    <row r="1" spans="1:11" x14ac:dyDescent="0.25">
      <c r="A1" s="40" t="str">
        <f>"Calculate the "&amp;G4&amp;" and the "&amp;H4&amp;"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1" ht="45" x14ac:dyDescent="0.25">
      <c r="A4" s="43" t="s">
        <v>221</v>
      </c>
      <c r="B4" s="43" t="s">
        <v>92</v>
      </c>
      <c r="C4" s="43" t="s">
        <v>174</v>
      </c>
      <c r="D4" s="43" t="s">
        <v>205</v>
      </c>
      <c r="E4" s="43" t="s">
        <v>216</v>
      </c>
      <c r="F4" s="43" t="s">
        <v>217</v>
      </c>
      <c r="G4" s="43" t="s">
        <v>218</v>
      </c>
      <c r="H4" s="43" t="s">
        <v>199</v>
      </c>
    </row>
    <row r="5" spans="1:11" x14ac:dyDescent="0.25">
      <c r="A5" s="152">
        <v>10</v>
      </c>
      <c r="B5" s="36">
        <v>43798</v>
      </c>
      <c r="C5" s="36">
        <v>43814</v>
      </c>
      <c r="D5" s="35" t="s">
        <v>220</v>
      </c>
      <c r="E5" s="35"/>
      <c r="F5" s="35"/>
      <c r="G5" s="38"/>
      <c r="H5" s="38"/>
      <c r="J5" t="str">
        <f t="shared" ref="J5:K7" ca="1" si="0">IF(_xlfn.ISFORMULA(G5),_xlfn.FORMULATEXT(G5),"")</f>
        <v/>
      </c>
      <c r="K5" t="str">
        <f t="shared" ca="1" si="0"/>
        <v/>
      </c>
    </row>
    <row r="6" spans="1:11" x14ac:dyDescent="0.25">
      <c r="A6" s="152">
        <v>11</v>
      </c>
      <c r="B6" s="36">
        <v>43863</v>
      </c>
      <c r="C6" s="36">
        <v>43870</v>
      </c>
      <c r="D6" s="35" t="s">
        <v>227</v>
      </c>
      <c r="E6" s="35"/>
      <c r="F6" s="35"/>
      <c r="G6" s="38"/>
      <c r="H6" s="38"/>
      <c r="J6" t="str">
        <f t="shared" ca="1" si="0"/>
        <v/>
      </c>
      <c r="K6" t="str">
        <f t="shared" ca="1" si="0"/>
        <v/>
      </c>
    </row>
    <row r="7" spans="1:11" x14ac:dyDescent="0.25">
      <c r="A7" s="152">
        <v>12</v>
      </c>
      <c r="B7" s="36">
        <v>44166</v>
      </c>
      <c r="C7" s="36">
        <v>44169</v>
      </c>
      <c r="D7" s="35" t="s">
        <v>228</v>
      </c>
      <c r="E7" s="35"/>
      <c r="F7" s="35"/>
      <c r="G7" s="38"/>
      <c r="H7" s="38"/>
      <c r="J7" t="str">
        <f t="shared" ca="1" si="0"/>
        <v/>
      </c>
      <c r="K7" t="str">
        <f t="shared" ca="1" si="0"/>
        <v/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5539-117F-4543-8233-4754E00953E8}">
  <sheetPr>
    <tabColor rgb="FFFF0000"/>
  </sheetPr>
  <dimension ref="A1:K7"/>
  <sheetViews>
    <sheetView zoomScale="130" zoomScaleNormal="130" workbookViewId="0">
      <selection activeCell="J5" sqref="J5"/>
    </sheetView>
  </sheetViews>
  <sheetFormatPr defaultRowHeight="15" x14ac:dyDescent="0.25"/>
  <cols>
    <col min="2" max="3" width="18" customWidth="1"/>
    <col min="4" max="4" width="17.140625" customWidth="1"/>
    <col min="5" max="5" width="15.42578125" customWidth="1"/>
    <col min="6" max="6" width="23.42578125" customWidth="1"/>
    <col min="7" max="8" width="14.7109375" customWidth="1"/>
  </cols>
  <sheetData>
    <row r="1" spans="1:11" x14ac:dyDescent="0.25">
      <c r="A1" s="40" t="str">
        <f>"Calculate the "&amp;G4&amp;" and the "&amp;H4&amp;" for each of the invoices listed below."</f>
        <v>Calculate the Last Day To Earn A Discount and the Final Due Date for each of the invoices listed below.</v>
      </c>
      <c r="B1" s="41"/>
      <c r="C1" s="41"/>
      <c r="D1" s="41"/>
      <c r="E1" s="41"/>
      <c r="F1" s="41"/>
      <c r="G1" s="41"/>
      <c r="H1" s="42"/>
    </row>
    <row r="4" spans="1:11" ht="45" x14ac:dyDescent="0.25">
      <c r="A4" s="43" t="s">
        <v>221</v>
      </c>
      <c r="B4" s="43" t="s">
        <v>92</v>
      </c>
      <c r="C4" s="43" t="s">
        <v>174</v>
      </c>
      <c r="D4" s="43" t="s">
        <v>205</v>
      </c>
      <c r="E4" s="43" t="s">
        <v>216</v>
      </c>
      <c r="F4" s="43" t="s">
        <v>217</v>
      </c>
      <c r="G4" s="43" t="s">
        <v>218</v>
      </c>
      <c r="H4" s="43" t="s">
        <v>199</v>
      </c>
    </row>
    <row r="5" spans="1:11" x14ac:dyDescent="0.25">
      <c r="A5" s="152">
        <v>10</v>
      </c>
      <c r="B5" s="36">
        <v>43798</v>
      </c>
      <c r="C5" s="36">
        <v>43814</v>
      </c>
      <c r="D5" s="35" t="s">
        <v>220</v>
      </c>
      <c r="E5" s="35">
        <v>20</v>
      </c>
      <c r="F5" s="35">
        <v>30</v>
      </c>
      <c r="G5" s="38">
        <f>C5+E5</f>
        <v>43834</v>
      </c>
      <c r="H5" s="38">
        <f>C5+F5</f>
        <v>43844</v>
      </c>
      <c r="J5" t="str">
        <f t="shared" ref="J5:K7" ca="1" si="0">IF(_xlfn.ISFORMULA(G5),_xlfn.FORMULATEXT(G5),"")</f>
        <v>=C5+E5</v>
      </c>
      <c r="K5" t="str">
        <f t="shared" ca="1" si="0"/>
        <v>=C5+F5</v>
      </c>
    </row>
    <row r="6" spans="1:11" x14ac:dyDescent="0.25">
      <c r="A6" s="152">
        <v>11</v>
      </c>
      <c r="B6" s="36">
        <v>43863</v>
      </c>
      <c r="C6" s="36">
        <v>43870</v>
      </c>
      <c r="D6" s="35" t="s">
        <v>227</v>
      </c>
      <c r="E6" s="35">
        <v>20</v>
      </c>
      <c r="F6" s="35">
        <v>120</v>
      </c>
      <c r="G6" s="38">
        <f t="shared" ref="G6:G7" si="1">C6+E6</f>
        <v>43890</v>
      </c>
      <c r="H6" s="38">
        <f t="shared" ref="H6:H7" si="2">C6+F6</f>
        <v>43990</v>
      </c>
      <c r="J6" t="str">
        <f t="shared" ca="1" si="0"/>
        <v>=C6+E6</v>
      </c>
      <c r="K6" t="str">
        <f t="shared" ca="1" si="0"/>
        <v>=C6+F6</v>
      </c>
    </row>
    <row r="7" spans="1:11" x14ac:dyDescent="0.25">
      <c r="A7" s="152">
        <v>12</v>
      </c>
      <c r="B7" s="36">
        <v>44166</v>
      </c>
      <c r="C7" s="36">
        <v>44169</v>
      </c>
      <c r="D7" s="35" t="s">
        <v>228</v>
      </c>
      <c r="E7" s="35">
        <v>10</v>
      </c>
      <c r="F7" s="35">
        <v>90</v>
      </c>
      <c r="G7" s="38">
        <f t="shared" si="1"/>
        <v>44179</v>
      </c>
      <c r="H7" s="38">
        <f t="shared" si="2"/>
        <v>44259</v>
      </c>
      <c r="J7" t="str">
        <f t="shared" ca="1" si="0"/>
        <v>=C7+E7</v>
      </c>
      <c r="K7" t="str">
        <f t="shared" ca="1" si="0"/>
        <v>=C7+F7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B3A6-0616-424F-A6DB-3B38A5B95856}">
  <sheetPr>
    <tabColor rgb="FF0000FF"/>
  </sheetPr>
  <dimension ref="A1:F3"/>
  <sheetViews>
    <sheetView zoomScale="145" zoomScaleNormal="145" workbookViewId="0">
      <selection activeCell="B5" sqref="B5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229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A376-9EB5-4663-B38B-E58A9FDB0539}">
  <sheetPr>
    <tabColor rgb="FFFF0000"/>
  </sheetPr>
  <dimension ref="A1:J74"/>
  <sheetViews>
    <sheetView zoomScale="145" zoomScaleNormal="145" workbookViewId="0">
      <selection activeCell="B3" sqref="B3"/>
    </sheetView>
  </sheetViews>
  <sheetFormatPr defaultRowHeight="15" x14ac:dyDescent="0.25"/>
  <cols>
    <col min="1" max="1" width="30.7109375" customWidth="1"/>
    <col min="2" max="2" width="20.42578125" customWidth="1"/>
    <col min="3" max="3" width="3.28515625" customWidth="1"/>
    <col min="4" max="4" width="21.85546875" customWidth="1"/>
    <col min="5" max="5" width="14" customWidth="1"/>
    <col min="6" max="6" width="14.140625" customWidth="1"/>
    <col min="7" max="7" width="11.140625" bestFit="1" customWidth="1"/>
  </cols>
  <sheetData>
    <row r="1" spans="1:5" x14ac:dyDescent="0.25">
      <c r="A1" s="45" t="s">
        <v>50</v>
      </c>
      <c r="B1" s="46"/>
      <c r="C1" s="46"/>
      <c r="D1" s="46"/>
      <c r="E1" s="47"/>
    </row>
    <row r="3" spans="1:5" x14ac:dyDescent="0.25">
      <c r="A3" s="35" t="s">
        <v>54</v>
      </c>
      <c r="B3" s="36">
        <v>43169</v>
      </c>
      <c r="D3" t="s">
        <v>242</v>
      </c>
    </row>
    <row r="4" spans="1:5" x14ac:dyDescent="0.25">
      <c r="A4" s="35" t="s">
        <v>53</v>
      </c>
      <c r="B4" s="36">
        <v>43169</v>
      </c>
      <c r="D4" t="s">
        <v>59</v>
      </c>
    </row>
    <row r="5" spans="1:5" x14ac:dyDescent="0.25">
      <c r="A5" s="35" t="s">
        <v>57</v>
      </c>
      <c r="B5" s="35" t="s">
        <v>55</v>
      </c>
      <c r="D5" t="s">
        <v>70</v>
      </c>
    </row>
    <row r="6" spans="1:5" x14ac:dyDescent="0.25">
      <c r="A6" s="35" t="s">
        <v>56</v>
      </c>
      <c r="B6" s="35"/>
      <c r="D6" t="s">
        <v>58</v>
      </c>
    </row>
    <row r="7" spans="1:5" x14ac:dyDescent="0.25">
      <c r="A7" s="35" t="s">
        <v>60</v>
      </c>
      <c r="B7" s="36">
        <v>43169</v>
      </c>
      <c r="D7" t="s">
        <v>243</v>
      </c>
    </row>
    <row r="8" spans="1:5" x14ac:dyDescent="0.25">
      <c r="D8" t="s">
        <v>51</v>
      </c>
    </row>
    <row r="9" spans="1:5" x14ac:dyDescent="0.25">
      <c r="D9" t="s">
        <v>52</v>
      </c>
    </row>
    <row r="11" spans="1:5" x14ac:dyDescent="0.25">
      <c r="A11" s="28" t="s">
        <v>9</v>
      </c>
      <c r="B11" s="29"/>
      <c r="C11" s="29"/>
      <c r="D11" s="29"/>
      <c r="E11" s="30"/>
    </row>
    <row r="12" spans="1:5" x14ac:dyDescent="0.25">
      <c r="A12" s="31" t="s">
        <v>64</v>
      </c>
      <c r="B12" s="32"/>
      <c r="C12" s="32"/>
      <c r="D12" s="32"/>
      <c r="E12" s="33"/>
    </row>
    <row r="14" spans="1:5" x14ac:dyDescent="0.25">
      <c r="A14" s="34" t="s">
        <v>61</v>
      </c>
      <c r="B14" s="36">
        <v>43169</v>
      </c>
      <c r="D14" t="s">
        <v>65</v>
      </c>
    </row>
    <row r="15" spans="1:5" x14ac:dyDescent="0.25">
      <c r="A15" s="34" t="s">
        <v>62</v>
      </c>
      <c r="B15" s="35">
        <v>43169</v>
      </c>
    </row>
    <row r="16" spans="1:5" x14ac:dyDescent="0.25">
      <c r="A16" s="34" t="s">
        <v>63</v>
      </c>
      <c r="B16" s="36">
        <v>43169</v>
      </c>
    </row>
    <row r="18" spans="1:5" x14ac:dyDescent="0.25">
      <c r="A18" s="34" t="s">
        <v>10</v>
      </c>
      <c r="B18" s="34" t="s">
        <v>11</v>
      </c>
    </row>
    <row r="19" spans="1:5" x14ac:dyDescent="0.25">
      <c r="A19" s="36">
        <v>1</v>
      </c>
      <c r="B19" s="35">
        <v>1</v>
      </c>
    </row>
    <row r="20" spans="1:5" x14ac:dyDescent="0.25">
      <c r="A20" s="36">
        <v>2</v>
      </c>
      <c r="B20" s="35">
        <v>2</v>
      </c>
    </row>
    <row r="21" spans="1:5" x14ac:dyDescent="0.25">
      <c r="A21" s="36">
        <v>43036</v>
      </c>
      <c r="B21" s="35">
        <v>43036</v>
      </c>
    </row>
    <row r="23" spans="1:5" x14ac:dyDescent="0.25">
      <c r="A23" s="45" t="s">
        <v>71</v>
      </c>
      <c r="B23" s="46"/>
      <c r="C23" s="46"/>
      <c r="D23" s="46"/>
      <c r="E23" s="47"/>
    </row>
    <row r="25" spans="1:5" x14ac:dyDescent="0.25">
      <c r="A25" s="34" t="s">
        <v>92</v>
      </c>
      <c r="B25" s="36">
        <v>43131</v>
      </c>
      <c r="E25" t="s">
        <v>12</v>
      </c>
    </row>
    <row r="26" spans="1:5" x14ac:dyDescent="0.25">
      <c r="A26" s="34" t="s">
        <v>173</v>
      </c>
      <c r="B26" s="36">
        <v>43169</v>
      </c>
      <c r="E26" t="s">
        <v>14</v>
      </c>
    </row>
    <row r="27" spans="1:5" x14ac:dyDescent="0.25">
      <c r="A27" s="34" t="s">
        <v>175</v>
      </c>
      <c r="B27" s="37">
        <f>B26-B25</f>
        <v>38</v>
      </c>
      <c r="D27" t="str">
        <f ca="1">IF(_xlfn.ISFORMULA(B27),_xlfn.FORMULATEXT(B27),"")</f>
        <v>=B26-B25</v>
      </c>
      <c r="E27" t="s">
        <v>66</v>
      </c>
    </row>
    <row r="29" spans="1:5" x14ac:dyDescent="0.25">
      <c r="A29" s="34" t="s">
        <v>32</v>
      </c>
      <c r="B29" s="36">
        <v>43153</v>
      </c>
    </row>
    <row r="30" spans="1:5" x14ac:dyDescent="0.25">
      <c r="A30" s="34" t="s">
        <v>13</v>
      </c>
      <c r="B30" s="38">
        <f ca="1">TODAY()</f>
        <v>43888</v>
      </c>
      <c r="D30" t="str">
        <f ca="1">IF(_xlfn.ISFORMULA(B30),_xlfn.FORMULATEXT(B30),"")</f>
        <v>=TODAY()</v>
      </c>
      <c r="E30" t="s">
        <v>67</v>
      </c>
    </row>
    <row r="31" spans="1:5" x14ac:dyDescent="0.25">
      <c r="A31" s="34" t="s">
        <v>175</v>
      </c>
      <c r="B31" s="37">
        <f ca="1">B30-B29</f>
        <v>735</v>
      </c>
      <c r="D31" t="str">
        <f ca="1">IF(_xlfn.ISFORMULA(B31),_xlfn.FORMULATEXT(B31),"")</f>
        <v>=B30-B29</v>
      </c>
      <c r="E31" s="39" t="s">
        <v>15</v>
      </c>
    </row>
    <row r="33" spans="1:7" x14ac:dyDescent="0.25">
      <c r="A33" s="34" t="s">
        <v>16</v>
      </c>
      <c r="B33" s="36">
        <v>43099</v>
      </c>
    </row>
    <row r="34" spans="1:7" x14ac:dyDescent="0.25">
      <c r="A34" s="34" t="s">
        <v>17</v>
      </c>
      <c r="B34" s="35">
        <v>120</v>
      </c>
    </row>
    <row r="35" spans="1:7" x14ac:dyDescent="0.25">
      <c r="A35" s="34" t="s">
        <v>18</v>
      </c>
      <c r="B35" s="38">
        <f>B33+B34</f>
        <v>43219</v>
      </c>
      <c r="D35" t="str">
        <f ca="1">IF(_xlfn.ISFORMULA(B35),_xlfn.FORMULATEXT(B35),"")</f>
        <v>=B33+B34</v>
      </c>
      <c r="E35" t="s">
        <v>68</v>
      </c>
    </row>
    <row r="37" spans="1:7" x14ac:dyDescent="0.25">
      <c r="A37" s="34" t="s">
        <v>19</v>
      </c>
      <c r="B37" s="36">
        <v>43159</v>
      </c>
    </row>
    <row r="38" spans="1:7" x14ac:dyDescent="0.25">
      <c r="A38" s="34" t="s">
        <v>20</v>
      </c>
      <c r="B38" s="36">
        <v>43166</v>
      </c>
    </row>
    <row r="39" spans="1:7" x14ac:dyDescent="0.25">
      <c r="A39" s="34" t="s">
        <v>21</v>
      </c>
      <c r="B39" s="37">
        <f>B38-B37+1</f>
        <v>8</v>
      </c>
      <c r="D39" t="str">
        <f ca="1">IF(_xlfn.ISFORMULA(B39),_xlfn.FORMULATEXT(B39),"")</f>
        <v>=B38-B37+1</v>
      </c>
      <c r="E39" t="s">
        <v>69</v>
      </c>
    </row>
    <row r="41" spans="1:7" x14ac:dyDescent="0.25">
      <c r="A41" s="40" t="s">
        <v>22</v>
      </c>
      <c r="B41" s="41"/>
      <c r="C41" s="41"/>
      <c r="D41" s="41"/>
      <c r="E41" s="41"/>
      <c r="F41" s="41"/>
      <c r="G41" s="42"/>
    </row>
    <row r="43" spans="1:7" x14ac:dyDescent="0.25">
      <c r="A43" s="34" t="s">
        <v>92</v>
      </c>
      <c r="B43" s="36">
        <v>43165</v>
      </c>
      <c r="E43" t="s">
        <v>23</v>
      </c>
    </row>
    <row r="44" spans="1:7" x14ac:dyDescent="0.25">
      <c r="A44" s="34" t="s">
        <v>24</v>
      </c>
      <c r="B44" s="38">
        <f>EDATE(B43,2)</f>
        <v>43226</v>
      </c>
      <c r="D44" t="str">
        <f ca="1">IF(_xlfn.ISFORMULA(B44),_xlfn.FORMULATEXT(B44),"")</f>
        <v>=EDATE(B43,2)</v>
      </c>
      <c r="E44" t="s">
        <v>244</v>
      </c>
    </row>
    <row r="45" spans="1:7" x14ac:dyDescent="0.25">
      <c r="E45" s="39" t="s">
        <v>25</v>
      </c>
    </row>
    <row r="47" spans="1:7" x14ac:dyDescent="0.25">
      <c r="A47" s="40" t="s">
        <v>26</v>
      </c>
      <c r="B47" s="41"/>
      <c r="C47" s="41"/>
      <c r="D47" s="41"/>
      <c r="E47" s="41"/>
      <c r="F47" s="42"/>
    </row>
    <row r="49" spans="1:10" x14ac:dyDescent="0.25">
      <c r="A49" s="34" t="s">
        <v>92</v>
      </c>
      <c r="B49" s="36">
        <v>42403</v>
      </c>
    </row>
    <row r="50" spans="1:10" x14ac:dyDescent="0.25">
      <c r="A50" s="34" t="s">
        <v>72</v>
      </c>
      <c r="B50" s="38">
        <f>EOMONTH(B49,0)</f>
        <v>42429</v>
      </c>
      <c r="D50" t="str">
        <f ca="1">IF(_xlfn.ISFORMULA(B50),_xlfn.FORMULATEXT(B50),"")</f>
        <v>=EOMONTH(B49,0)</v>
      </c>
      <c r="E50" t="s">
        <v>245</v>
      </c>
    </row>
    <row r="51" spans="1:10" x14ac:dyDescent="0.25">
      <c r="E51" s="39" t="s">
        <v>27</v>
      </c>
    </row>
    <row r="52" spans="1:10" x14ac:dyDescent="0.25">
      <c r="A52" s="34" t="s">
        <v>92</v>
      </c>
      <c r="B52" s="36">
        <v>42403</v>
      </c>
      <c r="E52" s="39" t="s">
        <v>28</v>
      </c>
    </row>
    <row r="53" spans="1:10" x14ac:dyDescent="0.25">
      <c r="A53" s="34" t="s">
        <v>88</v>
      </c>
      <c r="B53" s="35">
        <v>10</v>
      </c>
      <c r="E53" s="39" t="s">
        <v>29</v>
      </c>
    </row>
    <row r="54" spans="1:10" x14ac:dyDescent="0.25">
      <c r="A54" s="34" t="s">
        <v>73</v>
      </c>
      <c r="B54" s="38">
        <f>EOMONTH(B52,0)+B53</f>
        <v>42439</v>
      </c>
    </row>
    <row r="56" spans="1:10" x14ac:dyDescent="0.25">
      <c r="D56" s="40" t="s">
        <v>87</v>
      </c>
      <c r="E56" s="41"/>
      <c r="F56" s="41"/>
      <c r="G56" s="41"/>
      <c r="H56" s="41"/>
      <c r="I56" s="41"/>
      <c r="J56" s="42"/>
    </row>
    <row r="57" spans="1:10" x14ac:dyDescent="0.25">
      <c r="B57" t="str">
        <f ca="1">IF(_xlfn.ISFORMULA(B54),_xlfn.FORMULATEXT(B54),"")</f>
        <v>=EOMONTH(B52,0)+B53</v>
      </c>
    </row>
    <row r="58" spans="1:10" ht="60" x14ac:dyDescent="0.25">
      <c r="D58" s="43" t="s">
        <v>30</v>
      </c>
      <c r="E58" s="43" t="s">
        <v>31</v>
      </c>
      <c r="F58" s="43" t="s">
        <v>32</v>
      </c>
      <c r="G58" s="43" t="s">
        <v>13</v>
      </c>
      <c r="H58" s="43" t="s">
        <v>33</v>
      </c>
    </row>
    <row r="59" spans="1:10" x14ac:dyDescent="0.25">
      <c r="D59" s="35" t="s">
        <v>34</v>
      </c>
      <c r="E59" s="44">
        <v>2063</v>
      </c>
      <c r="F59" s="36">
        <v>43160</v>
      </c>
      <c r="G59" s="38">
        <f ca="1">TODAY()</f>
        <v>43888</v>
      </c>
      <c r="H59" s="37">
        <f ca="1">G59-F59</f>
        <v>728</v>
      </c>
    </row>
    <row r="60" spans="1:10" x14ac:dyDescent="0.25">
      <c r="D60" s="35" t="s">
        <v>35</v>
      </c>
      <c r="E60" s="44">
        <v>2084.5500000000002</v>
      </c>
      <c r="F60" s="36">
        <v>43166</v>
      </c>
      <c r="G60" s="38">
        <f t="shared" ref="G60:G74" ca="1" si="0">TODAY()</f>
        <v>43888</v>
      </c>
      <c r="H60" s="37">
        <f t="shared" ref="H60:H74" ca="1" si="1">G60-F60</f>
        <v>722</v>
      </c>
    </row>
    <row r="61" spans="1:10" x14ac:dyDescent="0.25">
      <c r="D61" s="35" t="s">
        <v>36</v>
      </c>
      <c r="E61" s="44">
        <v>1338.51</v>
      </c>
      <c r="F61" s="36">
        <v>43100</v>
      </c>
      <c r="G61" s="38">
        <f t="shared" ca="1" si="0"/>
        <v>43888</v>
      </c>
      <c r="H61" s="37">
        <f t="shared" ca="1" si="1"/>
        <v>788</v>
      </c>
    </row>
    <row r="62" spans="1:10" x14ac:dyDescent="0.25">
      <c r="D62" s="35" t="s">
        <v>37</v>
      </c>
      <c r="E62" s="44">
        <v>1967.55</v>
      </c>
      <c r="F62" s="36">
        <v>43117</v>
      </c>
      <c r="G62" s="38">
        <f t="shared" ca="1" si="0"/>
        <v>43888</v>
      </c>
      <c r="H62" s="37">
        <f t="shared" ca="1" si="1"/>
        <v>771</v>
      </c>
    </row>
    <row r="63" spans="1:10" x14ac:dyDescent="0.25">
      <c r="D63" s="35" t="s">
        <v>38</v>
      </c>
      <c r="E63" s="44">
        <v>2213.87</v>
      </c>
      <c r="F63" s="36">
        <v>43164</v>
      </c>
      <c r="G63" s="38">
        <f t="shared" ca="1" si="0"/>
        <v>43888</v>
      </c>
      <c r="H63" s="37">
        <f t="shared" ca="1" si="1"/>
        <v>724</v>
      </c>
    </row>
    <row r="64" spans="1:10" x14ac:dyDescent="0.25">
      <c r="D64" s="35" t="s">
        <v>39</v>
      </c>
      <c r="E64" s="44">
        <v>1570.3</v>
      </c>
      <c r="F64" s="36">
        <v>43168</v>
      </c>
      <c r="G64" s="38">
        <f t="shared" ca="1" si="0"/>
        <v>43888</v>
      </c>
      <c r="H64" s="37">
        <f t="shared" ca="1" si="1"/>
        <v>720</v>
      </c>
    </row>
    <row r="65" spans="4:8" x14ac:dyDescent="0.25">
      <c r="D65" s="35" t="s">
        <v>40</v>
      </c>
      <c r="E65" s="44">
        <v>1652.3</v>
      </c>
      <c r="F65" s="36">
        <v>43134</v>
      </c>
      <c r="G65" s="38">
        <f t="shared" ca="1" si="0"/>
        <v>43888</v>
      </c>
      <c r="H65" s="37">
        <f t="shared" ca="1" si="1"/>
        <v>754</v>
      </c>
    </row>
    <row r="66" spans="4:8" x14ac:dyDescent="0.25">
      <c r="D66" s="35" t="s">
        <v>41</v>
      </c>
      <c r="E66" s="44">
        <v>1467.72</v>
      </c>
      <c r="F66" s="36">
        <v>43126</v>
      </c>
      <c r="G66" s="38">
        <f t="shared" ca="1" si="0"/>
        <v>43888</v>
      </c>
      <c r="H66" s="37">
        <f t="shared" ca="1" si="1"/>
        <v>762</v>
      </c>
    </row>
    <row r="67" spans="4:8" x14ac:dyDescent="0.25">
      <c r="D67" s="35" t="s">
        <v>42</v>
      </c>
      <c r="E67" s="44">
        <v>1911.15</v>
      </c>
      <c r="F67" s="36">
        <v>43154</v>
      </c>
      <c r="G67" s="38">
        <f t="shared" ca="1" si="0"/>
        <v>43888</v>
      </c>
      <c r="H67" s="37">
        <f t="shared" ca="1" si="1"/>
        <v>734</v>
      </c>
    </row>
    <row r="68" spans="4:8" x14ac:dyDescent="0.25">
      <c r="D68" s="35" t="s">
        <v>43</v>
      </c>
      <c r="E68" s="44">
        <v>597.07000000000005</v>
      </c>
      <c r="F68" s="36">
        <v>43095</v>
      </c>
      <c r="G68" s="38">
        <f t="shared" ca="1" si="0"/>
        <v>43888</v>
      </c>
      <c r="H68" s="37">
        <f t="shared" ca="1" si="1"/>
        <v>793</v>
      </c>
    </row>
    <row r="69" spans="4:8" x14ac:dyDescent="0.25">
      <c r="D69" s="35" t="s">
        <v>44</v>
      </c>
      <c r="E69" s="44">
        <v>608.6</v>
      </c>
      <c r="F69" s="36">
        <v>43167</v>
      </c>
      <c r="G69" s="38">
        <f t="shared" ca="1" si="0"/>
        <v>43888</v>
      </c>
      <c r="H69" s="37">
        <f t="shared" ca="1" si="1"/>
        <v>721</v>
      </c>
    </row>
    <row r="70" spans="4:8" x14ac:dyDescent="0.25">
      <c r="D70" s="35" t="s">
        <v>45</v>
      </c>
      <c r="E70" s="44">
        <v>1390.45</v>
      </c>
      <c r="F70" s="36">
        <v>43118</v>
      </c>
      <c r="G70" s="38">
        <f t="shared" ca="1" si="0"/>
        <v>43888</v>
      </c>
      <c r="H70" s="37">
        <f t="shared" ca="1" si="1"/>
        <v>770</v>
      </c>
    </row>
    <row r="71" spans="4:8" x14ac:dyDescent="0.25">
      <c r="D71" s="35" t="s">
        <v>46</v>
      </c>
      <c r="E71" s="44">
        <v>419.68</v>
      </c>
      <c r="F71" s="36">
        <v>43103</v>
      </c>
      <c r="G71" s="38">
        <f t="shared" ca="1" si="0"/>
        <v>43888</v>
      </c>
      <c r="H71" s="37">
        <f t="shared" ca="1" si="1"/>
        <v>785</v>
      </c>
    </row>
    <row r="72" spans="4:8" x14ac:dyDescent="0.25">
      <c r="D72" s="35" t="s">
        <v>47</v>
      </c>
      <c r="E72" s="44">
        <v>1210.17</v>
      </c>
      <c r="F72" s="36">
        <v>43156</v>
      </c>
      <c r="G72" s="38">
        <f t="shared" ca="1" si="0"/>
        <v>43888</v>
      </c>
      <c r="H72" s="37">
        <f t="shared" ca="1" si="1"/>
        <v>732</v>
      </c>
    </row>
    <row r="73" spans="4:8" x14ac:dyDescent="0.25">
      <c r="D73" s="35" t="s">
        <v>48</v>
      </c>
      <c r="E73" s="44">
        <v>1815.46</v>
      </c>
      <c r="F73" s="36">
        <v>43123</v>
      </c>
      <c r="G73" s="38">
        <f t="shared" ca="1" si="0"/>
        <v>43888</v>
      </c>
      <c r="H73" s="37">
        <f t="shared" ca="1" si="1"/>
        <v>765</v>
      </c>
    </row>
    <row r="74" spans="4:8" x14ac:dyDescent="0.25">
      <c r="D74" s="35" t="s">
        <v>49</v>
      </c>
      <c r="E74" s="44">
        <v>1803.3</v>
      </c>
      <c r="F74" s="36">
        <v>43130</v>
      </c>
      <c r="G74" s="38">
        <f t="shared" ca="1" si="0"/>
        <v>43888</v>
      </c>
      <c r="H74" s="37">
        <f t="shared" ca="1" si="1"/>
        <v>758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DF82-18A8-47C6-9C55-EB5C8B4951B1}">
  <sheetPr>
    <tabColor rgb="FFFF0000"/>
  </sheetPr>
  <dimension ref="A1:F19"/>
  <sheetViews>
    <sheetView zoomScale="145" zoomScaleNormal="145" workbookViewId="0">
      <selection activeCell="B13" sqref="B13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229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  <row r="5" spans="1:6" x14ac:dyDescent="0.25">
      <c r="B5" s="153" t="s">
        <v>206</v>
      </c>
      <c r="C5" s="82">
        <v>298.27</v>
      </c>
    </row>
    <row r="6" spans="1:6" x14ac:dyDescent="0.25">
      <c r="B6" s="153" t="s">
        <v>215</v>
      </c>
      <c r="C6" s="82">
        <v>22.59</v>
      </c>
    </row>
    <row r="7" spans="1:6" x14ac:dyDescent="0.25">
      <c r="B7" s="153" t="s">
        <v>92</v>
      </c>
      <c r="C7" s="36">
        <v>42420</v>
      </c>
    </row>
    <row r="8" spans="1:6" x14ac:dyDescent="0.25">
      <c r="B8" s="153" t="s">
        <v>207</v>
      </c>
      <c r="C8" s="36">
        <v>42430</v>
      </c>
    </row>
    <row r="9" spans="1:6" x14ac:dyDescent="0.25">
      <c r="B9" s="153" t="s">
        <v>205</v>
      </c>
      <c r="C9" s="35" t="s">
        <v>208</v>
      </c>
    </row>
    <row r="10" spans="1:6" x14ac:dyDescent="0.25">
      <c r="B10" s="153" t="s">
        <v>164</v>
      </c>
      <c r="C10" s="35">
        <v>0.02</v>
      </c>
    </row>
    <row r="11" spans="1:6" x14ac:dyDescent="0.25">
      <c r="B11" s="153" t="s">
        <v>216</v>
      </c>
      <c r="C11" s="35">
        <v>10</v>
      </c>
    </row>
    <row r="12" spans="1:6" x14ac:dyDescent="0.25">
      <c r="B12" s="153" t="s">
        <v>217</v>
      </c>
      <c r="C12" s="35">
        <v>30</v>
      </c>
    </row>
    <row r="13" spans="1:6" x14ac:dyDescent="0.25">
      <c r="B13" s="153" t="s">
        <v>210</v>
      </c>
      <c r="C13" s="38">
        <f>C7+C11</f>
        <v>42430</v>
      </c>
      <c r="E13" t="str">
        <f ca="1">IF(_xlfn.ISFORMULA(C13),_xlfn.FORMULATEXT(C13),"")</f>
        <v>=C7+C11</v>
      </c>
    </row>
    <row r="14" spans="1:6" x14ac:dyDescent="0.25">
      <c r="B14" s="153" t="s">
        <v>166</v>
      </c>
      <c r="C14" s="37">
        <f>C8-C7</f>
        <v>10</v>
      </c>
      <c r="E14" t="str">
        <f t="shared" ref="E14:E19" ca="1" si="0">IF(_xlfn.ISFORMULA(C14),_xlfn.FORMULATEXT(C14),"")</f>
        <v>=C8-C7</v>
      </c>
    </row>
    <row r="15" spans="1:6" x14ac:dyDescent="0.25">
      <c r="B15" s="153" t="s">
        <v>231</v>
      </c>
      <c r="C15" s="37" t="b">
        <f>C14&lt;=C11</f>
        <v>1</v>
      </c>
      <c r="E15" t="str">
        <f t="shared" ca="1" si="0"/>
        <v>=C14&lt;=C11</v>
      </c>
    </row>
    <row r="16" spans="1:6" x14ac:dyDescent="0.25">
      <c r="B16" s="153" t="s">
        <v>138</v>
      </c>
      <c r="C16" s="37">
        <f>IF(C15,ROUND(C5*C10,2),0)</f>
        <v>5.97</v>
      </c>
      <c r="E16" t="str">
        <f t="shared" ca="1" si="0"/>
        <v>=IF(C15,ROUND(C5*C10,2),0)</v>
      </c>
    </row>
    <row r="17" spans="2:5" x14ac:dyDescent="0.25">
      <c r="B17" s="153" t="s">
        <v>141</v>
      </c>
      <c r="C17" s="151">
        <f>C5+C6-C16</f>
        <v>314.88999999999993</v>
      </c>
      <c r="E17" t="str">
        <f t="shared" ca="1" si="0"/>
        <v>=C5+C6-C16</v>
      </c>
    </row>
    <row r="18" spans="2:5" x14ac:dyDescent="0.25">
      <c r="E18" t="str">
        <f t="shared" ca="1" si="0"/>
        <v/>
      </c>
    </row>
    <row r="19" spans="2:5" x14ac:dyDescent="0.25">
      <c r="B19" s="153" t="s">
        <v>141</v>
      </c>
      <c r="C19" s="151">
        <f>C6+C5-IF(C8-C7&lt;=C11,ROUND(C5*C10,2),0)</f>
        <v>314.88999999999993</v>
      </c>
      <c r="E19" t="str">
        <f t="shared" ca="1" si="0"/>
        <v>=C6+C5-IF(C8-C7&lt;=C11,ROUND(C5*C10,2),0)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DBA94-8805-4323-AE68-E3C8EDECFEBC}">
  <sheetPr>
    <tabColor rgb="FF0000FF"/>
  </sheetPr>
  <dimension ref="A1:F3"/>
  <sheetViews>
    <sheetView zoomScale="145" zoomScaleNormal="145" workbookViewId="0">
      <selection sqref="A1:F3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230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9312-8DBB-4921-B967-E610F43E00DE}">
  <sheetPr>
    <tabColor rgb="FFFF0000"/>
  </sheetPr>
  <dimension ref="A1:F20"/>
  <sheetViews>
    <sheetView zoomScale="145" zoomScaleNormal="145" workbookViewId="0">
      <selection activeCell="C11" sqref="C11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230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  <row r="5" spans="1:6" x14ac:dyDescent="0.25">
      <c r="B5" s="153" t="s">
        <v>206</v>
      </c>
      <c r="C5" s="82">
        <v>1080</v>
      </c>
    </row>
    <row r="6" spans="1:6" x14ac:dyDescent="0.25">
      <c r="B6" s="153" t="s">
        <v>215</v>
      </c>
      <c r="C6" s="82">
        <v>0</v>
      </c>
    </row>
    <row r="7" spans="1:6" x14ac:dyDescent="0.25">
      <c r="B7" s="153" t="s">
        <v>92</v>
      </c>
      <c r="C7" s="36">
        <v>42924</v>
      </c>
    </row>
    <row r="8" spans="1:6" x14ac:dyDescent="0.25">
      <c r="B8" s="153" t="s">
        <v>174</v>
      </c>
      <c r="C8" s="36">
        <v>42926</v>
      </c>
    </row>
    <row r="9" spans="1:6" x14ac:dyDescent="0.25">
      <c r="B9" s="153" t="s">
        <v>207</v>
      </c>
      <c r="C9" s="36">
        <v>42942</v>
      </c>
    </row>
    <row r="10" spans="1:6" x14ac:dyDescent="0.25">
      <c r="B10" s="153" t="s">
        <v>205</v>
      </c>
      <c r="C10" s="35" t="s">
        <v>208</v>
      </c>
    </row>
    <row r="11" spans="1:6" x14ac:dyDescent="0.25">
      <c r="B11" s="153" t="s">
        <v>164</v>
      </c>
      <c r="C11" s="35">
        <v>0.02</v>
      </c>
    </row>
    <row r="12" spans="1:6" x14ac:dyDescent="0.25">
      <c r="B12" s="153" t="s">
        <v>216</v>
      </c>
      <c r="C12" s="35">
        <v>10</v>
      </c>
    </row>
    <row r="13" spans="1:6" x14ac:dyDescent="0.25">
      <c r="B13" s="153" t="s">
        <v>217</v>
      </c>
      <c r="C13" s="35">
        <v>40</v>
      </c>
    </row>
    <row r="14" spans="1:6" x14ac:dyDescent="0.25">
      <c r="B14" s="153" t="s">
        <v>210</v>
      </c>
      <c r="C14" s="38">
        <f>C8+C12</f>
        <v>42936</v>
      </c>
      <c r="E14" t="str">
        <f ca="1">IF(_xlfn.ISFORMULA(C14),_xlfn.FORMULATEXT(C14),"")</f>
        <v>=C8+C12</v>
      </c>
    </row>
    <row r="15" spans="1:6" x14ac:dyDescent="0.25">
      <c r="B15" s="153" t="s">
        <v>166</v>
      </c>
      <c r="C15" s="37">
        <f>C9-C8</f>
        <v>16</v>
      </c>
      <c r="E15" t="str">
        <f t="shared" ref="E15:E20" ca="1" si="0">IF(_xlfn.ISFORMULA(C15),_xlfn.FORMULATEXT(C15),"")</f>
        <v>=C9-C8</v>
      </c>
    </row>
    <row r="16" spans="1:6" x14ac:dyDescent="0.25">
      <c r="B16" s="153" t="s">
        <v>231</v>
      </c>
      <c r="C16" s="37" t="b">
        <f>C15&lt;=C12</f>
        <v>0</v>
      </c>
      <c r="E16" t="str">
        <f t="shared" ca="1" si="0"/>
        <v>=C15&lt;=C12</v>
      </c>
    </row>
    <row r="17" spans="2:5" x14ac:dyDescent="0.25">
      <c r="B17" s="153" t="s">
        <v>138</v>
      </c>
      <c r="C17" s="37">
        <f>IF(C16,ROUND(C5*C11,2),0)</f>
        <v>0</v>
      </c>
      <c r="E17" t="str">
        <f t="shared" ca="1" si="0"/>
        <v>=IF(C16,ROUND(C5*C11,2),0)</v>
      </c>
    </row>
    <row r="18" spans="2:5" x14ac:dyDescent="0.25">
      <c r="B18" s="153" t="s">
        <v>141</v>
      </c>
      <c r="C18" s="151">
        <f>C5+C6-C17</f>
        <v>1080</v>
      </c>
      <c r="E18" t="str">
        <f t="shared" ca="1" si="0"/>
        <v>=C5+C6-C17</v>
      </c>
    </row>
    <row r="19" spans="2:5" x14ac:dyDescent="0.25">
      <c r="E19" t="str">
        <f t="shared" ca="1" si="0"/>
        <v/>
      </c>
    </row>
    <row r="20" spans="2:5" x14ac:dyDescent="0.25">
      <c r="B20" s="153" t="s">
        <v>141</v>
      </c>
      <c r="C20" s="151">
        <f>C6+C5-IF(C9-C7&lt;=C12,ROUND(C5*C11,2),0)</f>
        <v>1080</v>
      </c>
      <c r="E20" t="str">
        <f t="shared" ca="1" si="0"/>
        <v>=C6+C5-IF(C9-C7&lt;=C12,ROUND(C5*C11,2),0)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72E3-7543-4324-B328-40D6CFA4AF11}">
  <sheetPr>
    <tabColor rgb="FF0000FF"/>
  </sheetPr>
  <dimension ref="A1:F36"/>
  <sheetViews>
    <sheetView zoomScale="145" zoomScaleNormal="145" workbookViewId="0">
      <selection activeCell="G1" sqref="G1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ht="15" customHeight="1" x14ac:dyDescent="0.25">
      <c r="A1" s="171" t="s">
        <v>252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  <row r="28" spans="2:2" x14ac:dyDescent="0.25">
      <c r="B28" t="s">
        <v>198</v>
      </c>
    </row>
    <row r="29" spans="2:2" x14ac:dyDescent="0.25">
      <c r="B29" t="s">
        <v>197</v>
      </c>
    </row>
    <row r="30" spans="2:2" x14ac:dyDescent="0.25">
      <c r="B30" t="s">
        <v>196</v>
      </c>
    </row>
    <row r="31" spans="2:2" x14ac:dyDescent="0.25">
      <c r="B31" t="s">
        <v>199</v>
      </c>
    </row>
    <row r="32" spans="2:2" x14ac:dyDescent="0.25">
      <c r="B32" t="s">
        <v>180</v>
      </c>
    </row>
    <row r="33" spans="2:2" x14ac:dyDescent="0.25">
      <c r="B33" t="s">
        <v>200</v>
      </c>
    </row>
    <row r="34" spans="2:2" x14ac:dyDescent="0.25">
      <c r="B34" t="s">
        <v>138</v>
      </c>
    </row>
    <row r="35" spans="2:2" x14ac:dyDescent="0.25">
      <c r="B35" t="s">
        <v>179</v>
      </c>
    </row>
    <row r="36" spans="2:2" x14ac:dyDescent="0.25">
      <c r="B36" t="s">
        <v>141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3A42-8677-4B05-ADE7-BB4EC76E9318}">
  <sheetPr>
    <tabColor rgb="FFFF0000"/>
  </sheetPr>
  <dimension ref="A1:F22"/>
  <sheetViews>
    <sheetView zoomScale="145" zoomScaleNormal="145" workbookViewId="0">
      <selection activeCell="C9" sqref="C9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252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  <row r="5" spans="1:6" x14ac:dyDescent="0.25">
      <c r="B5" s="153" t="s">
        <v>206</v>
      </c>
      <c r="C5" s="82">
        <v>1282</v>
      </c>
    </row>
    <row r="6" spans="1:6" x14ac:dyDescent="0.25">
      <c r="B6" s="153" t="s">
        <v>215</v>
      </c>
      <c r="C6" s="82">
        <v>15.9</v>
      </c>
    </row>
    <row r="7" spans="1:6" x14ac:dyDescent="0.25">
      <c r="B7" s="153" t="s">
        <v>92</v>
      </c>
      <c r="C7" s="36">
        <v>43311</v>
      </c>
    </row>
    <row r="8" spans="1:6" x14ac:dyDescent="0.25">
      <c r="B8" s="153" t="s">
        <v>207</v>
      </c>
      <c r="C8" s="36">
        <v>43350</v>
      </c>
    </row>
    <row r="9" spans="1:6" x14ac:dyDescent="0.25">
      <c r="B9" s="153" t="s">
        <v>205</v>
      </c>
      <c r="C9" s="35" t="s">
        <v>213</v>
      </c>
    </row>
    <row r="10" spans="1:6" x14ac:dyDescent="0.25">
      <c r="B10" s="153" t="s">
        <v>164</v>
      </c>
      <c r="C10" s="35">
        <v>0.01</v>
      </c>
    </row>
    <row r="11" spans="1:6" x14ac:dyDescent="0.25">
      <c r="B11" s="153" t="s">
        <v>196</v>
      </c>
      <c r="C11" s="35">
        <v>15</v>
      </c>
    </row>
    <row r="12" spans="1:6" x14ac:dyDescent="0.25">
      <c r="B12" s="153" t="s">
        <v>188</v>
      </c>
      <c r="C12" s="35">
        <v>26</v>
      </c>
    </row>
    <row r="13" spans="1:6" x14ac:dyDescent="0.25">
      <c r="B13" s="153" t="s">
        <v>187</v>
      </c>
      <c r="C13" s="37">
        <f>DAY(C7)</f>
        <v>30</v>
      </c>
      <c r="E13" t="str">
        <f ca="1">IF(_xlfn.ISFORMULA(C13),_xlfn.FORMULATEXT(C13),"")</f>
        <v>=DAY(C7)</v>
      </c>
    </row>
    <row r="14" spans="1:6" x14ac:dyDescent="0.25">
      <c r="B14" s="153" t="s">
        <v>232</v>
      </c>
      <c r="C14" s="38" t="b">
        <f>C13&gt;=C12</f>
        <v>1</v>
      </c>
      <c r="E14" t="str">
        <f t="shared" ref="E14:E17" ca="1" si="0">IF(_xlfn.ISFORMULA(C14),_xlfn.FORMULATEXT(C14),"")</f>
        <v>=C13&gt;=C12</v>
      </c>
    </row>
    <row r="15" spans="1:6" x14ac:dyDescent="0.25">
      <c r="B15" s="153" t="s">
        <v>197</v>
      </c>
      <c r="C15" s="37">
        <f>C14+0</f>
        <v>1</v>
      </c>
      <c r="E15" t="str">
        <f t="shared" ca="1" si="0"/>
        <v>=C14+0</v>
      </c>
    </row>
    <row r="16" spans="1:6" x14ac:dyDescent="0.25">
      <c r="B16" s="153" t="s">
        <v>218</v>
      </c>
      <c r="C16" s="38">
        <f>EOMONTH(C7,C15)+C11</f>
        <v>43358</v>
      </c>
      <c r="E16" t="str">
        <f t="shared" ca="1" si="0"/>
        <v>=EOMONTH(C7,C15)+C11</v>
      </c>
    </row>
    <row r="17" spans="2:5" x14ac:dyDescent="0.25">
      <c r="B17" s="153" t="s">
        <v>199</v>
      </c>
      <c r="C17" s="38">
        <f>C16+20</f>
        <v>43378</v>
      </c>
      <c r="E17" t="str">
        <f t="shared" ca="1" si="0"/>
        <v>=C16+20</v>
      </c>
    </row>
    <row r="18" spans="2:5" x14ac:dyDescent="0.25">
      <c r="B18" s="153" t="s">
        <v>200</v>
      </c>
      <c r="C18" s="37" t="b">
        <f>C8&lt;=C16</f>
        <v>1</v>
      </c>
      <c r="E18" t="str">
        <f t="shared" ref="E18" ca="1" si="1">IF(_xlfn.ISFORMULA(C18),_xlfn.FORMULATEXT(C18),"")</f>
        <v>=C8&lt;=C16</v>
      </c>
    </row>
    <row r="19" spans="2:5" x14ac:dyDescent="0.25">
      <c r="B19" s="153" t="s">
        <v>233</v>
      </c>
      <c r="C19" s="37">
        <f>ROUND(C5*C10*C18,2)</f>
        <v>12.82</v>
      </c>
      <c r="E19" t="str">
        <f ca="1">IF(_xlfn.ISFORMULA(C19),_xlfn.FORMULATEXT(C19),"")</f>
        <v>=ROUND(C5*C10*C18,2)</v>
      </c>
    </row>
    <row r="20" spans="2:5" x14ac:dyDescent="0.25">
      <c r="B20" s="153" t="s">
        <v>234</v>
      </c>
      <c r="C20" s="151">
        <f>C5+C6-C19</f>
        <v>1285.0800000000002</v>
      </c>
      <c r="E20" t="str">
        <f ca="1">IF(_xlfn.ISFORMULA(C20),_xlfn.FORMULATEXT(C20),"")</f>
        <v>=C5+C6-C19</v>
      </c>
    </row>
    <row r="22" spans="2:5" x14ac:dyDescent="0.25">
      <c r="B22" s="153" t="s">
        <v>234</v>
      </c>
      <c r="C22" s="151">
        <f>C5+C6-IF(C8&lt;=EOMONTH(C7,(DAY(C7)&gt;=C12)+0)+C11,ROUND(C5*C10,2),0)</f>
        <v>1285.0800000000002</v>
      </c>
      <c r="E22" t="str">
        <f t="shared" ref="E22" ca="1" si="2">IF(_xlfn.ISFORMULA(C22),_xlfn.FORMULATEXT(C22),"")</f>
        <v>=C5+C6-IF(C8&lt;=EOMONTH(C7,(DAY(C7)&gt;=C12)+0)+C11,ROUND(C5*C10,2),0)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3C92-436C-45FA-AC3D-E690F8609111}">
  <sheetPr>
    <tabColor rgb="FF0000FF"/>
  </sheetPr>
  <dimension ref="A1:E2"/>
  <sheetViews>
    <sheetView zoomScale="130" zoomScaleNormal="130" workbookViewId="0">
      <selection activeCell="A4" sqref="A4"/>
    </sheetView>
  </sheetViews>
  <sheetFormatPr defaultRowHeight="15" x14ac:dyDescent="0.25"/>
  <cols>
    <col min="1" max="1" width="40" customWidth="1"/>
    <col min="2" max="2" width="16" customWidth="1"/>
    <col min="3" max="4" width="8.85546875"/>
    <col min="5" max="5" width="18.85546875" customWidth="1"/>
    <col min="6" max="7" width="8.85546875"/>
    <col min="8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5" x14ac:dyDescent="0.25">
      <c r="A1" s="171" t="s">
        <v>236</v>
      </c>
      <c r="B1" s="172"/>
      <c r="C1" s="172"/>
      <c r="D1" s="172"/>
      <c r="E1" s="173"/>
    </row>
    <row r="2" spans="1:5" ht="30.75" customHeight="1" x14ac:dyDescent="0.25">
      <c r="A2" s="177"/>
      <c r="B2" s="178"/>
      <c r="C2" s="178"/>
      <c r="D2" s="178"/>
      <c r="E2" s="179"/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C316-7B02-4C58-9A1A-55E5078B1937}">
  <sheetPr>
    <tabColor rgb="FFFF0000"/>
  </sheetPr>
  <dimension ref="A1:G25"/>
  <sheetViews>
    <sheetView zoomScale="130" zoomScaleNormal="130" workbookViewId="0">
      <selection activeCell="B24" sqref="B24"/>
    </sheetView>
  </sheetViews>
  <sheetFormatPr defaultRowHeight="15" x14ac:dyDescent="0.25"/>
  <cols>
    <col min="1" max="1" width="40" customWidth="1"/>
    <col min="2" max="2" width="16" customWidth="1"/>
    <col min="5" max="5" width="18.85546875" customWidth="1"/>
    <col min="8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7" x14ac:dyDescent="0.25">
      <c r="A1" s="171" t="s">
        <v>236</v>
      </c>
      <c r="B1" s="172"/>
      <c r="C1" s="172"/>
      <c r="D1" s="172"/>
      <c r="E1" s="173"/>
    </row>
    <row r="2" spans="1:7" ht="30.75" customHeight="1" x14ac:dyDescent="0.25">
      <c r="A2" s="177"/>
      <c r="B2" s="178"/>
      <c r="C2" s="178"/>
      <c r="D2" s="178"/>
      <c r="E2" s="179"/>
    </row>
    <row r="4" spans="1:7" ht="15.75" x14ac:dyDescent="0.25">
      <c r="A4" s="105" t="s">
        <v>130</v>
      </c>
      <c r="B4" s="105"/>
      <c r="C4" s="160"/>
      <c r="D4" s="160" t="str">
        <f t="shared" ref="D4:D8" ca="1" si="0">IF(_xlfn.ISFORMULA(B4)," "&amp;_xlfn.FORMULATEXT(B4),"")</f>
        <v/>
      </c>
      <c r="E4" s="160"/>
    </row>
    <row r="5" spans="1:7" x14ac:dyDescent="0.25">
      <c r="A5" s="35" t="s">
        <v>206</v>
      </c>
      <c r="B5" s="44">
        <v>185.18</v>
      </c>
      <c r="C5" s="160"/>
      <c r="D5" s="160"/>
      <c r="E5" s="160"/>
    </row>
    <row r="6" spans="1:7" x14ac:dyDescent="0.25">
      <c r="A6" s="35" t="s">
        <v>215</v>
      </c>
      <c r="B6" s="44">
        <v>0</v>
      </c>
      <c r="C6" s="160"/>
      <c r="D6" s="160"/>
      <c r="E6" s="160"/>
    </row>
    <row r="7" spans="1:7" x14ac:dyDescent="0.25">
      <c r="A7" s="35" t="s">
        <v>92</v>
      </c>
      <c r="B7" s="154">
        <v>43771</v>
      </c>
      <c r="C7" s="160"/>
      <c r="D7" s="160" t="str">
        <f t="shared" ca="1" si="0"/>
        <v/>
      </c>
      <c r="E7" s="160"/>
    </row>
    <row r="8" spans="1:7" x14ac:dyDescent="0.25">
      <c r="A8" s="35" t="s">
        <v>207</v>
      </c>
      <c r="B8" s="154">
        <v>43790</v>
      </c>
      <c r="C8" s="160"/>
      <c r="D8" s="160" t="str">
        <f t="shared" ca="1" si="0"/>
        <v/>
      </c>
      <c r="E8" s="160"/>
    </row>
    <row r="9" spans="1:7" x14ac:dyDescent="0.25">
      <c r="A9" s="35" t="s">
        <v>205</v>
      </c>
      <c r="B9" s="154" t="s">
        <v>235</v>
      </c>
      <c r="C9" s="160"/>
      <c r="D9" s="160"/>
      <c r="E9" s="160"/>
    </row>
    <row r="10" spans="1:7" x14ac:dyDescent="0.25">
      <c r="A10" s="35" t="s">
        <v>166</v>
      </c>
      <c r="B10" s="155">
        <f>B8-B7</f>
        <v>19</v>
      </c>
      <c r="C10" s="160"/>
      <c r="D10" s="160" t="str">
        <f ca="1">IF(_xlfn.ISFORMULA(B10)," "&amp;_xlfn.FORMULATEXT(B10),"")</f>
        <v xml:space="preserve"> =B8-B7</v>
      </c>
      <c r="E10" s="160"/>
      <c r="F10" s="160"/>
      <c r="G10" s="160"/>
    </row>
    <row r="11" spans="1:7" x14ac:dyDescent="0.25">
      <c r="A11" s="35" t="s">
        <v>167</v>
      </c>
      <c r="B11" s="156">
        <v>0.05</v>
      </c>
      <c r="D11" s="160" t="str">
        <f t="shared" ref="D11:D19" ca="1" si="1">IF(_xlfn.ISFORMULA(B11)," "&amp;_xlfn.FORMULATEXT(B11),"")</f>
        <v/>
      </c>
      <c r="E11" s="160"/>
      <c r="F11" s="160"/>
      <c r="G11" s="160"/>
    </row>
    <row r="12" spans="1:7" x14ac:dyDescent="0.25">
      <c r="A12" s="35" t="s">
        <v>168</v>
      </c>
      <c r="B12" s="157">
        <v>10</v>
      </c>
      <c r="C12" s="160"/>
      <c r="D12" s="160" t="str">
        <f t="shared" ca="1" si="1"/>
        <v/>
      </c>
      <c r="E12" s="160"/>
      <c r="F12" s="160"/>
      <c r="G12" s="160"/>
    </row>
    <row r="13" spans="1:7" x14ac:dyDescent="0.25">
      <c r="A13" s="35" t="s">
        <v>169</v>
      </c>
      <c r="B13" s="156">
        <v>0.02</v>
      </c>
      <c r="C13" s="160"/>
      <c r="D13" s="160" t="str">
        <f t="shared" ca="1" si="1"/>
        <v/>
      </c>
      <c r="E13" s="160"/>
      <c r="F13" s="160"/>
      <c r="G13" s="160"/>
    </row>
    <row r="14" spans="1:7" x14ac:dyDescent="0.25">
      <c r="A14" s="35" t="s">
        <v>170</v>
      </c>
      <c r="B14" s="157">
        <v>20</v>
      </c>
      <c r="C14" s="160"/>
      <c r="D14" s="160" t="str">
        <f t="shared" ca="1" si="1"/>
        <v/>
      </c>
      <c r="E14" s="160"/>
      <c r="F14" s="160"/>
      <c r="G14" s="160"/>
    </row>
    <row r="15" spans="1:7" x14ac:dyDescent="0.25">
      <c r="A15" s="35" t="s">
        <v>182</v>
      </c>
      <c r="B15" s="157">
        <v>30</v>
      </c>
      <c r="C15" s="160"/>
      <c r="D15" s="160" t="str">
        <f t="shared" ca="1" si="1"/>
        <v/>
      </c>
      <c r="E15" s="160"/>
      <c r="F15" s="160"/>
      <c r="G15" s="160"/>
    </row>
    <row r="16" spans="1:7" x14ac:dyDescent="0.25">
      <c r="A16" s="35" t="str">
        <f>"Discount Earned? Paid in "&amp;B12&amp;" or fewer days?"</f>
        <v>Discount Earned? Paid in 10 or fewer days?</v>
      </c>
      <c r="B16" s="155" t="b">
        <f>B10&lt;=B12</f>
        <v>0</v>
      </c>
      <c r="C16" s="160"/>
      <c r="D16" s="160" t="str">
        <f t="shared" ca="1" si="1"/>
        <v xml:space="preserve"> =B10&lt;=B12</v>
      </c>
      <c r="E16" s="160"/>
      <c r="F16" s="160"/>
      <c r="G16" s="160"/>
    </row>
    <row r="17" spans="1:7" x14ac:dyDescent="0.25">
      <c r="A17" s="35" t="str">
        <f>"Discount Earned? Paid in "&amp;B14&amp;" or fewer days?"</f>
        <v>Discount Earned? Paid in 20 or fewer days?</v>
      </c>
      <c r="B17" s="155" t="b">
        <f>B10&lt;=B14</f>
        <v>1</v>
      </c>
      <c r="C17" s="160"/>
      <c r="D17" s="160" t="str">
        <f t="shared" ca="1" si="1"/>
        <v xml:space="preserve"> =B10&lt;=B14</v>
      </c>
      <c r="E17" s="160"/>
      <c r="F17" s="160"/>
      <c r="G17" s="160"/>
    </row>
    <row r="18" spans="1:7" x14ac:dyDescent="0.25">
      <c r="A18" s="35" t="s">
        <v>138</v>
      </c>
      <c r="B18" s="158">
        <f>ROUND(B5*B13,2)</f>
        <v>3.7</v>
      </c>
      <c r="D18" s="160" t="str">
        <f t="shared" ca="1" si="1"/>
        <v xml:space="preserve"> =ROUND(B5*B13,2)</v>
      </c>
    </row>
    <row r="19" spans="1:7" x14ac:dyDescent="0.25">
      <c r="A19" s="35" t="s">
        <v>104</v>
      </c>
      <c r="B19" s="158">
        <f>B5+B6-B18</f>
        <v>181.48000000000002</v>
      </c>
      <c r="D19" s="160" t="str">
        <f t="shared" ca="1" si="1"/>
        <v xml:space="preserve"> =B5+B6-B18</v>
      </c>
      <c r="G19" s="160"/>
    </row>
    <row r="20" spans="1:7" x14ac:dyDescent="0.25">
      <c r="G20" s="160"/>
    </row>
    <row r="21" spans="1:7" x14ac:dyDescent="0.25">
      <c r="A21" s="161" t="s">
        <v>171</v>
      </c>
      <c r="B21" s="162"/>
      <c r="C21" s="162"/>
      <c r="D21" s="162"/>
      <c r="E21" s="163"/>
      <c r="G21" s="160"/>
    </row>
    <row r="22" spans="1:7" x14ac:dyDescent="0.25">
      <c r="A22" s="129" t="s">
        <v>172</v>
      </c>
      <c r="B22" s="159">
        <f>IF(B10&lt;=B12,B11,IF(B10&lt;=B14,B13,0))</f>
        <v>0.02</v>
      </c>
      <c r="C22" s="160"/>
      <c r="D22" s="160" t="str">
        <f t="shared" ref="D22" ca="1" si="2">IF(_xlfn.ISFORMULA(B22)," "&amp;_xlfn.FORMULATEXT(B22),"")</f>
        <v xml:space="preserve"> =IF(B10&lt;=B12,B11,IF(B10&lt;=B14,B13,0))</v>
      </c>
      <c r="E22" s="160"/>
      <c r="F22" s="160"/>
      <c r="G22" s="160"/>
    </row>
    <row r="23" spans="1:7" x14ac:dyDescent="0.25">
      <c r="A23" s="35" t="s">
        <v>138</v>
      </c>
      <c r="B23" s="158">
        <f>ROUND(B5*B22,2)</f>
        <v>3.7</v>
      </c>
      <c r="D23" s="160" t="str">
        <f ca="1">IF(_xlfn.ISFORMULA(B23)," "&amp;_xlfn.FORMULATEXT(B23),"")</f>
        <v xml:space="preserve"> =ROUND(B5*B22,2)</v>
      </c>
      <c r="F23" s="160"/>
      <c r="G23" s="160"/>
    </row>
    <row r="24" spans="1:7" x14ac:dyDescent="0.25">
      <c r="A24" s="35" t="s">
        <v>104</v>
      </c>
      <c r="B24" s="158">
        <f>B5+B6-B23</f>
        <v>181.48000000000002</v>
      </c>
      <c r="D24" s="160" t="str">
        <f ca="1">IF(_xlfn.ISFORMULA(B24)," "&amp;_xlfn.FORMULATEXT(B24),"")</f>
        <v xml:space="preserve"> =B5+B6-B23</v>
      </c>
      <c r="F24" s="160"/>
      <c r="G24" s="160"/>
    </row>
    <row r="25" spans="1:7" x14ac:dyDescent="0.25">
      <c r="A25" s="160"/>
      <c r="B25" s="160"/>
      <c r="C25" s="160"/>
      <c r="D25" s="160"/>
      <c r="E25" s="160"/>
      <c r="F25" s="160"/>
      <c r="G25" s="160"/>
    </row>
  </sheetData>
  <mergeCells count="1">
    <mergeCell ref="A1:E2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16AC5-808F-409F-83C6-FA2774F2DC7D}">
  <sheetPr>
    <tabColor rgb="FF0000FF"/>
  </sheetPr>
  <dimension ref="A1:F3"/>
  <sheetViews>
    <sheetView zoomScale="145" zoomScaleNormal="145" workbookViewId="0">
      <selection activeCell="G1" sqref="G1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ht="15" customHeight="1" x14ac:dyDescent="0.25">
      <c r="A1" s="171" t="s">
        <v>253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06A06-0C62-45D0-A415-1D09BC5AD1F7}">
  <sheetPr>
    <tabColor rgb="FFFF0000"/>
  </sheetPr>
  <dimension ref="A1:F20"/>
  <sheetViews>
    <sheetView zoomScale="145" zoomScaleNormal="145" workbookViewId="0">
      <selection activeCell="C14" sqref="C14"/>
    </sheetView>
  </sheetViews>
  <sheetFormatPr defaultRowHeight="15" x14ac:dyDescent="0.25"/>
  <cols>
    <col min="1" max="1" width="9" bestFit="1" customWidth="1"/>
    <col min="2" max="2" width="39" customWidth="1"/>
    <col min="3" max="3" width="17" customWidth="1"/>
    <col min="4" max="4" width="13.140625" customWidth="1"/>
    <col min="5" max="5" width="15.42578125" customWidth="1"/>
    <col min="6" max="6" width="13.7109375" customWidth="1"/>
    <col min="7" max="8" width="19" customWidth="1"/>
    <col min="9" max="9" width="13" customWidth="1"/>
    <col min="10" max="10" width="19.7109375" customWidth="1"/>
    <col min="11" max="11" width="12.28515625" customWidth="1"/>
    <col min="12" max="12" width="13" customWidth="1"/>
    <col min="13" max="13" width="12.28515625" customWidth="1"/>
    <col min="14" max="14" width="12" customWidth="1"/>
    <col min="15" max="15" width="10.42578125" bestFit="1" customWidth="1"/>
    <col min="16" max="16" width="12.85546875" customWidth="1"/>
  </cols>
  <sheetData>
    <row r="1" spans="1:6" x14ac:dyDescent="0.25">
      <c r="A1" s="171" t="s">
        <v>253</v>
      </c>
      <c r="B1" s="172"/>
      <c r="C1" s="172"/>
      <c r="D1" s="172"/>
      <c r="E1" s="172"/>
      <c r="F1" s="173"/>
    </row>
    <row r="2" spans="1:6" x14ac:dyDescent="0.25">
      <c r="A2" s="174"/>
      <c r="B2" s="175"/>
      <c r="C2" s="175"/>
      <c r="D2" s="175"/>
      <c r="E2" s="175"/>
      <c r="F2" s="176"/>
    </row>
    <row r="3" spans="1:6" x14ac:dyDescent="0.25">
      <c r="A3" s="177"/>
      <c r="B3" s="178"/>
      <c r="C3" s="178"/>
      <c r="D3" s="178"/>
      <c r="E3" s="178"/>
      <c r="F3" s="179"/>
    </row>
    <row r="5" spans="1:6" x14ac:dyDescent="0.25">
      <c r="B5" s="153" t="s">
        <v>206</v>
      </c>
      <c r="C5" s="82">
        <v>2581.08</v>
      </c>
    </row>
    <row r="6" spans="1:6" x14ac:dyDescent="0.25">
      <c r="B6" s="153" t="s">
        <v>215</v>
      </c>
      <c r="C6" s="82">
        <v>155.97999999999999</v>
      </c>
    </row>
    <row r="7" spans="1:6" x14ac:dyDescent="0.25">
      <c r="B7" s="153" t="s">
        <v>92</v>
      </c>
      <c r="C7" s="36">
        <v>43798</v>
      </c>
    </row>
    <row r="8" spans="1:6" x14ac:dyDescent="0.25">
      <c r="B8" s="153" t="s">
        <v>212</v>
      </c>
      <c r="C8" s="36">
        <v>43814</v>
      </c>
    </row>
    <row r="9" spans="1:6" x14ac:dyDescent="0.25">
      <c r="B9" s="153" t="s">
        <v>207</v>
      </c>
      <c r="C9" s="36">
        <v>43833</v>
      </c>
    </row>
    <row r="10" spans="1:6" x14ac:dyDescent="0.25">
      <c r="B10" s="153" t="s">
        <v>205</v>
      </c>
      <c r="C10" s="35" t="s">
        <v>214</v>
      </c>
    </row>
    <row r="11" spans="1:6" x14ac:dyDescent="0.25">
      <c r="B11" s="153" t="s">
        <v>164</v>
      </c>
      <c r="C11" s="35">
        <v>0.02</v>
      </c>
    </row>
    <row r="12" spans="1:6" x14ac:dyDescent="0.25">
      <c r="B12" s="153" t="s">
        <v>216</v>
      </c>
      <c r="C12" s="35">
        <v>20</v>
      </c>
    </row>
    <row r="13" spans="1:6" x14ac:dyDescent="0.25">
      <c r="B13" s="153" t="s">
        <v>210</v>
      </c>
      <c r="C13" s="38">
        <f>C8+C12</f>
        <v>43834</v>
      </c>
      <c r="E13" t="str">
        <f t="shared" ref="E13:E20" ca="1" si="0">IF(_xlfn.ISFORMULA(C13),_xlfn.FORMULATEXT(C13),"")</f>
        <v>=C8+C12</v>
      </c>
    </row>
    <row r="14" spans="1:6" x14ac:dyDescent="0.25">
      <c r="B14" s="153" t="s">
        <v>199</v>
      </c>
      <c r="C14" s="38">
        <f>C13+20</f>
        <v>43854</v>
      </c>
      <c r="E14" t="str">
        <f t="shared" ca="1" si="0"/>
        <v>=C13+20</v>
      </c>
    </row>
    <row r="15" spans="1:6" x14ac:dyDescent="0.25">
      <c r="B15" s="153" t="s">
        <v>166</v>
      </c>
      <c r="C15" s="37">
        <f>C9-C8</f>
        <v>19</v>
      </c>
      <c r="E15" t="str">
        <f t="shared" ca="1" si="0"/>
        <v>=C9-C8</v>
      </c>
    </row>
    <row r="16" spans="1:6" x14ac:dyDescent="0.25">
      <c r="B16" s="153" t="s">
        <v>231</v>
      </c>
      <c r="C16" s="37" t="b">
        <f>C15&lt;=C12</f>
        <v>1</v>
      </c>
      <c r="E16" t="str">
        <f t="shared" ca="1" si="0"/>
        <v>=C15&lt;=C12</v>
      </c>
    </row>
    <row r="17" spans="2:5" x14ac:dyDescent="0.25">
      <c r="B17" s="153" t="s">
        <v>138</v>
      </c>
      <c r="C17" s="37">
        <f>IF(C16,ROUND(C5*C11,2),0)</f>
        <v>51.62</v>
      </c>
      <c r="E17" t="str">
        <f t="shared" ca="1" si="0"/>
        <v>=IF(C16,ROUND(C5*C11,2),0)</v>
      </c>
    </row>
    <row r="18" spans="2:5" x14ac:dyDescent="0.25">
      <c r="B18" s="153" t="s">
        <v>141</v>
      </c>
      <c r="C18" s="151">
        <f>C5+C6-C17</f>
        <v>2685.44</v>
      </c>
      <c r="E18" t="str">
        <f t="shared" ca="1" si="0"/>
        <v>=C5+C6-C17</v>
      </c>
    </row>
    <row r="19" spans="2:5" x14ac:dyDescent="0.25">
      <c r="E19" t="str">
        <f t="shared" ca="1" si="0"/>
        <v/>
      </c>
    </row>
    <row r="20" spans="2:5" x14ac:dyDescent="0.25">
      <c r="B20" s="153" t="s">
        <v>141</v>
      </c>
      <c r="C20" s="151">
        <f>C6+C5-IF(C9-C8&lt;=C12,ROUND(C5*C11,2),0)</f>
        <v>2685.44</v>
      </c>
      <c r="E20" t="str">
        <f t="shared" ca="1" si="0"/>
        <v>=C6+C5-IF(C9-C8&lt;=C12,ROUND(C5*C11,2),0)</v>
      </c>
    </row>
  </sheetData>
  <mergeCells count="1">
    <mergeCell ref="A1:F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7221-5DB6-4DF0-806D-D77FDA0B15AB}">
  <sheetPr>
    <tabColor rgb="FFFFFF00"/>
  </sheetPr>
  <dimension ref="C1:M172"/>
  <sheetViews>
    <sheetView showGridLines="0" zoomScale="175" zoomScaleNormal="175" workbookViewId="0">
      <selection activeCell="D17" sqref="D17"/>
    </sheetView>
  </sheetViews>
  <sheetFormatPr defaultColWidth="8.85546875" defaultRowHeight="12.75" x14ac:dyDescent="0.2"/>
  <cols>
    <col min="1" max="1" width="4.5703125" style="48" customWidth="1"/>
    <col min="2" max="2" width="22.7109375" style="48" customWidth="1"/>
    <col min="3" max="3" width="16.5703125" style="48" customWidth="1"/>
    <col min="4" max="4" width="14.140625" style="48" customWidth="1"/>
    <col min="5" max="5" width="13" style="48" customWidth="1"/>
    <col min="6" max="6" width="13.140625" style="48" bestFit="1" customWidth="1"/>
    <col min="7" max="7" width="22.7109375" style="48" customWidth="1"/>
    <col min="8" max="8" width="4.5703125" style="48" customWidth="1"/>
    <col min="9" max="9" width="9.140625" style="48" customWidth="1"/>
    <col min="10" max="11" width="11.7109375" style="48" customWidth="1"/>
    <col min="12" max="12" width="9.140625" style="48"/>
    <col min="13" max="13" width="30.7109375" style="48" customWidth="1"/>
    <col min="14" max="16384" width="8.85546875" style="48"/>
  </cols>
  <sheetData>
    <row r="1" spans="3:13" ht="13.5" thickBot="1" x14ac:dyDescent="0.25"/>
    <row r="2" spans="3:13" customFormat="1" ht="15" x14ac:dyDescent="0.25">
      <c r="C2" s="49" t="s">
        <v>89</v>
      </c>
      <c r="D2" s="50"/>
      <c r="E2" s="50"/>
      <c r="F2" s="51"/>
      <c r="H2" s="48"/>
      <c r="I2" s="48"/>
      <c r="J2" s="48"/>
      <c r="K2" s="48"/>
      <c r="L2" s="48"/>
      <c r="M2" s="48"/>
    </row>
    <row r="3" spans="3:13" ht="15.75" thickBot="1" x14ac:dyDescent="0.3">
      <c r="C3" s="84"/>
      <c r="D3" s="52" t="s">
        <v>125</v>
      </c>
      <c r="E3" s="52"/>
      <c r="F3" s="53"/>
      <c r="G3"/>
    </row>
    <row r="4" spans="3:13" ht="15" x14ac:dyDescent="0.25">
      <c r="C4" s="55"/>
      <c r="D4" s="56"/>
      <c r="E4" s="56"/>
      <c r="F4" s="57"/>
      <c r="G4"/>
    </row>
    <row r="5" spans="3:13" ht="15" x14ac:dyDescent="0.25">
      <c r="C5" s="58" t="s">
        <v>90</v>
      </c>
      <c r="D5" s="59"/>
      <c r="E5" s="60" t="s">
        <v>91</v>
      </c>
      <c r="F5" s="61">
        <v>1255</v>
      </c>
      <c r="G5"/>
    </row>
    <row r="6" spans="3:13" ht="15" x14ac:dyDescent="0.25">
      <c r="C6" s="63" t="s">
        <v>93</v>
      </c>
      <c r="D6" s="64"/>
      <c r="E6" s="60" t="s">
        <v>10</v>
      </c>
      <c r="F6" s="65">
        <v>43150</v>
      </c>
      <c r="G6"/>
    </row>
    <row r="7" spans="3:13" ht="15" x14ac:dyDescent="0.25">
      <c r="C7" s="63" t="s">
        <v>94</v>
      </c>
      <c r="D7" s="66"/>
      <c r="E7" s="67"/>
      <c r="F7" s="68"/>
      <c r="G7"/>
    </row>
    <row r="8" spans="3:13" ht="15" x14ac:dyDescent="0.25">
      <c r="C8" s="70" t="s">
        <v>95</v>
      </c>
      <c r="D8" s="66"/>
      <c r="E8" s="66"/>
      <c r="F8" s="71"/>
      <c r="G8"/>
    </row>
    <row r="9" spans="3:13" ht="15" x14ac:dyDescent="0.25">
      <c r="C9" s="83"/>
      <c r="D9" s="72"/>
      <c r="E9" s="73"/>
      <c r="F9" s="74"/>
      <c r="G9"/>
    </row>
    <row r="10" spans="3:13" ht="15" x14ac:dyDescent="0.25">
      <c r="C10" s="58" t="s">
        <v>97</v>
      </c>
      <c r="D10" s="60" t="s">
        <v>98</v>
      </c>
      <c r="E10" s="60" t="s">
        <v>99</v>
      </c>
      <c r="F10" s="75" t="s">
        <v>100</v>
      </c>
      <c r="G10"/>
    </row>
    <row r="11" spans="3:13" ht="15" x14ac:dyDescent="0.25">
      <c r="C11" s="76" t="s">
        <v>101</v>
      </c>
      <c r="D11" s="54">
        <v>15</v>
      </c>
      <c r="E11" s="138">
        <f>IF(C11="","",VLOOKUP(C11,$H$51:$L$65,5,0))</f>
        <v>25.62</v>
      </c>
      <c r="F11" s="139">
        <f>IF(E11="","",ROUND(E11*D11,2))</f>
        <v>384.3</v>
      </c>
      <c r="G11"/>
      <c r="H11"/>
      <c r="I11"/>
      <c r="J11"/>
      <c r="K11"/>
    </row>
    <row r="12" spans="3:13" ht="15" x14ac:dyDescent="0.25">
      <c r="C12" s="76" t="s">
        <v>113</v>
      </c>
      <c r="D12" s="54">
        <v>10</v>
      </c>
      <c r="E12" s="136">
        <f>IF(C12="","",VLOOKUP(C12,$H$51:$L$65,5,0))</f>
        <v>10.58</v>
      </c>
      <c r="F12" s="137">
        <f>IF(E12="","",ROUND(E12*D12,2))</f>
        <v>105.8</v>
      </c>
      <c r="G12"/>
      <c r="H12"/>
      <c r="I12"/>
      <c r="J12"/>
      <c r="K12"/>
    </row>
    <row r="13" spans="3:13" ht="15" x14ac:dyDescent="0.25">
      <c r="C13" s="76" t="s">
        <v>105</v>
      </c>
      <c r="D13" s="54">
        <v>25</v>
      </c>
      <c r="E13" s="136">
        <f>IF(C13="","",VLOOKUP(C13,$H$51:$L$65,5,0))</f>
        <v>13.72</v>
      </c>
      <c r="F13" s="137">
        <f>IF(E13="","",ROUND(E13*D13,2))</f>
        <v>343</v>
      </c>
      <c r="G13"/>
      <c r="H13"/>
      <c r="I13"/>
      <c r="J13"/>
      <c r="K13"/>
    </row>
    <row r="14" spans="3:13" ht="15" x14ac:dyDescent="0.25">
      <c r="C14" s="76"/>
      <c r="D14" s="54"/>
      <c r="E14" s="136" t="str">
        <f>IF(C14="","",VLOOKUP(C14,$H$51:$L$65,5,0))</f>
        <v/>
      </c>
      <c r="F14" s="137" t="str">
        <f>IF(E14="","",ROUND(E14*D14,2))</f>
        <v/>
      </c>
      <c r="G14"/>
      <c r="H14"/>
      <c r="I14"/>
      <c r="J14"/>
      <c r="K14"/>
    </row>
    <row r="15" spans="3:13" ht="15" x14ac:dyDescent="0.25">
      <c r="C15" s="76"/>
      <c r="D15" s="54"/>
      <c r="E15" s="136" t="str">
        <f>IF(C15="","",VLOOKUP(C15,$H$51:$L$65,5,0))</f>
        <v/>
      </c>
      <c r="F15" s="137" t="str">
        <f>IF(E15="","",ROUND(E15*D15,2))</f>
        <v/>
      </c>
      <c r="G15"/>
      <c r="H15"/>
      <c r="I15"/>
      <c r="J15"/>
      <c r="K15"/>
    </row>
    <row r="16" spans="3:13" ht="15" x14ac:dyDescent="0.25">
      <c r="C16" s="85"/>
      <c r="E16" s="60" t="s">
        <v>106</v>
      </c>
      <c r="F16" s="140">
        <f>SUM(F11:F15)</f>
        <v>833.1</v>
      </c>
      <c r="G16"/>
      <c r="H16"/>
      <c r="I16"/>
      <c r="J16"/>
      <c r="K16"/>
    </row>
    <row r="17" spans="3:11" ht="15" x14ac:dyDescent="0.25">
      <c r="C17" s="77" t="s">
        <v>107</v>
      </c>
      <c r="D17" s="54" t="s">
        <v>108</v>
      </c>
      <c r="E17" s="60" t="s">
        <v>102</v>
      </c>
      <c r="F17" s="141">
        <v>15</v>
      </c>
      <c r="G17"/>
      <c r="H17"/>
      <c r="I17"/>
      <c r="J17"/>
      <c r="K17"/>
    </row>
    <row r="18" spans="3:11" ht="15.75" thickBot="1" x14ac:dyDescent="0.3">
      <c r="C18" s="78" t="s">
        <v>109</v>
      </c>
      <c r="D18" s="79" t="s">
        <v>110</v>
      </c>
      <c r="E18" s="80" t="s">
        <v>111</v>
      </c>
      <c r="F18" s="142">
        <f>SUM(F16:F17)</f>
        <v>848.1</v>
      </c>
    </row>
    <row r="19" spans="3:11" ht="15" x14ac:dyDescent="0.25">
      <c r="C19"/>
      <c r="D19"/>
      <c r="E19"/>
      <c r="F19"/>
    </row>
    <row r="20" spans="3:11" ht="15" x14ac:dyDescent="0.25">
      <c r="C20"/>
      <c r="D20"/>
      <c r="E20"/>
      <c r="F20"/>
    </row>
    <row r="21" spans="3:11" ht="15" x14ac:dyDescent="0.25">
      <c r="C21"/>
      <c r="D21"/>
      <c r="E21"/>
      <c r="F21"/>
    </row>
    <row r="22" spans="3:11" ht="15" x14ac:dyDescent="0.25">
      <c r="C22"/>
      <c r="D22"/>
      <c r="E22"/>
      <c r="F22"/>
    </row>
    <row r="23" spans="3:11" ht="15" x14ac:dyDescent="0.25">
      <c r="C23"/>
      <c r="D23"/>
      <c r="E23"/>
      <c r="F23"/>
    </row>
    <row r="24" spans="3:11" ht="15" x14ac:dyDescent="0.25">
      <c r="C24"/>
      <c r="D24"/>
      <c r="E24"/>
      <c r="F24"/>
    </row>
    <row r="25" spans="3:11" ht="15" x14ac:dyDescent="0.25">
      <c r="C25"/>
      <c r="D25"/>
      <c r="E25"/>
      <c r="F25"/>
    </row>
    <row r="26" spans="3:11" ht="15" x14ac:dyDescent="0.25">
      <c r="C26"/>
      <c r="D26"/>
      <c r="E26"/>
      <c r="F26"/>
    </row>
    <row r="27" spans="3:11" ht="15" x14ac:dyDescent="0.25">
      <c r="C27"/>
      <c r="D27"/>
      <c r="E27"/>
      <c r="F27"/>
    </row>
    <row r="28" spans="3:11" ht="15" x14ac:dyDescent="0.25">
      <c r="C28"/>
      <c r="D28"/>
      <c r="E28"/>
      <c r="F28"/>
    </row>
    <row r="29" spans="3:11" ht="15" x14ac:dyDescent="0.25">
      <c r="C29"/>
      <c r="D29"/>
      <c r="E29"/>
      <c r="F29"/>
    </row>
    <row r="30" spans="3:11" ht="15" x14ac:dyDescent="0.25">
      <c r="C30"/>
      <c r="D30"/>
      <c r="E30"/>
      <c r="F30"/>
    </row>
    <row r="31" spans="3:11" ht="15" x14ac:dyDescent="0.25">
      <c r="C31"/>
      <c r="D31"/>
      <c r="E31"/>
      <c r="F31"/>
    </row>
    <row r="32" spans="3:11" ht="15" x14ac:dyDescent="0.25">
      <c r="C32"/>
      <c r="D32"/>
      <c r="E32"/>
      <c r="F32"/>
    </row>
    <row r="33" spans="3:6" ht="15" x14ac:dyDescent="0.25">
      <c r="C33"/>
      <c r="D33"/>
      <c r="E33"/>
      <c r="F33"/>
    </row>
    <row r="34" spans="3:6" ht="15" x14ac:dyDescent="0.25">
      <c r="C34"/>
      <c r="D34"/>
      <c r="E34"/>
      <c r="F34"/>
    </row>
    <row r="35" spans="3:6" ht="15" x14ac:dyDescent="0.25">
      <c r="C35"/>
      <c r="D35"/>
      <c r="E35"/>
      <c r="F35"/>
    </row>
    <row r="36" spans="3:6" ht="15" x14ac:dyDescent="0.25">
      <c r="C36"/>
      <c r="D36"/>
      <c r="E36"/>
      <c r="F36"/>
    </row>
    <row r="37" spans="3:6" ht="15" x14ac:dyDescent="0.25">
      <c r="C37"/>
      <c r="D37"/>
      <c r="E37"/>
      <c r="F37"/>
    </row>
    <row r="38" spans="3:6" ht="15" x14ac:dyDescent="0.25">
      <c r="C38"/>
      <c r="D38"/>
      <c r="E38"/>
      <c r="F38"/>
    </row>
    <row r="39" spans="3:6" ht="15" x14ac:dyDescent="0.25">
      <c r="C39"/>
      <c r="D39"/>
      <c r="E39"/>
      <c r="F39"/>
    </row>
    <row r="40" spans="3:6" ht="15" x14ac:dyDescent="0.25">
      <c r="C40"/>
      <c r="D40"/>
      <c r="E40"/>
      <c r="F40"/>
    </row>
    <row r="41" spans="3:6" ht="15" x14ac:dyDescent="0.25">
      <c r="C41"/>
      <c r="D41"/>
      <c r="E41"/>
      <c r="F41"/>
    </row>
    <row r="42" spans="3:6" ht="15" x14ac:dyDescent="0.25">
      <c r="C42"/>
      <c r="D42"/>
      <c r="E42"/>
      <c r="F42"/>
    </row>
    <row r="43" spans="3:6" ht="15" x14ac:dyDescent="0.25">
      <c r="C43"/>
      <c r="D43"/>
      <c r="E43"/>
      <c r="F43"/>
    </row>
    <row r="44" spans="3:6" ht="15" x14ac:dyDescent="0.25">
      <c r="C44"/>
      <c r="D44"/>
      <c r="E44"/>
      <c r="F44"/>
    </row>
    <row r="45" spans="3:6" ht="15" x14ac:dyDescent="0.25">
      <c r="C45"/>
      <c r="D45"/>
      <c r="E45"/>
      <c r="F45"/>
    </row>
    <row r="46" spans="3:6" ht="15" x14ac:dyDescent="0.25">
      <c r="C46"/>
      <c r="D46"/>
      <c r="E46"/>
      <c r="F46"/>
    </row>
    <row r="47" spans="3:6" ht="15" x14ac:dyDescent="0.25">
      <c r="C47"/>
      <c r="D47"/>
      <c r="E47"/>
      <c r="F47"/>
    </row>
    <row r="48" spans="3:6" ht="15" x14ac:dyDescent="0.25">
      <c r="C48"/>
      <c r="D48"/>
      <c r="E48"/>
      <c r="F48"/>
    </row>
    <row r="49" spans="3:12" ht="15" x14ac:dyDescent="0.25">
      <c r="C49"/>
      <c r="D49"/>
      <c r="E49"/>
      <c r="F49"/>
    </row>
    <row r="50" spans="3:12" ht="45" x14ac:dyDescent="0.25">
      <c r="C50"/>
      <c r="D50"/>
      <c r="E50"/>
      <c r="F50"/>
      <c r="H50" s="81" t="s">
        <v>126</v>
      </c>
      <c r="I50" s="81" t="s">
        <v>127</v>
      </c>
      <c r="J50" s="81" t="s">
        <v>128</v>
      </c>
      <c r="K50" s="81" t="s">
        <v>129</v>
      </c>
      <c r="L50" s="81" t="s">
        <v>112</v>
      </c>
    </row>
    <row r="51" spans="3:12" ht="15.75" thickBot="1" x14ac:dyDescent="0.3">
      <c r="C51"/>
      <c r="D51"/>
      <c r="E51"/>
      <c r="F51"/>
      <c r="H51" s="86" t="s">
        <v>101</v>
      </c>
      <c r="I51" s="86"/>
      <c r="J51" s="87">
        <v>44.95</v>
      </c>
      <c r="K51" s="88">
        <v>0.43</v>
      </c>
      <c r="L51" s="101">
        <f t="shared" ref="L51:L65" si="0">ROUND(J51*(1-K51),2)</f>
        <v>25.62</v>
      </c>
    </row>
    <row r="52" spans="3:12" ht="15.75" thickBot="1" x14ac:dyDescent="0.3">
      <c r="C52"/>
      <c r="D52"/>
      <c r="E52"/>
      <c r="F52"/>
      <c r="H52" s="89" t="s">
        <v>105</v>
      </c>
      <c r="I52" s="90"/>
      <c r="J52" s="91">
        <v>24.95</v>
      </c>
      <c r="K52" s="92">
        <v>0.45</v>
      </c>
      <c r="L52" s="102">
        <f t="shared" si="0"/>
        <v>13.72</v>
      </c>
    </row>
    <row r="53" spans="3:12" ht="15" x14ac:dyDescent="0.25">
      <c r="C53"/>
      <c r="D53"/>
      <c r="E53"/>
      <c r="F53"/>
      <c r="H53" s="93" t="s">
        <v>113</v>
      </c>
      <c r="I53" s="93"/>
      <c r="J53" s="94">
        <v>23.5</v>
      </c>
      <c r="K53" s="95">
        <v>0.55000000000000004</v>
      </c>
      <c r="L53" s="103">
        <f t="shared" si="0"/>
        <v>10.58</v>
      </c>
    </row>
    <row r="54" spans="3:12" ht="15" x14ac:dyDescent="0.25">
      <c r="C54"/>
      <c r="D54"/>
      <c r="E54"/>
      <c r="F54"/>
      <c r="H54" s="96" t="s">
        <v>114</v>
      </c>
      <c r="I54" s="96"/>
      <c r="J54" s="82">
        <v>79.95</v>
      </c>
      <c r="K54" s="97">
        <v>0.48</v>
      </c>
      <c r="L54" s="35">
        <f t="shared" si="0"/>
        <v>41.57</v>
      </c>
    </row>
    <row r="55" spans="3:12" ht="15" x14ac:dyDescent="0.25">
      <c r="C55"/>
      <c r="D55"/>
      <c r="E55"/>
      <c r="F55"/>
      <c r="H55" s="98" t="s">
        <v>103</v>
      </c>
      <c r="I55" s="98"/>
      <c r="J55" s="99">
        <v>31.95</v>
      </c>
      <c r="K55" s="100">
        <v>0.54</v>
      </c>
      <c r="L55" s="104">
        <f t="shared" si="0"/>
        <v>14.7</v>
      </c>
    </row>
    <row r="56" spans="3:12" ht="15" x14ac:dyDescent="0.25">
      <c r="C56"/>
      <c r="D56"/>
      <c r="E56"/>
      <c r="F56"/>
      <c r="H56" s="96" t="s">
        <v>115</v>
      </c>
      <c r="I56" s="96"/>
      <c r="J56" s="82">
        <v>19.989999999999998</v>
      </c>
      <c r="K56" s="97">
        <v>0.6</v>
      </c>
      <c r="L56" s="35">
        <f t="shared" si="0"/>
        <v>8</v>
      </c>
    </row>
    <row r="57" spans="3:12" ht="15" x14ac:dyDescent="0.25">
      <c r="C57"/>
      <c r="D57"/>
      <c r="E57"/>
      <c r="F57"/>
      <c r="H57" s="98" t="s">
        <v>116</v>
      </c>
      <c r="I57" s="98"/>
      <c r="J57" s="99">
        <v>23</v>
      </c>
      <c r="K57" s="100">
        <v>0.5</v>
      </c>
      <c r="L57" s="104">
        <f t="shared" si="0"/>
        <v>11.5</v>
      </c>
    </row>
    <row r="58" spans="3:12" ht="15" x14ac:dyDescent="0.25">
      <c r="C58"/>
      <c r="D58"/>
      <c r="E58"/>
      <c r="F58"/>
      <c r="H58" s="96" t="s">
        <v>117</v>
      </c>
      <c r="I58" s="96"/>
      <c r="J58" s="82">
        <v>23.5</v>
      </c>
      <c r="K58" s="97">
        <v>0.5</v>
      </c>
      <c r="L58" s="35">
        <f t="shared" si="0"/>
        <v>11.75</v>
      </c>
    </row>
    <row r="59" spans="3:12" ht="15" x14ac:dyDescent="0.25">
      <c r="C59"/>
      <c r="D59"/>
      <c r="E59"/>
      <c r="F59"/>
      <c r="H59" s="98" t="s">
        <v>118</v>
      </c>
      <c r="I59" s="98"/>
      <c r="J59" s="99">
        <v>26.95</v>
      </c>
      <c r="K59" s="100">
        <v>0.46</v>
      </c>
      <c r="L59" s="104">
        <f t="shared" si="0"/>
        <v>14.55</v>
      </c>
    </row>
    <row r="60" spans="3:12" ht="15" x14ac:dyDescent="0.25">
      <c r="C60"/>
      <c r="D60"/>
      <c r="E60"/>
      <c r="F60"/>
      <c r="H60" s="96" t="s">
        <v>119</v>
      </c>
      <c r="I60" s="96"/>
      <c r="J60" s="82">
        <v>30.95</v>
      </c>
      <c r="K60" s="97">
        <v>0.41</v>
      </c>
      <c r="L60" s="35">
        <f t="shared" si="0"/>
        <v>18.260000000000002</v>
      </c>
    </row>
    <row r="61" spans="3:12" ht="15" x14ac:dyDescent="0.25">
      <c r="C61"/>
      <c r="D61"/>
      <c r="E61"/>
      <c r="F61"/>
      <c r="H61" s="98" t="s">
        <v>120</v>
      </c>
      <c r="I61" s="98"/>
      <c r="J61" s="99">
        <v>29.95</v>
      </c>
      <c r="K61" s="100">
        <v>0.53</v>
      </c>
      <c r="L61" s="104">
        <f t="shared" si="0"/>
        <v>14.08</v>
      </c>
    </row>
    <row r="62" spans="3:12" ht="15" x14ac:dyDescent="0.25">
      <c r="C62"/>
      <c r="D62"/>
      <c r="E62"/>
      <c r="F62"/>
      <c r="H62" s="96" t="s">
        <v>121</v>
      </c>
      <c r="I62" s="96"/>
      <c r="J62" s="82">
        <v>32.25</v>
      </c>
      <c r="K62" s="97">
        <v>0.53</v>
      </c>
      <c r="L62" s="35">
        <f t="shared" si="0"/>
        <v>15.16</v>
      </c>
    </row>
    <row r="63" spans="3:12" ht="15" x14ac:dyDescent="0.25">
      <c r="C63"/>
      <c r="D63"/>
      <c r="E63"/>
      <c r="F63"/>
      <c r="H63" s="98" t="s">
        <v>122</v>
      </c>
      <c r="I63" s="98"/>
      <c r="J63" s="99">
        <v>23.5</v>
      </c>
      <c r="K63" s="100">
        <v>0.4</v>
      </c>
      <c r="L63" s="104">
        <f t="shared" si="0"/>
        <v>14.1</v>
      </c>
    </row>
    <row r="64" spans="3:12" ht="15" x14ac:dyDescent="0.25">
      <c r="C64"/>
      <c r="D64"/>
      <c r="E64"/>
      <c r="F64"/>
      <c r="H64" s="96" t="s">
        <v>123</v>
      </c>
      <c r="I64" s="96"/>
      <c r="J64" s="82">
        <v>55.5</v>
      </c>
      <c r="K64" s="97">
        <v>0.56000000000000005</v>
      </c>
      <c r="L64" s="35">
        <f t="shared" si="0"/>
        <v>24.42</v>
      </c>
    </row>
    <row r="65" spans="3:12" ht="15" x14ac:dyDescent="0.25">
      <c r="C65"/>
      <c r="D65"/>
      <c r="E65"/>
      <c r="F65"/>
      <c r="H65" s="98" t="s">
        <v>124</v>
      </c>
      <c r="I65" s="98"/>
      <c r="J65" s="99">
        <v>43.25</v>
      </c>
      <c r="K65" s="100">
        <v>0.47</v>
      </c>
      <c r="L65" s="104">
        <f t="shared" si="0"/>
        <v>22.92</v>
      </c>
    </row>
    <row r="66" spans="3:12" ht="15" x14ac:dyDescent="0.25">
      <c r="C66"/>
      <c r="D66"/>
      <c r="E66"/>
      <c r="F66"/>
    </row>
    <row r="67" spans="3:12" ht="15" x14ac:dyDescent="0.25">
      <c r="C67"/>
      <c r="D67"/>
      <c r="E67"/>
      <c r="F67"/>
    </row>
    <row r="68" spans="3:12" ht="15" x14ac:dyDescent="0.25">
      <c r="C68"/>
      <c r="D68"/>
      <c r="E68"/>
      <c r="F68"/>
    </row>
    <row r="69" spans="3:12" ht="15" x14ac:dyDescent="0.25">
      <c r="C69"/>
      <c r="D69"/>
      <c r="E69"/>
      <c r="F69"/>
    </row>
    <row r="70" spans="3:12" ht="15" x14ac:dyDescent="0.25">
      <c r="C70"/>
      <c r="D70"/>
      <c r="E70"/>
      <c r="F70"/>
    </row>
    <row r="71" spans="3:12" ht="15" x14ac:dyDescent="0.25">
      <c r="C71"/>
      <c r="D71"/>
      <c r="E71"/>
      <c r="F71"/>
    </row>
    <row r="72" spans="3:12" ht="15" x14ac:dyDescent="0.25">
      <c r="C72"/>
      <c r="D72"/>
      <c r="E72"/>
      <c r="F72"/>
    </row>
    <row r="73" spans="3:12" ht="15" x14ac:dyDescent="0.25">
      <c r="C73"/>
      <c r="D73"/>
      <c r="E73"/>
      <c r="F73"/>
    </row>
    <row r="74" spans="3:12" ht="15" x14ac:dyDescent="0.25">
      <c r="C74"/>
      <c r="D74"/>
      <c r="E74"/>
      <c r="F74"/>
    </row>
    <row r="75" spans="3:12" ht="15" x14ac:dyDescent="0.25">
      <c r="C75"/>
      <c r="D75"/>
      <c r="E75"/>
      <c r="F75"/>
    </row>
    <row r="76" spans="3:12" ht="15" x14ac:dyDescent="0.25">
      <c r="C76"/>
      <c r="D76"/>
      <c r="E76"/>
      <c r="F76"/>
    </row>
    <row r="77" spans="3:12" ht="15" x14ac:dyDescent="0.25">
      <c r="C77"/>
      <c r="D77"/>
      <c r="E77"/>
      <c r="F77"/>
    </row>
    <row r="78" spans="3:12" ht="15" x14ac:dyDescent="0.25">
      <c r="C78"/>
      <c r="D78"/>
      <c r="E78"/>
      <c r="F78"/>
    </row>
    <row r="79" spans="3:12" ht="15" x14ac:dyDescent="0.25">
      <c r="C79"/>
      <c r="D79"/>
      <c r="E79"/>
      <c r="F79"/>
    </row>
    <row r="80" spans="3:12" ht="15" x14ac:dyDescent="0.25">
      <c r="C80"/>
      <c r="D80"/>
      <c r="E80"/>
      <c r="F80"/>
    </row>
    <row r="81" spans="3:6" ht="15" x14ac:dyDescent="0.25">
      <c r="C81"/>
      <c r="D81"/>
      <c r="E81"/>
      <c r="F81"/>
    </row>
    <row r="82" spans="3:6" ht="15" x14ac:dyDescent="0.25">
      <c r="C82"/>
      <c r="D82"/>
      <c r="E82"/>
      <c r="F82"/>
    </row>
    <row r="83" spans="3:6" ht="15" x14ac:dyDescent="0.25">
      <c r="C83"/>
      <c r="D83"/>
      <c r="E83"/>
      <c r="F83"/>
    </row>
    <row r="84" spans="3:6" ht="15" x14ac:dyDescent="0.25">
      <c r="C84"/>
      <c r="D84"/>
      <c r="E84"/>
      <c r="F84"/>
    </row>
    <row r="85" spans="3:6" ht="15" x14ac:dyDescent="0.25">
      <c r="C85"/>
      <c r="D85"/>
      <c r="E85"/>
      <c r="F85"/>
    </row>
    <row r="86" spans="3:6" ht="15" x14ac:dyDescent="0.25">
      <c r="C86"/>
      <c r="D86"/>
      <c r="E86"/>
      <c r="F86"/>
    </row>
    <row r="87" spans="3:6" ht="15" x14ac:dyDescent="0.25">
      <c r="C87"/>
      <c r="D87"/>
      <c r="E87"/>
      <c r="F87"/>
    </row>
    <row r="88" spans="3:6" ht="15" x14ac:dyDescent="0.25">
      <c r="C88"/>
      <c r="D88"/>
      <c r="E88"/>
      <c r="F88"/>
    </row>
    <row r="89" spans="3:6" ht="15" x14ac:dyDescent="0.25">
      <c r="C89"/>
      <c r="D89"/>
      <c r="E89"/>
      <c r="F89"/>
    </row>
    <row r="90" spans="3:6" ht="15" x14ac:dyDescent="0.25">
      <c r="C90"/>
      <c r="D90"/>
      <c r="E90"/>
      <c r="F90"/>
    </row>
    <row r="91" spans="3:6" ht="15" x14ac:dyDescent="0.25">
      <c r="C91"/>
      <c r="D91"/>
      <c r="E91"/>
      <c r="F91"/>
    </row>
    <row r="92" spans="3:6" ht="15" x14ac:dyDescent="0.25">
      <c r="C92"/>
      <c r="D92"/>
      <c r="E92"/>
      <c r="F92"/>
    </row>
    <row r="93" spans="3:6" ht="15" x14ac:dyDescent="0.25">
      <c r="C93"/>
      <c r="D93"/>
      <c r="E93"/>
      <c r="F93"/>
    </row>
    <row r="94" spans="3:6" ht="15" x14ac:dyDescent="0.25">
      <c r="C94"/>
      <c r="D94"/>
      <c r="E94"/>
      <c r="F94"/>
    </row>
    <row r="95" spans="3:6" ht="15" x14ac:dyDescent="0.25">
      <c r="C95"/>
      <c r="D95"/>
      <c r="E95"/>
      <c r="F95"/>
    </row>
    <row r="96" spans="3:6" ht="15" x14ac:dyDescent="0.25">
      <c r="C96"/>
      <c r="D96"/>
      <c r="E96"/>
      <c r="F96"/>
    </row>
    <row r="97" spans="3:6" ht="15" x14ac:dyDescent="0.25">
      <c r="C97"/>
      <c r="D97"/>
      <c r="E97"/>
      <c r="F97"/>
    </row>
    <row r="98" spans="3:6" ht="15" x14ac:dyDescent="0.25">
      <c r="C98"/>
      <c r="D98"/>
      <c r="E98"/>
      <c r="F98"/>
    </row>
    <row r="99" spans="3:6" ht="15" x14ac:dyDescent="0.25">
      <c r="C99"/>
      <c r="D99"/>
      <c r="E99"/>
      <c r="F99"/>
    </row>
    <row r="100" spans="3:6" ht="15" x14ac:dyDescent="0.25">
      <c r="C100"/>
      <c r="D100"/>
      <c r="E100"/>
      <c r="F100"/>
    </row>
    <row r="101" spans="3:6" ht="15" x14ac:dyDescent="0.25">
      <c r="C101"/>
      <c r="D101"/>
      <c r="E101"/>
      <c r="F101"/>
    </row>
    <row r="102" spans="3:6" ht="15" x14ac:dyDescent="0.25">
      <c r="C102"/>
      <c r="D102"/>
      <c r="E102"/>
      <c r="F102"/>
    </row>
    <row r="103" spans="3:6" ht="15" x14ac:dyDescent="0.25">
      <c r="C103"/>
      <c r="D103"/>
      <c r="E103"/>
      <c r="F103"/>
    </row>
    <row r="104" spans="3:6" ht="15" x14ac:dyDescent="0.25">
      <c r="C104"/>
      <c r="D104"/>
      <c r="E104"/>
      <c r="F104"/>
    </row>
    <row r="105" spans="3:6" ht="15" x14ac:dyDescent="0.25">
      <c r="C105"/>
      <c r="D105"/>
      <c r="E105"/>
      <c r="F105"/>
    </row>
    <row r="106" spans="3:6" ht="15" x14ac:dyDescent="0.25">
      <c r="C106"/>
      <c r="D106"/>
      <c r="E106"/>
      <c r="F106"/>
    </row>
    <row r="107" spans="3:6" ht="15" x14ac:dyDescent="0.25">
      <c r="C107"/>
      <c r="D107"/>
      <c r="E107"/>
      <c r="F107"/>
    </row>
    <row r="108" spans="3:6" ht="15" x14ac:dyDescent="0.25">
      <c r="C108"/>
      <c r="D108"/>
      <c r="E108"/>
      <c r="F108"/>
    </row>
    <row r="109" spans="3:6" ht="15" x14ac:dyDescent="0.25">
      <c r="C109"/>
      <c r="D109"/>
      <c r="E109"/>
      <c r="F109"/>
    </row>
    <row r="110" spans="3:6" ht="15" x14ac:dyDescent="0.25">
      <c r="C110"/>
      <c r="D110"/>
      <c r="E110"/>
      <c r="F110"/>
    </row>
    <row r="111" spans="3:6" ht="15" x14ac:dyDescent="0.25">
      <c r="C111"/>
      <c r="D111"/>
      <c r="E111"/>
      <c r="F111"/>
    </row>
    <row r="112" spans="3:6" ht="15" x14ac:dyDescent="0.25">
      <c r="C112"/>
      <c r="D112"/>
      <c r="E112"/>
      <c r="F112"/>
    </row>
    <row r="113" spans="3:6" ht="15" x14ac:dyDescent="0.25">
      <c r="C113"/>
      <c r="D113"/>
      <c r="E113"/>
      <c r="F113"/>
    </row>
    <row r="114" spans="3:6" ht="15" x14ac:dyDescent="0.25">
      <c r="C114"/>
      <c r="D114"/>
      <c r="E114"/>
      <c r="F114"/>
    </row>
    <row r="115" spans="3:6" ht="15" x14ac:dyDescent="0.25">
      <c r="C115"/>
      <c r="D115"/>
      <c r="E115"/>
      <c r="F115"/>
    </row>
    <row r="116" spans="3:6" ht="15" x14ac:dyDescent="0.25">
      <c r="C116"/>
      <c r="D116"/>
      <c r="E116"/>
      <c r="F116"/>
    </row>
    <row r="117" spans="3:6" ht="15" x14ac:dyDescent="0.25">
      <c r="C117"/>
      <c r="D117"/>
      <c r="E117"/>
      <c r="F117"/>
    </row>
    <row r="118" spans="3:6" ht="15" x14ac:dyDescent="0.25">
      <c r="C118"/>
      <c r="D118"/>
      <c r="E118"/>
      <c r="F118"/>
    </row>
    <row r="119" spans="3:6" ht="15" x14ac:dyDescent="0.25">
      <c r="C119"/>
      <c r="D119"/>
      <c r="E119"/>
      <c r="F119"/>
    </row>
    <row r="120" spans="3:6" ht="15" x14ac:dyDescent="0.25">
      <c r="C120"/>
      <c r="D120"/>
      <c r="E120"/>
      <c r="F120"/>
    </row>
    <row r="121" spans="3:6" ht="15" x14ac:dyDescent="0.25">
      <c r="C121"/>
      <c r="D121"/>
      <c r="E121"/>
      <c r="F121"/>
    </row>
    <row r="122" spans="3:6" ht="15" x14ac:dyDescent="0.25">
      <c r="C122"/>
      <c r="D122"/>
      <c r="E122"/>
      <c r="F122"/>
    </row>
    <row r="123" spans="3:6" ht="15" x14ac:dyDescent="0.25">
      <c r="C123"/>
      <c r="D123"/>
      <c r="E123"/>
      <c r="F123"/>
    </row>
    <row r="124" spans="3:6" ht="15" x14ac:dyDescent="0.25">
      <c r="C124"/>
      <c r="D124"/>
      <c r="E124"/>
      <c r="F124"/>
    </row>
    <row r="125" spans="3:6" ht="15" x14ac:dyDescent="0.25">
      <c r="C125"/>
      <c r="D125"/>
      <c r="E125"/>
      <c r="F125"/>
    </row>
    <row r="126" spans="3:6" ht="15" x14ac:dyDescent="0.25">
      <c r="C126"/>
      <c r="D126"/>
      <c r="E126"/>
      <c r="F126"/>
    </row>
    <row r="127" spans="3:6" ht="15" x14ac:dyDescent="0.25">
      <c r="C127"/>
      <c r="D127"/>
      <c r="E127"/>
      <c r="F127"/>
    </row>
    <row r="128" spans="3:6" ht="15" x14ac:dyDescent="0.25">
      <c r="C128"/>
      <c r="D128"/>
      <c r="E128"/>
      <c r="F128"/>
    </row>
    <row r="129" spans="3:6" ht="15" x14ac:dyDescent="0.25">
      <c r="C129"/>
      <c r="D129"/>
      <c r="E129"/>
      <c r="F129"/>
    </row>
    <row r="130" spans="3:6" ht="15" x14ac:dyDescent="0.25">
      <c r="C130"/>
      <c r="D130"/>
      <c r="E130"/>
      <c r="F130"/>
    </row>
    <row r="131" spans="3:6" ht="15" x14ac:dyDescent="0.25">
      <c r="C131"/>
      <c r="D131"/>
      <c r="E131"/>
      <c r="F131"/>
    </row>
    <row r="132" spans="3:6" ht="15" x14ac:dyDescent="0.25">
      <c r="C132"/>
      <c r="D132"/>
      <c r="E132"/>
      <c r="F132"/>
    </row>
    <row r="133" spans="3:6" ht="15" x14ac:dyDescent="0.25">
      <c r="C133"/>
      <c r="D133"/>
      <c r="E133"/>
      <c r="F133"/>
    </row>
    <row r="134" spans="3:6" ht="15" x14ac:dyDescent="0.25">
      <c r="C134"/>
      <c r="D134"/>
      <c r="E134"/>
      <c r="F134"/>
    </row>
    <row r="135" spans="3:6" ht="15" x14ac:dyDescent="0.25">
      <c r="C135"/>
      <c r="D135"/>
      <c r="E135"/>
      <c r="F135"/>
    </row>
    <row r="136" spans="3:6" ht="15" x14ac:dyDescent="0.25">
      <c r="C136"/>
      <c r="D136"/>
      <c r="E136"/>
      <c r="F136"/>
    </row>
    <row r="137" spans="3:6" ht="15" x14ac:dyDescent="0.25">
      <c r="C137"/>
      <c r="D137"/>
      <c r="E137"/>
      <c r="F137"/>
    </row>
    <row r="138" spans="3:6" ht="15" x14ac:dyDescent="0.25">
      <c r="C138"/>
      <c r="D138"/>
      <c r="E138"/>
      <c r="F138"/>
    </row>
    <row r="139" spans="3:6" ht="15" x14ac:dyDescent="0.25">
      <c r="C139"/>
      <c r="D139"/>
      <c r="E139"/>
      <c r="F139"/>
    </row>
    <row r="140" spans="3:6" ht="15" x14ac:dyDescent="0.25">
      <c r="C140"/>
      <c r="D140"/>
      <c r="E140"/>
      <c r="F140"/>
    </row>
    <row r="141" spans="3:6" ht="15" x14ac:dyDescent="0.25">
      <c r="C141"/>
      <c r="D141"/>
      <c r="E141"/>
      <c r="F141"/>
    </row>
    <row r="142" spans="3:6" ht="15" x14ac:dyDescent="0.25">
      <c r="C142"/>
      <c r="D142"/>
      <c r="E142"/>
      <c r="F142"/>
    </row>
    <row r="143" spans="3:6" ht="15" x14ac:dyDescent="0.25">
      <c r="C143"/>
      <c r="D143"/>
      <c r="E143"/>
      <c r="F143"/>
    </row>
    <row r="144" spans="3:6" ht="15" x14ac:dyDescent="0.25">
      <c r="C144"/>
      <c r="D144"/>
      <c r="E144"/>
      <c r="F144"/>
    </row>
    <row r="145" spans="3:6" ht="15" x14ac:dyDescent="0.25">
      <c r="C145"/>
      <c r="D145"/>
      <c r="E145"/>
      <c r="F145"/>
    </row>
    <row r="146" spans="3:6" ht="15" x14ac:dyDescent="0.25">
      <c r="C146"/>
      <c r="D146"/>
      <c r="E146"/>
      <c r="F146"/>
    </row>
    <row r="147" spans="3:6" ht="15" x14ac:dyDescent="0.25">
      <c r="C147"/>
      <c r="D147"/>
      <c r="E147"/>
      <c r="F147"/>
    </row>
    <row r="148" spans="3:6" ht="15" x14ac:dyDescent="0.25">
      <c r="C148"/>
      <c r="D148"/>
      <c r="E148"/>
      <c r="F148"/>
    </row>
    <row r="149" spans="3:6" ht="15" x14ac:dyDescent="0.25">
      <c r="C149"/>
      <c r="D149"/>
      <c r="E149"/>
      <c r="F149"/>
    </row>
    <row r="150" spans="3:6" ht="15" x14ac:dyDescent="0.25">
      <c r="C150"/>
      <c r="D150"/>
      <c r="E150"/>
      <c r="F150"/>
    </row>
    <row r="151" spans="3:6" ht="15" x14ac:dyDescent="0.25">
      <c r="C151"/>
      <c r="D151"/>
      <c r="E151"/>
      <c r="F151"/>
    </row>
    <row r="152" spans="3:6" ht="15" x14ac:dyDescent="0.25">
      <c r="C152"/>
      <c r="D152"/>
      <c r="E152"/>
      <c r="F152"/>
    </row>
    <row r="153" spans="3:6" ht="15" x14ac:dyDescent="0.25">
      <c r="C153"/>
      <c r="D153"/>
      <c r="E153"/>
      <c r="F153"/>
    </row>
    <row r="154" spans="3:6" ht="15" x14ac:dyDescent="0.25">
      <c r="C154"/>
      <c r="D154"/>
      <c r="E154"/>
      <c r="F154"/>
    </row>
    <row r="155" spans="3:6" ht="15" x14ac:dyDescent="0.25">
      <c r="C155"/>
      <c r="D155"/>
      <c r="E155"/>
      <c r="F155"/>
    </row>
    <row r="156" spans="3:6" ht="15" x14ac:dyDescent="0.25">
      <c r="C156"/>
      <c r="D156"/>
      <c r="E156"/>
      <c r="F156"/>
    </row>
    <row r="157" spans="3:6" ht="15" x14ac:dyDescent="0.25">
      <c r="C157"/>
      <c r="D157"/>
      <c r="E157"/>
      <c r="F157"/>
    </row>
    <row r="158" spans="3:6" ht="15" x14ac:dyDescent="0.25">
      <c r="C158"/>
      <c r="D158"/>
      <c r="E158"/>
      <c r="F158"/>
    </row>
    <row r="159" spans="3:6" ht="15" x14ac:dyDescent="0.25">
      <c r="C159"/>
      <c r="D159"/>
      <c r="E159"/>
      <c r="F159"/>
    </row>
    <row r="160" spans="3:6" ht="15" x14ac:dyDescent="0.25">
      <c r="C160"/>
      <c r="D160"/>
      <c r="E160"/>
      <c r="F160"/>
    </row>
    <row r="161" spans="3:6" ht="15" x14ac:dyDescent="0.25">
      <c r="C161"/>
      <c r="D161"/>
      <c r="E161"/>
      <c r="F161"/>
    </row>
    <row r="162" spans="3:6" ht="15" x14ac:dyDescent="0.25">
      <c r="C162"/>
      <c r="D162"/>
      <c r="E162"/>
      <c r="F162"/>
    </row>
    <row r="163" spans="3:6" ht="15" x14ac:dyDescent="0.25">
      <c r="C163"/>
      <c r="D163"/>
      <c r="E163"/>
      <c r="F163"/>
    </row>
    <row r="164" spans="3:6" ht="15" x14ac:dyDescent="0.25">
      <c r="C164"/>
      <c r="D164"/>
      <c r="E164"/>
      <c r="F164"/>
    </row>
    <row r="165" spans="3:6" ht="15" x14ac:dyDescent="0.25">
      <c r="C165"/>
      <c r="D165"/>
      <c r="E165"/>
      <c r="F165"/>
    </row>
    <row r="166" spans="3:6" ht="15" x14ac:dyDescent="0.25">
      <c r="C166"/>
      <c r="D166"/>
      <c r="E166"/>
      <c r="F166"/>
    </row>
    <row r="167" spans="3:6" ht="15" x14ac:dyDescent="0.25">
      <c r="C167"/>
      <c r="D167"/>
      <c r="E167"/>
      <c r="F167"/>
    </row>
    <row r="168" spans="3:6" ht="15" x14ac:dyDescent="0.25">
      <c r="C168"/>
      <c r="D168"/>
      <c r="E168"/>
      <c r="F168"/>
    </row>
    <row r="169" spans="3:6" ht="15" x14ac:dyDescent="0.25">
      <c r="C169"/>
      <c r="D169"/>
      <c r="E169"/>
      <c r="F169"/>
    </row>
    <row r="170" spans="3:6" ht="15" x14ac:dyDescent="0.25">
      <c r="C170"/>
      <c r="D170"/>
      <c r="E170"/>
      <c r="F170"/>
    </row>
    <row r="171" spans="3:6" ht="15" x14ac:dyDescent="0.25">
      <c r="C171"/>
      <c r="D171"/>
      <c r="E171"/>
      <c r="F171"/>
    </row>
    <row r="172" spans="3:6" ht="15" x14ac:dyDescent="0.25">
      <c r="C172"/>
      <c r="D172"/>
      <c r="E172"/>
      <c r="F172"/>
    </row>
  </sheetData>
  <dataValidations count="1">
    <dataValidation type="list" allowBlank="1" showInputMessage="1" showErrorMessage="1" sqref="C11:C15" xr:uid="{3BDC87A8-138B-4465-A704-FB94F5F54861}">
      <formula1>$H$51:$H$65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B40DC-21DA-4A3E-99D8-8CC34B973D51}">
  <sheetPr>
    <tabColor rgb="FFFFFF00"/>
  </sheetPr>
  <dimension ref="A1:A16"/>
  <sheetViews>
    <sheetView showGridLines="0" zoomScale="190" zoomScaleNormal="190" workbookViewId="0">
      <selection activeCell="B30" sqref="B30"/>
    </sheetView>
  </sheetViews>
  <sheetFormatPr defaultColWidth="8.85546875" defaultRowHeight="15" x14ac:dyDescent="0.25"/>
  <cols>
    <col min="1" max="1" width="104.7109375" style="48" customWidth="1"/>
  </cols>
  <sheetData>
    <row r="1" spans="1:1" x14ac:dyDescent="0.25">
      <c r="A1" s="134" t="s">
        <v>156</v>
      </c>
    </row>
    <row r="2" spans="1:1" x14ac:dyDescent="0.25">
      <c r="A2" s="134" t="s">
        <v>74</v>
      </c>
    </row>
    <row r="3" spans="1:1" x14ac:dyDescent="0.25">
      <c r="A3" s="130" t="s">
        <v>153</v>
      </c>
    </row>
    <row r="4" spans="1:1" x14ac:dyDescent="0.25">
      <c r="A4" s="131" t="s">
        <v>154</v>
      </c>
    </row>
    <row r="5" spans="1:1" x14ac:dyDescent="0.25">
      <c r="A5" s="131" t="s">
        <v>155</v>
      </c>
    </row>
    <row r="6" spans="1:1" x14ac:dyDescent="0.25">
      <c r="A6" s="132" t="s">
        <v>246</v>
      </c>
    </row>
    <row r="7" spans="1:1" x14ac:dyDescent="0.25">
      <c r="A7" s="134" t="s">
        <v>75</v>
      </c>
    </row>
    <row r="8" spans="1:1" ht="30" x14ac:dyDescent="0.25">
      <c r="A8" s="130" t="s">
        <v>157</v>
      </c>
    </row>
    <row r="9" spans="1:1" x14ac:dyDescent="0.25">
      <c r="A9" s="131" t="s">
        <v>158</v>
      </c>
    </row>
    <row r="10" spans="1:1" x14ac:dyDescent="0.25">
      <c r="A10" s="132" t="s">
        <v>159</v>
      </c>
    </row>
    <row r="11" spans="1:1" x14ac:dyDescent="0.25">
      <c r="A11" s="134" t="s">
        <v>76</v>
      </c>
    </row>
    <row r="12" spans="1:1" x14ac:dyDescent="0.25">
      <c r="A12" s="133" t="s">
        <v>77</v>
      </c>
    </row>
    <row r="13" spans="1:1" x14ac:dyDescent="0.25">
      <c r="A13" s="134" t="s">
        <v>78</v>
      </c>
    </row>
    <row r="14" spans="1:1" ht="30" x14ac:dyDescent="0.25">
      <c r="A14" s="133" t="s">
        <v>79</v>
      </c>
    </row>
    <row r="15" spans="1:1" x14ac:dyDescent="0.25">
      <c r="A15" s="134" t="s">
        <v>80</v>
      </c>
    </row>
    <row r="16" spans="1:1" x14ac:dyDescent="0.25">
      <c r="A16" s="130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5005-CE70-4603-8ABA-2D2C8964E20F}">
  <sheetPr>
    <tabColor rgb="FFFFFF00"/>
  </sheetPr>
  <dimension ref="A6:H20"/>
  <sheetViews>
    <sheetView showGridLines="0" zoomScale="190" zoomScaleNormal="190" workbookViewId="0">
      <selection activeCell="A25" sqref="A25"/>
    </sheetView>
  </sheetViews>
  <sheetFormatPr defaultColWidth="8.85546875" defaultRowHeight="12.75" x14ac:dyDescent="0.2"/>
  <cols>
    <col min="1" max="1" width="3.5703125" style="48" customWidth="1"/>
    <col min="2" max="2" width="9.140625" style="48" customWidth="1"/>
    <col min="3" max="3" width="76.5703125" style="48" customWidth="1"/>
    <col min="4" max="4" width="2.7109375" style="48" customWidth="1"/>
    <col min="5" max="6" width="8.85546875" style="48"/>
    <col min="7" max="7" width="3.85546875" style="48" customWidth="1"/>
    <col min="8" max="16384" width="8.85546875" style="48"/>
  </cols>
  <sheetData>
    <row r="6" spans="1:8" ht="5.25" customHeight="1" x14ac:dyDescent="0.2"/>
    <row r="14" spans="1:8" ht="13.5" thickBot="1" x14ac:dyDescent="0.25">
      <c r="H14" s="48" t="s">
        <v>160</v>
      </c>
    </row>
    <row r="15" spans="1:8" ht="15" x14ac:dyDescent="0.25">
      <c r="A15" s="120" t="s">
        <v>247</v>
      </c>
      <c r="B15" s="121"/>
      <c r="C15" s="122"/>
      <c r="D15" s="122"/>
      <c r="E15" s="122"/>
      <c r="F15" s="123"/>
    </row>
    <row r="16" spans="1:8" ht="15" x14ac:dyDescent="0.25">
      <c r="A16" s="124" t="s">
        <v>82</v>
      </c>
      <c r="B16" s="119"/>
      <c r="C16" s="119"/>
      <c r="D16" s="119"/>
      <c r="E16" s="119"/>
      <c r="F16" s="125"/>
    </row>
    <row r="17" spans="1:8" ht="15" x14ac:dyDescent="0.25">
      <c r="A17" s="124" t="s">
        <v>83</v>
      </c>
      <c r="B17" s="119"/>
      <c r="C17" s="119"/>
      <c r="D17" s="119"/>
      <c r="E17" s="119"/>
      <c r="F17" s="125"/>
    </row>
    <row r="18" spans="1:8" ht="15" x14ac:dyDescent="0.25">
      <c r="A18" s="124" t="s">
        <v>84</v>
      </c>
      <c r="B18" s="119"/>
      <c r="C18" s="119"/>
      <c r="D18" s="119"/>
      <c r="E18" s="119"/>
      <c r="F18" s="125"/>
      <c r="H18" s="48" t="s">
        <v>161</v>
      </c>
    </row>
    <row r="19" spans="1:8" ht="15" x14ac:dyDescent="0.25">
      <c r="A19" s="124" t="s">
        <v>85</v>
      </c>
      <c r="B19" s="119"/>
      <c r="C19" s="119"/>
      <c r="D19" s="119"/>
      <c r="E19" s="119"/>
      <c r="F19" s="125"/>
    </row>
    <row r="20" spans="1:8" ht="15.75" thickBot="1" x14ac:dyDescent="0.3">
      <c r="A20" s="126" t="s">
        <v>86</v>
      </c>
      <c r="B20" s="127"/>
      <c r="C20" s="127"/>
      <c r="D20" s="127"/>
      <c r="E20" s="127"/>
      <c r="F20" s="12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C3AC8-4F0B-41A4-B468-C718AFDEEC79}">
  <sheetPr>
    <tabColor rgb="FFFFFF00"/>
  </sheetPr>
  <dimension ref="B1:M181"/>
  <sheetViews>
    <sheetView showGridLines="0" zoomScale="130" zoomScaleNormal="130" workbookViewId="0">
      <selection activeCell="F25" sqref="F25"/>
    </sheetView>
  </sheetViews>
  <sheetFormatPr defaultColWidth="8.85546875" defaultRowHeight="12.75" x14ac:dyDescent="0.2"/>
  <cols>
    <col min="1" max="1" width="4.5703125" style="48" customWidth="1"/>
    <col min="2" max="2" width="14.7109375" style="48" customWidth="1"/>
    <col min="3" max="3" width="16.5703125" style="48" customWidth="1"/>
    <col min="4" max="4" width="14.140625" style="48" customWidth="1"/>
    <col min="5" max="5" width="13" style="48" customWidth="1"/>
    <col min="6" max="6" width="13.140625" style="48" bestFit="1" customWidth="1"/>
    <col min="7" max="7" width="30.5703125" style="48" customWidth="1"/>
    <col min="8" max="8" width="4.5703125" style="48" customWidth="1"/>
    <col min="9" max="9" width="9.140625" style="48" customWidth="1"/>
    <col min="10" max="11" width="11.7109375" style="48" customWidth="1"/>
    <col min="12" max="12" width="8.85546875" style="48"/>
    <col min="13" max="13" width="30.7109375" style="48" customWidth="1"/>
    <col min="14" max="16384" width="8.85546875" style="48"/>
  </cols>
  <sheetData>
    <row r="1" spans="2:13" ht="21" x14ac:dyDescent="0.35">
      <c r="B1" s="111" t="s">
        <v>151</v>
      </c>
      <c r="C1" s="112"/>
      <c r="D1" s="112"/>
      <c r="E1" s="112"/>
      <c r="F1" s="112"/>
      <c r="G1" s="112"/>
    </row>
    <row r="2" spans="2:13" ht="15" x14ac:dyDescent="0.25">
      <c r="B2" t="s">
        <v>144</v>
      </c>
      <c r="C2"/>
      <c r="D2"/>
      <c r="E2"/>
      <c r="F2"/>
      <c r="G2"/>
    </row>
    <row r="3" spans="2:13" ht="15" x14ac:dyDescent="0.25">
      <c r="B3" t="s">
        <v>145</v>
      </c>
      <c r="C3"/>
      <c r="D3"/>
      <c r="E3"/>
      <c r="F3"/>
      <c r="G3"/>
    </row>
    <row r="4" spans="2:13" ht="15" x14ac:dyDescent="0.25">
      <c r="B4" t="s">
        <v>146</v>
      </c>
      <c r="C4"/>
      <c r="D4"/>
      <c r="E4"/>
      <c r="F4"/>
      <c r="G4"/>
    </row>
    <row r="5" spans="2:13" ht="15" x14ac:dyDescent="0.25">
      <c r="B5" t="s">
        <v>147</v>
      </c>
      <c r="C5"/>
      <c r="D5"/>
      <c r="E5"/>
      <c r="F5"/>
      <c r="G5"/>
    </row>
    <row r="6" spans="2:13" ht="15" x14ac:dyDescent="0.25">
      <c r="B6" t="s">
        <v>177</v>
      </c>
      <c r="C6"/>
      <c r="D6"/>
      <c r="E6"/>
      <c r="F6"/>
      <c r="G6"/>
    </row>
    <row r="7" spans="2:13" ht="15" x14ac:dyDescent="0.25">
      <c r="B7" t="s">
        <v>148</v>
      </c>
      <c r="C7"/>
      <c r="D7"/>
      <c r="E7"/>
      <c r="F7"/>
      <c r="G7"/>
    </row>
    <row r="8" spans="2:13" ht="15" x14ac:dyDescent="0.25">
      <c r="B8" s="118" t="s">
        <v>149</v>
      </c>
      <c r="C8"/>
      <c r="D8"/>
      <c r="E8"/>
      <c r="F8"/>
      <c r="G8"/>
    </row>
    <row r="9" spans="2:13" ht="15" x14ac:dyDescent="0.25">
      <c r="B9" s="118" t="s">
        <v>150</v>
      </c>
      <c r="C9"/>
      <c r="D9"/>
      <c r="E9"/>
      <c r="F9"/>
      <c r="G9"/>
    </row>
    <row r="10" spans="2:13" ht="13.5" thickBot="1" x14ac:dyDescent="0.25"/>
    <row r="11" spans="2:13" customFormat="1" ht="15" x14ac:dyDescent="0.25">
      <c r="C11" s="49" t="s">
        <v>89</v>
      </c>
      <c r="D11" s="50"/>
      <c r="E11" s="50"/>
      <c r="F11" s="51"/>
      <c r="H11" s="48"/>
      <c r="I11" s="48"/>
      <c r="J11" s="48"/>
      <c r="K11" s="48"/>
      <c r="L11" s="48"/>
      <c r="M11" s="48"/>
    </row>
    <row r="12" spans="2:13" ht="15.75" thickBot="1" x14ac:dyDescent="0.3">
      <c r="C12" s="84"/>
      <c r="D12" s="52" t="s">
        <v>125</v>
      </c>
      <c r="E12" s="52"/>
      <c r="F12" s="53"/>
      <c r="G12"/>
    </row>
    <row r="13" spans="2:13" ht="15" x14ac:dyDescent="0.25">
      <c r="C13" s="55"/>
      <c r="D13" s="56"/>
      <c r="E13" s="56"/>
      <c r="F13" s="57"/>
      <c r="G13"/>
    </row>
    <row r="14" spans="2:13" ht="15" x14ac:dyDescent="0.25">
      <c r="C14" s="58" t="s">
        <v>90</v>
      </c>
      <c r="D14" s="59"/>
      <c r="E14" s="60" t="s">
        <v>91</v>
      </c>
      <c r="F14" s="61">
        <v>1255</v>
      </c>
      <c r="G14"/>
    </row>
    <row r="15" spans="2:13" ht="15" x14ac:dyDescent="0.25">
      <c r="C15" s="63" t="s">
        <v>93</v>
      </c>
      <c r="D15" s="64"/>
      <c r="E15" s="60" t="s">
        <v>10</v>
      </c>
      <c r="F15" s="65">
        <v>43150</v>
      </c>
      <c r="G15"/>
    </row>
    <row r="16" spans="2:13" ht="15" x14ac:dyDescent="0.25">
      <c r="C16" s="63" t="s">
        <v>94</v>
      </c>
      <c r="D16" s="66"/>
      <c r="E16" s="67"/>
      <c r="F16" s="68"/>
      <c r="G16"/>
    </row>
    <row r="17" spans="3:11" ht="15" x14ac:dyDescent="0.25">
      <c r="C17" s="70" t="s">
        <v>95</v>
      </c>
      <c r="D17" s="66"/>
      <c r="E17" s="66"/>
      <c r="F17" s="71"/>
      <c r="G17"/>
    </row>
    <row r="18" spans="3:11" ht="15" x14ac:dyDescent="0.25">
      <c r="C18" s="83"/>
      <c r="D18" s="72"/>
      <c r="E18" s="73"/>
      <c r="F18" s="74"/>
      <c r="G18"/>
    </row>
    <row r="19" spans="3:11" ht="15" x14ac:dyDescent="0.25">
      <c r="C19" s="58" t="s">
        <v>97</v>
      </c>
      <c r="D19" s="60" t="s">
        <v>98</v>
      </c>
      <c r="E19" s="60" t="s">
        <v>99</v>
      </c>
      <c r="F19" s="75" t="s">
        <v>100</v>
      </c>
      <c r="G19"/>
    </row>
    <row r="20" spans="3:11" ht="15" x14ac:dyDescent="0.25">
      <c r="C20" s="76" t="s">
        <v>101</v>
      </c>
      <c r="D20" s="54">
        <v>15</v>
      </c>
      <c r="E20" s="138">
        <f>IF(C20="","",VLOOKUP(C20,$H$60:$L$74,5,0))</f>
        <v>25.62</v>
      </c>
      <c r="F20" s="139">
        <f>IF(E20="","",ROUND(E20*D20,2))</f>
        <v>384.3</v>
      </c>
      <c r="G20"/>
      <c r="H20"/>
      <c r="I20"/>
      <c r="J20"/>
      <c r="K20"/>
    </row>
    <row r="21" spans="3:11" ht="15" x14ac:dyDescent="0.25">
      <c r="C21" s="76" t="s">
        <v>113</v>
      </c>
      <c r="D21" s="54">
        <v>10</v>
      </c>
      <c r="E21" s="136">
        <f>IF(C21="","",VLOOKUP(C21,$H$60:$L$74,5,0))</f>
        <v>10.58</v>
      </c>
      <c r="F21" s="137">
        <f>IF(E21="","",ROUND(E21*D21,2))</f>
        <v>105.8</v>
      </c>
      <c r="G21"/>
      <c r="H21"/>
      <c r="I21"/>
      <c r="J21"/>
      <c r="K21"/>
    </row>
    <row r="22" spans="3:11" ht="15" x14ac:dyDescent="0.25">
      <c r="C22" s="76" t="s">
        <v>105</v>
      </c>
      <c r="D22" s="54">
        <v>25</v>
      </c>
      <c r="E22" s="136">
        <f>IF(C22="","",VLOOKUP(C22,$H$60:$L$74,5,0))</f>
        <v>13.72</v>
      </c>
      <c r="F22" s="137">
        <f>IF(E22="","",ROUND(E22*D22,2))</f>
        <v>343</v>
      </c>
      <c r="G22"/>
      <c r="H22"/>
      <c r="I22"/>
      <c r="J22"/>
      <c r="K22"/>
    </row>
    <row r="23" spans="3:11" ht="15" x14ac:dyDescent="0.25">
      <c r="C23" s="76"/>
      <c r="D23" s="54"/>
      <c r="E23" s="136" t="str">
        <f>IF(C23="","",VLOOKUP(C23,$H$60:$L$74,5,0))</f>
        <v/>
      </c>
      <c r="F23" s="137" t="str">
        <f>IF(E23="","",ROUND(E23*D23,2))</f>
        <v/>
      </c>
      <c r="G23"/>
      <c r="H23"/>
      <c r="I23"/>
      <c r="J23"/>
      <c r="K23"/>
    </row>
    <row r="24" spans="3:11" ht="15" x14ac:dyDescent="0.25">
      <c r="C24" s="76"/>
      <c r="D24" s="54"/>
      <c r="E24" s="136" t="str">
        <f>IF(C24="","",VLOOKUP(C24,$H$60:$L$74,5,0))</f>
        <v/>
      </c>
      <c r="F24" s="137" t="str">
        <f>IF(E24="","",ROUND(E24*D24,2))</f>
        <v/>
      </c>
      <c r="G24"/>
      <c r="H24"/>
      <c r="I24"/>
      <c r="J24"/>
      <c r="K24"/>
    </row>
    <row r="25" spans="3:11" ht="15" x14ac:dyDescent="0.25">
      <c r="C25" s="85"/>
      <c r="E25" s="60" t="s">
        <v>106</v>
      </c>
      <c r="F25" s="140">
        <f>SUM(F20:F24)</f>
        <v>833.1</v>
      </c>
      <c r="G25"/>
      <c r="H25"/>
      <c r="I25"/>
      <c r="J25"/>
      <c r="K25"/>
    </row>
    <row r="26" spans="3:11" ht="15" x14ac:dyDescent="0.25">
      <c r="C26" s="77" t="s">
        <v>107</v>
      </c>
      <c r="D26" s="54" t="s">
        <v>108</v>
      </c>
      <c r="E26" s="60" t="s">
        <v>102</v>
      </c>
      <c r="F26" s="141">
        <v>15</v>
      </c>
      <c r="G26"/>
      <c r="H26"/>
      <c r="I26"/>
      <c r="J26"/>
      <c r="K26"/>
    </row>
    <row r="27" spans="3:11" ht="15.75" thickBot="1" x14ac:dyDescent="0.3">
      <c r="C27" s="78" t="s">
        <v>109</v>
      </c>
      <c r="D27" s="79" t="s">
        <v>110</v>
      </c>
      <c r="E27" s="80" t="s">
        <v>111</v>
      </c>
      <c r="F27" s="142">
        <f>SUM(F25:F26)</f>
        <v>848.1</v>
      </c>
    </row>
    <row r="28" spans="3:11" ht="15" x14ac:dyDescent="0.25">
      <c r="C28"/>
      <c r="D28"/>
      <c r="E28"/>
      <c r="F28"/>
    </row>
    <row r="29" spans="3:11" ht="15" x14ac:dyDescent="0.25">
      <c r="C29"/>
      <c r="D29"/>
      <c r="E29"/>
      <c r="F29"/>
    </row>
    <row r="30" spans="3:11" ht="15" x14ac:dyDescent="0.25">
      <c r="C30"/>
      <c r="D30"/>
      <c r="E30"/>
      <c r="F30"/>
    </row>
    <row r="31" spans="3:11" ht="15" x14ac:dyDescent="0.25">
      <c r="C31"/>
      <c r="D31"/>
      <c r="E31"/>
      <c r="F31"/>
    </row>
    <row r="32" spans="3:11" ht="15" x14ac:dyDescent="0.25">
      <c r="C32"/>
      <c r="D32"/>
      <c r="E32"/>
      <c r="F32"/>
    </row>
    <row r="33" spans="3:6" ht="15" x14ac:dyDescent="0.25">
      <c r="C33"/>
      <c r="D33"/>
      <c r="E33"/>
      <c r="F33"/>
    </row>
    <row r="34" spans="3:6" ht="15" x14ac:dyDescent="0.25">
      <c r="C34"/>
      <c r="D34"/>
      <c r="E34"/>
      <c r="F34"/>
    </row>
    <row r="35" spans="3:6" ht="15" x14ac:dyDescent="0.25">
      <c r="C35"/>
      <c r="D35"/>
      <c r="E35"/>
      <c r="F35"/>
    </row>
    <row r="36" spans="3:6" ht="15" x14ac:dyDescent="0.25">
      <c r="C36"/>
      <c r="D36"/>
      <c r="E36"/>
      <c r="F36"/>
    </row>
    <row r="37" spans="3:6" ht="15" x14ac:dyDescent="0.25">
      <c r="C37"/>
      <c r="D37"/>
      <c r="E37"/>
      <c r="F37"/>
    </row>
    <row r="38" spans="3:6" ht="15" x14ac:dyDescent="0.25">
      <c r="C38"/>
      <c r="D38"/>
      <c r="E38"/>
      <c r="F38"/>
    </row>
    <row r="39" spans="3:6" ht="15" x14ac:dyDescent="0.25">
      <c r="C39"/>
      <c r="D39"/>
      <c r="E39"/>
      <c r="F39"/>
    </row>
    <row r="40" spans="3:6" ht="15" x14ac:dyDescent="0.25">
      <c r="C40"/>
      <c r="D40"/>
      <c r="E40"/>
      <c r="F40"/>
    </row>
    <row r="41" spans="3:6" ht="15" x14ac:dyDescent="0.25">
      <c r="C41"/>
      <c r="D41"/>
      <c r="E41"/>
      <c r="F41"/>
    </row>
    <row r="42" spans="3:6" ht="15" x14ac:dyDescent="0.25">
      <c r="C42"/>
      <c r="D42"/>
      <c r="E42"/>
      <c r="F42"/>
    </row>
    <row r="43" spans="3:6" ht="15" x14ac:dyDescent="0.25">
      <c r="C43"/>
      <c r="D43"/>
      <c r="E43"/>
      <c r="F43"/>
    </row>
    <row r="44" spans="3:6" ht="15" x14ac:dyDescent="0.25">
      <c r="C44"/>
      <c r="D44"/>
      <c r="E44"/>
      <c r="F44"/>
    </row>
    <row r="45" spans="3:6" ht="15" x14ac:dyDescent="0.25">
      <c r="C45"/>
      <c r="D45"/>
      <c r="E45"/>
      <c r="F45"/>
    </row>
    <row r="46" spans="3:6" ht="15" x14ac:dyDescent="0.25">
      <c r="C46"/>
      <c r="D46"/>
      <c r="E46"/>
      <c r="F46"/>
    </row>
    <row r="47" spans="3:6" ht="15" x14ac:dyDescent="0.25">
      <c r="C47"/>
      <c r="D47"/>
      <c r="E47"/>
      <c r="F47"/>
    </row>
    <row r="48" spans="3:6" ht="15" x14ac:dyDescent="0.25">
      <c r="C48"/>
      <c r="D48"/>
      <c r="E48"/>
      <c r="F48"/>
    </row>
    <row r="49" spans="3:12" ht="15" x14ac:dyDescent="0.25">
      <c r="C49"/>
      <c r="D49"/>
      <c r="E49"/>
      <c r="F49"/>
    </row>
    <row r="50" spans="3:12" ht="15" x14ac:dyDescent="0.25">
      <c r="C50"/>
      <c r="D50"/>
      <c r="E50"/>
      <c r="F50"/>
    </row>
    <row r="51" spans="3:12" ht="15" x14ac:dyDescent="0.25">
      <c r="C51"/>
      <c r="D51"/>
      <c r="E51"/>
      <c r="F51"/>
    </row>
    <row r="52" spans="3:12" ht="15" x14ac:dyDescent="0.25">
      <c r="C52"/>
      <c r="D52"/>
      <c r="E52"/>
      <c r="F52"/>
    </row>
    <row r="53" spans="3:12" ht="15" x14ac:dyDescent="0.25">
      <c r="C53"/>
      <c r="D53"/>
      <c r="E53"/>
      <c r="F53"/>
    </row>
    <row r="54" spans="3:12" ht="15" x14ac:dyDescent="0.25">
      <c r="C54"/>
      <c r="D54"/>
      <c r="E54"/>
      <c r="F54"/>
    </row>
    <row r="55" spans="3:12" ht="15" x14ac:dyDescent="0.25">
      <c r="C55"/>
      <c r="D55"/>
      <c r="E55"/>
      <c r="F55"/>
    </row>
    <row r="56" spans="3:12" ht="15" x14ac:dyDescent="0.25">
      <c r="C56"/>
      <c r="D56"/>
      <c r="E56"/>
      <c r="F56"/>
    </row>
    <row r="57" spans="3:12" ht="15" x14ac:dyDescent="0.25">
      <c r="C57"/>
      <c r="D57"/>
      <c r="E57"/>
      <c r="F57"/>
    </row>
    <row r="58" spans="3:12" ht="15" x14ac:dyDescent="0.25">
      <c r="C58"/>
      <c r="D58"/>
      <c r="E58"/>
      <c r="F58"/>
    </row>
    <row r="59" spans="3:12" ht="45" x14ac:dyDescent="0.25">
      <c r="C59"/>
      <c r="D59"/>
      <c r="E59"/>
      <c r="F59"/>
      <c r="H59" s="81" t="s">
        <v>126</v>
      </c>
      <c r="I59" s="81" t="s">
        <v>127</v>
      </c>
      <c r="J59" s="81" t="s">
        <v>128</v>
      </c>
      <c r="K59" s="81" t="s">
        <v>129</v>
      </c>
      <c r="L59" s="81" t="s">
        <v>112</v>
      </c>
    </row>
    <row r="60" spans="3:12" ht="15.75" thickBot="1" x14ac:dyDescent="0.3">
      <c r="C60"/>
      <c r="D60"/>
      <c r="E60"/>
      <c r="F60"/>
      <c r="H60" s="86" t="s">
        <v>101</v>
      </c>
      <c r="I60" s="86"/>
      <c r="J60" s="87">
        <v>44.95</v>
      </c>
      <c r="K60" s="88">
        <v>0.43</v>
      </c>
      <c r="L60" s="101">
        <f t="shared" ref="L60:L74" si="0">ROUND(J60*(1-K60),2)</f>
        <v>25.62</v>
      </c>
    </row>
    <row r="61" spans="3:12" ht="15.75" thickBot="1" x14ac:dyDescent="0.3">
      <c r="C61"/>
      <c r="D61"/>
      <c r="E61"/>
      <c r="F61"/>
      <c r="H61" s="89" t="s">
        <v>105</v>
      </c>
      <c r="I61" s="90"/>
      <c r="J61" s="91">
        <v>24.95</v>
      </c>
      <c r="K61" s="92">
        <v>0.45</v>
      </c>
      <c r="L61" s="102">
        <f t="shared" si="0"/>
        <v>13.72</v>
      </c>
    </row>
    <row r="62" spans="3:12" ht="15" x14ac:dyDescent="0.25">
      <c r="C62"/>
      <c r="D62"/>
      <c r="E62"/>
      <c r="F62"/>
      <c r="H62" s="93" t="s">
        <v>113</v>
      </c>
      <c r="I62" s="93"/>
      <c r="J62" s="94">
        <v>23.5</v>
      </c>
      <c r="K62" s="95">
        <v>0.55000000000000004</v>
      </c>
      <c r="L62" s="103">
        <f t="shared" si="0"/>
        <v>10.58</v>
      </c>
    </row>
    <row r="63" spans="3:12" ht="15" x14ac:dyDescent="0.25">
      <c r="C63"/>
      <c r="D63"/>
      <c r="E63"/>
      <c r="F63"/>
      <c r="H63" s="96" t="s">
        <v>114</v>
      </c>
      <c r="I63" s="96"/>
      <c r="J63" s="82">
        <v>79.95</v>
      </c>
      <c r="K63" s="97">
        <v>0.48</v>
      </c>
      <c r="L63" s="35">
        <f t="shared" si="0"/>
        <v>41.57</v>
      </c>
    </row>
    <row r="64" spans="3:12" ht="15" x14ac:dyDescent="0.25">
      <c r="C64"/>
      <c r="D64"/>
      <c r="E64"/>
      <c r="F64"/>
      <c r="H64" s="98" t="s">
        <v>103</v>
      </c>
      <c r="I64" s="98"/>
      <c r="J64" s="99">
        <v>31.95</v>
      </c>
      <c r="K64" s="100">
        <v>0.54</v>
      </c>
      <c r="L64" s="104">
        <f t="shared" si="0"/>
        <v>14.7</v>
      </c>
    </row>
    <row r="65" spans="3:12" ht="15" x14ac:dyDescent="0.25">
      <c r="C65"/>
      <c r="D65"/>
      <c r="E65"/>
      <c r="F65"/>
      <c r="H65" s="96" t="s">
        <v>115</v>
      </c>
      <c r="I65" s="96"/>
      <c r="J65" s="82">
        <v>19.989999999999998</v>
      </c>
      <c r="K65" s="97">
        <v>0.6</v>
      </c>
      <c r="L65" s="35">
        <f t="shared" si="0"/>
        <v>8</v>
      </c>
    </row>
    <row r="66" spans="3:12" ht="15" x14ac:dyDescent="0.25">
      <c r="C66"/>
      <c r="D66"/>
      <c r="E66"/>
      <c r="F66"/>
      <c r="H66" s="98" t="s">
        <v>116</v>
      </c>
      <c r="I66" s="98"/>
      <c r="J66" s="99">
        <v>23</v>
      </c>
      <c r="K66" s="100">
        <v>0.5</v>
      </c>
      <c r="L66" s="104">
        <f t="shared" si="0"/>
        <v>11.5</v>
      </c>
    </row>
    <row r="67" spans="3:12" ht="15" x14ac:dyDescent="0.25">
      <c r="C67"/>
      <c r="D67"/>
      <c r="E67"/>
      <c r="F67"/>
      <c r="H67" s="96" t="s">
        <v>117</v>
      </c>
      <c r="I67" s="96"/>
      <c r="J67" s="82">
        <v>23.5</v>
      </c>
      <c r="K67" s="97">
        <v>0.5</v>
      </c>
      <c r="L67" s="35">
        <f t="shared" si="0"/>
        <v>11.75</v>
      </c>
    </row>
    <row r="68" spans="3:12" ht="15" x14ac:dyDescent="0.25">
      <c r="C68"/>
      <c r="D68"/>
      <c r="E68"/>
      <c r="F68"/>
      <c r="H68" s="98" t="s">
        <v>118</v>
      </c>
      <c r="I68" s="98"/>
      <c r="J68" s="99">
        <v>26.95</v>
      </c>
      <c r="K68" s="100">
        <v>0.46</v>
      </c>
      <c r="L68" s="104">
        <f t="shared" si="0"/>
        <v>14.55</v>
      </c>
    </row>
    <row r="69" spans="3:12" ht="15" x14ac:dyDescent="0.25">
      <c r="C69"/>
      <c r="D69"/>
      <c r="E69"/>
      <c r="F69"/>
      <c r="H69" s="96" t="s">
        <v>119</v>
      </c>
      <c r="I69" s="96"/>
      <c r="J69" s="82">
        <v>30.95</v>
      </c>
      <c r="K69" s="97">
        <v>0.41</v>
      </c>
      <c r="L69" s="35">
        <f t="shared" si="0"/>
        <v>18.260000000000002</v>
      </c>
    </row>
    <row r="70" spans="3:12" ht="15" x14ac:dyDescent="0.25">
      <c r="C70"/>
      <c r="D70"/>
      <c r="E70"/>
      <c r="F70"/>
      <c r="H70" s="98" t="s">
        <v>120</v>
      </c>
      <c r="I70" s="98"/>
      <c r="J70" s="99">
        <v>29.95</v>
      </c>
      <c r="K70" s="100">
        <v>0.53</v>
      </c>
      <c r="L70" s="104">
        <f t="shared" si="0"/>
        <v>14.08</v>
      </c>
    </row>
    <row r="71" spans="3:12" ht="15" x14ac:dyDescent="0.25">
      <c r="C71"/>
      <c r="D71"/>
      <c r="E71"/>
      <c r="F71"/>
      <c r="H71" s="96" t="s">
        <v>121</v>
      </c>
      <c r="I71" s="96"/>
      <c r="J71" s="82">
        <v>32.25</v>
      </c>
      <c r="K71" s="97">
        <v>0.53</v>
      </c>
      <c r="L71" s="35">
        <f t="shared" si="0"/>
        <v>15.16</v>
      </c>
    </row>
    <row r="72" spans="3:12" ht="15" x14ac:dyDescent="0.25">
      <c r="C72"/>
      <c r="D72"/>
      <c r="E72"/>
      <c r="F72"/>
      <c r="H72" s="98" t="s">
        <v>122</v>
      </c>
      <c r="I72" s="98"/>
      <c r="J72" s="99">
        <v>23.5</v>
      </c>
      <c r="K72" s="100">
        <v>0.4</v>
      </c>
      <c r="L72" s="104">
        <f t="shared" si="0"/>
        <v>14.1</v>
      </c>
    </row>
    <row r="73" spans="3:12" ht="15" x14ac:dyDescent="0.25">
      <c r="C73"/>
      <c r="D73"/>
      <c r="E73"/>
      <c r="F73"/>
      <c r="H73" s="96" t="s">
        <v>123</v>
      </c>
      <c r="I73" s="96"/>
      <c r="J73" s="82">
        <v>55.5</v>
      </c>
      <c r="K73" s="97">
        <v>0.56000000000000005</v>
      </c>
      <c r="L73" s="35">
        <f t="shared" si="0"/>
        <v>24.42</v>
      </c>
    </row>
    <row r="74" spans="3:12" ht="15" x14ac:dyDescent="0.25">
      <c r="C74"/>
      <c r="D74"/>
      <c r="E74"/>
      <c r="F74"/>
      <c r="H74" s="98" t="s">
        <v>124</v>
      </c>
      <c r="I74" s="98"/>
      <c r="J74" s="99">
        <v>43.25</v>
      </c>
      <c r="K74" s="100">
        <v>0.47</v>
      </c>
      <c r="L74" s="104">
        <f t="shared" si="0"/>
        <v>22.92</v>
      </c>
    </row>
    <row r="75" spans="3:12" ht="15" x14ac:dyDescent="0.25">
      <c r="C75"/>
      <c r="D75"/>
      <c r="E75"/>
      <c r="F75"/>
    </row>
    <row r="76" spans="3:12" ht="15" x14ac:dyDescent="0.25">
      <c r="C76"/>
      <c r="D76"/>
      <c r="E76"/>
      <c r="F76"/>
    </row>
    <row r="77" spans="3:12" ht="15" x14ac:dyDescent="0.25">
      <c r="C77"/>
      <c r="D77"/>
      <c r="E77"/>
      <c r="F77"/>
    </row>
    <row r="78" spans="3:12" ht="15" x14ac:dyDescent="0.25">
      <c r="C78"/>
      <c r="D78"/>
      <c r="E78"/>
      <c r="F78"/>
    </row>
    <row r="79" spans="3:12" ht="15" x14ac:dyDescent="0.25">
      <c r="C79"/>
      <c r="D79"/>
      <c r="E79"/>
      <c r="F79"/>
    </row>
    <row r="80" spans="3:12" ht="15" x14ac:dyDescent="0.25">
      <c r="C80"/>
      <c r="D80"/>
      <c r="E80"/>
      <c r="F80"/>
    </row>
    <row r="81" spans="3:6" ht="15" x14ac:dyDescent="0.25">
      <c r="C81"/>
      <c r="D81"/>
      <c r="E81"/>
      <c r="F81"/>
    </row>
    <row r="82" spans="3:6" ht="15" x14ac:dyDescent="0.25">
      <c r="C82"/>
      <c r="D82"/>
      <c r="E82"/>
      <c r="F82"/>
    </row>
    <row r="83" spans="3:6" ht="15" x14ac:dyDescent="0.25">
      <c r="C83"/>
      <c r="D83"/>
      <c r="E83"/>
      <c r="F83"/>
    </row>
    <row r="84" spans="3:6" ht="15" x14ac:dyDescent="0.25">
      <c r="C84"/>
      <c r="D84"/>
      <c r="E84"/>
      <c r="F84"/>
    </row>
    <row r="85" spans="3:6" ht="15" x14ac:dyDescent="0.25">
      <c r="C85"/>
      <c r="D85"/>
      <c r="E85"/>
      <c r="F85"/>
    </row>
    <row r="86" spans="3:6" ht="15" x14ac:dyDescent="0.25">
      <c r="C86"/>
      <c r="D86"/>
      <c r="E86"/>
      <c r="F86"/>
    </row>
    <row r="87" spans="3:6" ht="15" x14ac:dyDescent="0.25">
      <c r="C87"/>
      <c r="D87"/>
      <c r="E87"/>
      <c r="F87"/>
    </row>
    <row r="88" spans="3:6" ht="15" x14ac:dyDescent="0.25">
      <c r="C88"/>
      <c r="D88"/>
      <c r="E88"/>
      <c r="F88"/>
    </row>
    <row r="89" spans="3:6" ht="15" x14ac:dyDescent="0.25">
      <c r="C89"/>
      <c r="D89"/>
      <c r="E89"/>
      <c r="F89"/>
    </row>
    <row r="90" spans="3:6" ht="15" x14ac:dyDescent="0.25">
      <c r="C90"/>
      <c r="D90"/>
      <c r="E90"/>
      <c r="F90"/>
    </row>
    <row r="91" spans="3:6" ht="15" x14ac:dyDescent="0.25">
      <c r="C91"/>
      <c r="D91"/>
      <c r="E91"/>
      <c r="F91"/>
    </row>
    <row r="92" spans="3:6" ht="15" x14ac:dyDescent="0.25">
      <c r="C92"/>
      <c r="D92"/>
      <c r="E92"/>
      <c r="F92"/>
    </row>
    <row r="93" spans="3:6" ht="15" x14ac:dyDescent="0.25">
      <c r="C93"/>
      <c r="D93"/>
      <c r="E93"/>
      <c r="F93"/>
    </row>
    <row r="94" spans="3:6" ht="15" x14ac:dyDescent="0.25">
      <c r="C94"/>
      <c r="D94"/>
      <c r="E94"/>
      <c r="F94"/>
    </row>
    <row r="95" spans="3:6" ht="15" x14ac:dyDescent="0.25">
      <c r="C95"/>
      <c r="D95"/>
      <c r="E95"/>
      <c r="F95"/>
    </row>
    <row r="96" spans="3:6" ht="15" x14ac:dyDescent="0.25">
      <c r="C96"/>
      <c r="D96"/>
      <c r="E96"/>
      <c r="F96"/>
    </row>
    <row r="97" spans="3:6" ht="15" x14ac:dyDescent="0.25">
      <c r="C97"/>
      <c r="D97"/>
      <c r="E97"/>
      <c r="F97"/>
    </row>
    <row r="98" spans="3:6" ht="15" x14ac:dyDescent="0.25">
      <c r="C98"/>
      <c r="D98"/>
      <c r="E98"/>
      <c r="F98"/>
    </row>
    <row r="99" spans="3:6" ht="15" x14ac:dyDescent="0.25">
      <c r="C99"/>
      <c r="D99"/>
      <c r="E99"/>
      <c r="F99"/>
    </row>
    <row r="100" spans="3:6" ht="15" x14ac:dyDescent="0.25">
      <c r="C100"/>
      <c r="D100"/>
      <c r="E100"/>
      <c r="F100"/>
    </row>
    <row r="101" spans="3:6" ht="15" x14ac:dyDescent="0.25">
      <c r="C101"/>
      <c r="D101"/>
      <c r="E101"/>
      <c r="F101"/>
    </row>
    <row r="102" spans="3:6" ht="15" x14ac:dyDescent="0.25">
      <c r="C102"/>
      <c r="D102"/>
      <c r="E102"/>
      <c r="F102"/>
    </row>
    <row r="103" spans="3:6" ht="15" x14ac:dyDescent="0.25">
      <c r="C103"/>
      <c r="D103"/>
      <c r="E103"/>
      <c r="F103"/>
    </row>
    <row r="104" spans="3:6" ht="15" x14ac:dyDescent="0.25">
      <c r="C104"/>
      <c r="D104"/>
      <c r="E104"/>
      <c r="F104"/>
    </row>
    <row r="105" spans="3:6" ht="15" x14ac:dyDescent="0.25">
      <c r="C105"/>
      <c r="D105"/>
      <c r="E105"/>
      <c r="F105"/>
    </row>
    <row r="106" spans="3:6" ht="15" x14ac:dyDescent="0.25">
      <c r="C106"/>
      <c r="D106"/>
      <c r="E106"/>
      <c r="F106"/>
    </row>
    <row r="107" spans="3:6" ht="15" x14ac:dyDescent="0.25">
      <c r="C107"/>
      <c r="D107"/>
      <c r="E107"/>
      <c r="F107"/>
    </row>
    <row r="108" spans="3:6" ht="15" x14ac:dyDescent="0.25">
      <c r="C108"/>
      <c r="D108"/>
      <c r="E108"/>
      <c r="F108"/>
    </row>
    <row r="109" spans="3:6" ht="15" x14ac:dyDescent="0.25">
      <c r="C109"/>
      <c r="D109"/>
      <c r="E109"/>
      <c r="F109"/>
    </row>
    <row r="110" spans="3:6" ht="15" x14ac:dyDescent="0.25">
      <c r="C110"/>
      <c r="D110"/>
      <c r="E110"/>
      <c r="F110"/>
    </row>
    <row r="111" spans="3:6" ht="15" x14ac:dyDescent="0.25">
      <c r="C111"/>
      <c r="D111"/>
      <c r="E111"/>
      <c r="F111"/>
    </row>
    <row r="112" spans="3:6" ht="15" x14ac:dyDescent="0.25">
      <c r="C112"/>
      <c r="D112"/>
      <c r="E112"/>
      <c r="F112"/>
    </row>
    <row r="113" spans="3:6" ht="15" x14ac:dyDescent="0.25">
      <c r="C113"/>
      <c r="D113"/>
      <c r="E113"/>
      <c r="F113"/>
    </row>
    <row r="114" spans="3:6" ht="15" x14ac:dyDescent="0.25">
      <c r="C114"/>
      <c r="D114"/>
      <c r="E114"/>
      <c r="F114"/>
    </row>
    <row r="115" spans="3:6" ht="15" x14ac:dyDescent="0.25">
      <c r="C115"/>
      <c r="D115"/>
      <c r="E115"/>
      <c r="F115"/>
    </row>
    <row r="116" spans="3:6" ht="15" x14ac:dyDescent="0.25">
      <c r="C116"/>
      <c r="D116"/>
      <c r="E116"/>
      <c r="F116"/>
    </row>
    <row r="117" spans="3:6" ht="15" x14ac:dyDescent="0.25">
      <c r="C117"/>
      <c r="D117"/>
      <c r="E117"/>
      <c r="F117"/>
    </row>
    <row r="118" spans="3:6" ht="15" x14ac:dyDescent="0.25">
      <c r="C118"/>
      <c r="D118"/>
      <c r="E118"/>
      <c r="F118"/>
    </row>
    <row r="119" spans="3:6" ht="15" x14ac:dyDescent="0.25">
      <c r="C119"/>
      <c r="D119"/>
      <c r="E119"/>
      <c r="F119"/>
    </row>
    <row r="120" spans="3:6" ht="15" x14ac:dyDescent="0.25">
      <c r="C120"/>
      <c r="D120"/>
      <c r="E120"/>
      <c r="F120"/>
    </row>
    <row r="121" spans="3:6" ht="15" x14ac:dyDescent="0.25">
      <c r="C121"/>
      <c r="D121"/>
      <c r="E121"/>
      <c r="F121"/>
    </row>
    <row r="122" spans="3:6" ht="15" x14ac:dyDescent="0.25">
      <c r="C122"/>
      <c r="D122"/>
      <c r="E122"/>
      <c r="F122"/>
    </row>
    <row r="123" spans="3:6" ht="15" x14ac:dyDescent="0.25">
      <c r="C123"/>
      <c r="D123"/>
      <c r="E123"/>
      <c r="F123"/>
    </row>
    <row r="124" spans="3:6" ht="15" x14ac:dyDescent="0.25">
      <c r="C124"/>
      <c r="D124"/>
      <c r="E124"/>
      <c r="F124"/>
    </row>
    <row r="125" spans="3:6" ht="15" x14ac:dyDescent="0.25">
      <c r="C125"/>
      <c r="D125"/>
      <c r="E125"/>
      <c r="F125"/>
    </row>
    <row r="126" spans="3:6" ht="15" x14ac:dyDescent="0.25">
      <c r="C126"/>
      <c r="D126"/>
      <c r="E126"/>
      <c r="F126"/>
    </row>
    <row r="127" spans="3:6" ht="15" x14ac:dyDescent="0.25">
      <c r="C127"/>
      <c r="D127"/>
      <c r="E127"/>
      <c r="F127"/>
    </row>
    <row r="128" spans="3:6" ht="15" x14ac:dyDescent="0.25">
      <c r="C128"/>
      <c r="D128"/>
      <c r="E128"/>
      <c r="F128"/>
    </row>
    <row r="129" spans="3:6" ht="15" x14ac:dyDescent="0.25">
      <c r="C129"/>
      <c r="D129"/>
      <c r="E129"/>
      <c r="F129"/>
    </row>
    <row r="130" spans="3:6" ht="15" x14ac:dyDescent="0.25">
      <c r="C130"/>
      <c r="D130"/>
      <c r="E130"/>
      <c r="F130"/>
    </row>
    <row r="131" spans="3:6" ht="15" x14ac:dyDescent="0.25">
      <c r="C131"/>
      <c r="D131"/>
      <c r="E131"/>
      <c r="F131"/>
    </row>
    <row r="132" spans="3:6" ht="15" x14ac:dyDescent="0.25">
      <c r="C132"/>
      <c r="D132"/>
      <c r="E132"/>
      <c r="F132"/>
    </row>
    <row r="133" spans="3:6" ht="15" x14ac:dyDescent="0.25">
      <c r="C133"/>
      <c r="D133"/>
      <c r="E133"/>
      <c r="F133"/>
    </row>
    <row r="134" spans="3:6" ht="15" x14ac:dyDescent="0.25">
      <c r="C134"/>
      <c r="D134"/>
      <c r="E134"/>
      <c r="F134"/>
    </row>
    <row r="135" spans="3:6" ht="15" x14ac:dyDescent="0.25">
      <c r="C135"/>
      <c r="D135"/>
      <c r="E135"/>
      <c r="F135"/>
    </row>
    <row r="136" spans="3:6" ht="15" x14ac:dyDescent="0.25">
      <c r="C136"/>
      <c r="D136"/>
      <c r="E136"/>
      <c r="F136"/>
    </row>
    <row r="137" spans="3:6" ht="15" x14ac:dyDescent="0.25">
      <c r="C137"/>
      <c r="D137"/>
      <c r="E137"/>
      <c r="F137"/>
    </row>
    <row r="138" spans="3:6" ht="15" x14ac:dyDescent="0.25">
      <c r="C138"/>
      <c r="D138"/>
      <c r="E138"/>
      <c r="F138"/>
    </row>
    <row r="139" spans="3:6" ht="15" x14ac:dyDescent="0.25">
      <c r="C139"/>
      <c r="D139"/>
      <c r="E139"/>
      <c r="F139"/>
    </row>
    <row r="140" spans="3:6" ht="15" x14ac:dyDescent="0.25">
      <c r="C140"/>
      <c r="D140"/>
      <c r="E140"/>
      <c r="F140"/>
    </row>
    <row r="141" spans="3:6" ht="15" x14ac:dyDescent="0.25">
      <c r="C141"/>
      <c r="D141"/>
      <c r="E141"/>
      <c r="F141"/>
    </row>
    <row r="142" spans="3:6" ht="15" x14ac:dyDescent="0.25">
      <c r="C142"/>
      <c r="D142"/>
      <c r="E142"/>
      <c r="F142"/>
    </row>
    <row r="143" spans="3:6" ht="15" x14ac:dyDescent="0.25">
      <c r="C143"/>
      <c r="D143"/>
      <c r="E143"/>
      <c r="F143"/>
    </row>
    <row r="144" spans="3:6" ht="15" x14ac:dyDescent="0.25">
      <c r="C144"/>
      <c r="D144"/>
      <c r="E144"/>
      <c r="F144"/>
    </row>
    <row r="145" spans="3:6" ht="15" x14ac:dyDescent="0.25">
      <c r="C145"/>
      <c r="D145"/>
      <c r="E145"/>
      <c r="F145"/>
    </row>
    <row r="146" spans="3:6" ht="15" x14ac:dyDescent="0.25">
      <c r="C146"/>
      <c r="D146"/>
      <c r="E146"/>
      <c r="F146"/>
    </row>
    <row r="147" spans="3:6" ht="15" x14ac:dyDescent="0.25">
      <c r="C147"/>
      <c r="D147"/>
      <c r="E147"/>
      <c r="F147"/>
    </row>
    <row r="148" spans="3:6" ht="15" x14ac:dyDescent="0.25">
      <c r="C148"/>
      <c r="D148"/>
      <c r="E148"/>
      <c r="F148"/>
    </row>
    <row r="149" spans="3:6" ht="15" x14ac:dyDescent="0.25">
      <c r="C149"/>
      <c r="D149"/>
      <c r="E149"/>
      <c r="F149"/>
    </row>
    <row r="150" spans="3:6" ht="15" x14ac:dyDescent="0.25">
      <c r="C150"/>
      <c r="D150"/>
      <c r="E150"/>
      <c r="F150"/>
    </row>
    <row r="151" spans="3:6" ht="15" x14ac:dyDescent="0.25">
      <c r="C151"/>
      <c r="D151"/>
      <c r="E151"/>
      <c r="F151"/>
    </row>
    <row r="152" spans="3:6" ht="15" x14ac:dyDescent="0.25">
      <c r="C152"/>
      <c r="D152"/>
      <c r="E152"/>
      <c r="F152"/>
    </row>
    <row r="153" spans="3:6" ht="15" x14ac:dyDescent="0.25">
      <c r="C153"/>
      <c r="D153"/>
      <c r="E153"/>
      <c r="F153"/>
    </row>
    <row r="154" spans="3:6" ht="15" x14ac:dyDescent="0.25">
      <c r="C154"/>
      <c r="D154"/>
      <c r="E154"/>
      <c r="F154"/>
    </row>
    <row r="155" spans="3:6" ht="15" x14ac:dyDescent="0.25">
      <c r="C155"/>
      <c r="D155"/>
      <c r="E155"/>
      <c r="F155"/>
    </row>
    <row r="156" spans="3:6" ht="15" x14ac:dyDescent="0.25">
      <c r="C156"/>
      <c r="D156"/>
      <c r="E156"/>
      <c r="F156"/>
    </row>
    <row r="157" spans="3:6" ht="15" x14ac:dyDescent="0.25">
      <c r="C157"/>
      <c r="D157"/>
      <c r="E157"/>
      <c r="F157"/>
    </row>
    <row r="158" spans="3:6" ht="15" x14ac:dyDescent="0.25">
      <c r="C158"/>
      <c r="D158"/>
      <c r="E158"/>
      <c r="F158"/>
    </row>
    <row r="159" spans="3:6" ht="15" x14ac:dyDescent="0.25">
      <c r="C159"/>
      <c r="D159"/>
      <c r="E159"/>
      <c r="F159"/>
    </row>
    <row r="160" spans="3:6" ht="15" x14ac:dyDescent="0.25">
      <c r="C160"/>
      <c r="D160"/>
      <c r="E160"/>
      <c r="F160"/>
    </row>
    <row r="161" spans="3:6" ht="15" x14ac:dyDescent="0.25">
      <c r="C161"/>
      <c r="D161"/>
      <c r="E161"/>
      <c r="F161"/>
    </row>
    <row r="162" spans="3:6" ht="15" x14ac:dyDescent="0.25">
      <c r="C162"/>
      <c r="D162"/>
      <c r="E162"/>
      <c r="F162"/>
    </row>
    <row r="163" spans="3:6" ht="15" x14ac:dyDescent="0.25">
      <c r="C163"/>
      <c r="D163"/>
      <c r="E163"/>
      <c r="F163"/>
    </row>
    <row r="164" spans="3:6" ht="15" x14ac:dyDescent="0.25">
      <c r="C164"/>
      <c r="D164"/>
      <c r="E164"/>
      <c r="F164"/>
    </row>
    <row r="165" spans="3:6" ht="15" x14ac:dyDescent="0.25">
      <c r="C165"/>
      <c r="D165"/>
      <c r="E165"/>
      <c r="F165"/>
    </row>
    <row r="166" spans="3:6" ht="15" x14ac:dyDescent="0.25">
      <c r="C166"/>
      <c r="D166"/>
      <c r="E166"/>
      <c r="F166"/>
    </row>
    <row r="167" spans="3:6" ht="15" x14ac:dyDescent="0.25">
      <c r="C167"/>
      <c r="D167"/>
      <c r="E167"/>
      <c r="F167"/>
    </row>
    <row r="168" spans="3:6" ht="15" x14ac:dyDescent="0.25">
      <c r="C168"/>
      <c r="D168"/>
      <c r="E168"/>
      <c r="F168"/>
    </row>
    <row r="169" spans="3:6" ht="15" x14ac:dyDescent="0.25">
      <c r="C169"/>
      <c r="D169"/>
      <c r="E169"/>
      <c r="F169"/>
    </row>
    <row r="170" spans="3:6" ht="15" x14ac:dyDescent="0.25">
      <c r="C170"/>
      <c r="D170"/>
      <c r="E170"/>
      <c r="F170"/>
    </row>
    <row r="171" spans="3:6" ht="15" x14ac:dyDescent="0.25">
      <c r="C171"/>
      <c r="D171"/>
      <c r="E171"/>
      <c r="F171"/>
    </row>
    <row r="172" spans="3:6" ht="15" x14ac:dyDescent="0.25">
      <c r="C172"/>
      <c r="D172"/>
      <c r="E172"/>
      <c r="F172"/>
    </row>
    <row r="173" spans="3:6" ht="15" x14ac:dyDescent="0.25">
      <c r="C173"/>
      <c r="D173"/>
      <c r="E173"/>
      <c r="F173"/>
    </row>
    <row r="174" spans="3:6" ht="15" x14ac:dyDescent="0.25">
      <c r="C174"/>
      <c r="D174"/>
      <c r="E174"/>
      <c r="F174"/>
    </row>
    <row r="175" spans="3:6" ht="15" x14ac:dyDescent="0.25">
      <c r="C175"/>
      <c r="D175"/>
      <c r="E175"/>
      <c r="F175"/>
    </row>
    <row r="176" spans="3:6" ht="15" x14ac:dyDescent="0.25">
      <c r="C176"/>
      <c r="D176"/>
      <c r="E176"/>
      <c r="F176"/>
    </row>
    <row r="177" spans="3:6" ht="15" x14ac:dyDescent="0.25">
      <c r="C177"/>
      <c r="D177"/>
      <c r="E177"/>
      <c r="F177"/>
    </row>
    <row r="178" spans="3:6" ht="15" x14ac:dyDescent="0.25">
      <c r="C178"/>
      <c r="D178"/>
      <c r="E178"/>
      <c r="F178"/>
    </row>
    <row r="179" spans="3:6" ht="15" x14ac:dyDescent="0.25">
      <c r="C179"/>
      <c r="D179"/>
      <c r="E179"/>
      <c r="F179"/>
    </row>
    <row r="180" spans="3:6" ht="15" x14ac:dyDescent="0.25">
      <c r="C180"/>
      <c r="D180"/>
      <c r="E180"/>
      <c r="F180"/>
    </row>
    <row r="181" spans="3:6" ht="15" x14ac:dyDescent="0.25">
      <c r="C181"/>
      <c r="D181"/>
      <c r="E181"/>
      <c r="F181"/>
    </row>
  </sheetData>
  <dataValidations count="1">
    <dataValidation type="list" allowBlank="1" showInputMessage="1" showErrorMessage="1" sqref="C20:C24" xr:uid="{13058426-97CF-4E32-BFEE-D6AC4B8510EF}">
      <formula1>$H$60:$H$74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99F1-982B-44F2-966C-2E81F8C429AD}">
  <sheetPr>
    <tabColor rgb="FF0000FF"/>
  </sheetPr>
  <dimension ref="B2:G26"/>
  <sheetViews>
    <sheetView showGridLines="0" zoomScaleNormal="100" workbookViewId="0">
      <selection activeCell="E13" sqref="E13"/>
    </sheetView>
  </sheetViews>
  <sheetFormatPr defaultRowHeight="15" x14ac:dyDescent="0.25"/>
  <cols>
    <col min="1" max="1" width="2.42578125" customWidth="1"/>
    <col min="2" max="2" width="30.7109375" customWidth="1"/>
    <col min="3" max="3" width="9.140625" customWidth="1"/>
    <col min="4" max="5" width="11.7109375" customWidth="1"/>
    <col min="7" max="7" width="30.7109375" customWidth="1"/>
    <col min="9" max="9" width="1.5703125" customWidth="1"/>
  </cols>
  <sheetData>
    <row r="2" spans="2:7" ht="21" x14ac:dyDescent="0.35">
      <c r="B2" s="111" t="s">
        <v>132</v>
      </c>
      <c r="C2" s="112"/>
      <c r="D2" s="112"/>
      <c r="E2" s="112"/>
      <c r="F2" s="112"/>
      <c r="G2" s="112"/>
    </row>
    <row r="3" spans="2:7" ht="15.75" thickBot="1" x14ac:dyDescent="0.3"/>
    <row r="4" spans="2:7" ht="82.5" customHeight="1" thickTop="1" thickBot="1" x14ac:dyDescent="0.3">
      <c r="B4" s="110" t="s">
        <v>163</v>
      </c>
      <c r="D4" s="169" t="s">
        <v>143</v>
      </c>
      <c r="E4" s="170"/>
      <c r="G4" s="109" t="s">
        <v>165</v>
      </c>
    </row>
    <row r="5" spans="2:7" ht="15.75" thickTop="1" x14ac:dyDescent="0.25">
      <c r="C5" s="106"/>
      <c r="F5" s="108"/>
    </row>
    <row r="6" spans="2:7" ht="25.5" customHeight="1" x14ac:dyDescent="0.25">
      <c r="D6" s="165" t="s">
        <v>131</v>
      </c>
      <c r="E6" s="165"/>
    </row>
    <row r="7" spans="2:7" x14ac:dyDescent="0.25">
      <c r="D7" s="107"/>
    </row>
    <row r="8" spans="2:7" ht="15.75" thickBot="1" x14ac:dyDescent="0.3">
      <c r="D8" s="107"/>
    </row>
    <row r="9" spans="2:7" ht="60.75" customHeight="1" thickTop="1" thickBot="1" x14ac:dyDescent="0.3">
      <c r="C9" s="166" t="s">
        <v>162</v>
      </c>
      <c r="D9" s="167"/>
      <c r="E9" s="167"/>
      <c r="F9" s="168"/>
    </row>
    <row r="10" spans="2:7" ht="15.75" thickTop="1" x14ac:dyDescent="0.25"/>
    <row r="11" spans="2:7" ht="21" x14ac:dyDescent="0.35">
      <c r="B11" s="111" t="s">
        <v>133</v>
      </c>
      <c r="C11" s="112"/>
      <c r="D11" s="112"/>
      <c r="E11" s="112"/>
      <c r="F11" s="112"/>
      <c r="G11" s="112"/>
    </row>
    <row r="13" spans="2:7" ht="15.75" x14ac:dyDescent="0.25">
      <c r="B13" s="114"/>
      <c r="C13" s="115"/>
      <c r="D13" s="116" t="s">
        <v>164</v>
      </c>
      <c r="E13" s="113"/>
    </row>
    <row r="14" spans="2:7" ht="15.75" x14ac:dyDescent="0.25">
      <c r="B14" s="114"/>
      <c r="C14" s="115"/>
      <c r="D14" s="116" t="s">
        <v>134</v>
      </c>
      <c r="E14" s="35"/>
    </row>
    <row r="15" spans="2:7" ht="15.75" x14ac:dyDescent="0.25">
      <c r="B15" s="114"/>
      <c r="C15" s="115"/>
      <c r="D15" s="116" t="s">
        <v>135</v>
      </c>
      <c r="E15" s="35"/>
    </row>
    <row r="16" spans="2:7" ht="15.75" x14ac:dyDescent="0.25">
      <c r="B16" s="114"/>
      <c r="C16" s="115"/>
      <c r="D16" s="116" t="s">
        <v>139</v>
      </c>
      <c r="E16" s="44">
        <v>500</v>
      </c>
      <c r="F16" t="s">
        <v>140</v>
      </c>
    </row>
    <row r="17" spans="2:7" ht="15.75" x14ac:dyDescent="0.25">
      <c r="B17" s="114"/>
      <c r="C17" s="115"/>
      <c r="D17" s="116" t="s">
        <v>136</v>
      </c>
      <c r="E17" s="36">
        <v>43159</v>
      </c>
    </row>
    <row r="18" spans="2:7" ht="15.75" x14ac:dyDescent="0.25">
      <c r="B18" s="114"/>
      <c r="C18" s="115"/>
      <c r="D18" s="116" t="s">
        <v>137</v>
      </c>
      <c r="E18" s="36">
        <v>43169</v>
      </c>
    </row>
    <row r="19" spans="2:7" ht="15.75" x14ac:dyDescent="0.25">
      <c r="B19" s="114"/>
      <c r="C19" s="115"/>
      <c r="D19" s="116" t="s">
        <v>210</v>
      </c>
      <c r="E19" s="38"/>
      <c r="G19" t="str">
        <f ca="1">IF(_xlfn.ISFORMULA(E19)," "&amp;_xlfn.FORMULATEXT(E19),"")&amp;" ==&gt;&gt;   "&amp;SUBSTITUTE(D17,":","")&amp;" + "&amp;SUBSTITUTE(D14,":","")</f>
        <v xml:space="preserve"> ==&gt;&gt;   Invoice Date + Number Days to Take Discount</v>
      </c>
    </row>
    <row r="20" spans="2:7" ht="15.75" x14ac:dyDescent="0.25">
      <c r="B20" s="114"/>
      <c r="C20" s="115"/>
      <c r="D20" s="116" t="s">
        <v>209</v>
      </c>
      <c r="E20" s="38"/>
      <c r="G20" t="str">
        <f ca="1">IF(_xlfn.ISFORMULA(E20)," "&amp;_xlfn.FORMULATEXT(E20),"")&amp;" ==&gt;&gt;   "&amp;SUBSTITUTE(D17,":","")&amp;" + "&amp;SUBSTITUTE(D15,":","")</f>
        <v xml:space="preserve"> ==&gt;&gt;   Invoice Date + Number of Days until Invoice is considered Late</v>
      </c>
    </row>
    <row r="21" spans="2:7" ht="15.75" x14ac:dyDescent="0.25">
      <c r="B21" s="114"/>
      <c r="C21" s="115"/>
      <c r="D21" s="116" t="str">
        <f>"How Many Days Between "&amp;SUBSTITUTE(D18,":","")&amp;" &amp; "&amp;SUBSTITUTE(D17,":","")&amp;"?"</f>
        <v>How Many Days Between Payment Date &amp; Invoice Date?</v>
      </c>
      <c r="E21" s="37"/>
      <c r="G21" t="str">
        <f ca="1">IF(_xlfn.ISFORMULA(E21)," "&amp;_xlfn.FORMULATEXT(E21),"")&amp;" ==&gt;&gt;   Later Date - Earlier Date = "&amp;SUBSTITUTE(D18,":","")&amp;" - "&amp;SUBSTITUTE(D17,":","")</f>
        <v xml:space="preserve"> ==&gt;&gt;   Later Date - Earlier Date = Payment Date - Invoice Date</v>
      </c>
    </row>
    <row r="22" spans="2:7" ht="15.75" x14ac:dyDescent="0.25">
      <c r="B22" s="114"/>
      <c r="C22" s="115"/>
      <c r="D22" s="116" t="str">
        <f>"1) Is Cash Discount Earned? Paid in "&amp;$E$14&amp;" or fewer days?"</f>
        <v>1) Is Cash Discount Earned? Paid in  or fewer days?</v>
      </c>
      <c r="E22" s="37"/>
      <c r="G22" t="str">
        <f ca="1">IF(_xlfn.ISFORMULA(E22)," "&amp;_xlfn.FORMULATEXT(E22),"")&amp;" ==&gt;&gt;   Days Between Payment Date &amp; Invoice Date &lt;= Number Days to Take Discount"</f>
        <v xml:space="preserve"> ==&gt;&gt;   Days Between Payment Date &amp; Invoice Date &lt;= Number Days to Take Discount</v>
      </c>
    </row>
    <row r="23" spans="2:7" ht="15.75" x14ac:dyDescent="0.25">
      <c r="B23" s="114"/>
      <c r="C23" s="115"/>
      <c r="D23" s="116" t="str">
        <f>"1) Is Cash Discount Earned? Paid in "&amp;$E$14&amp;" or fewer days?"</f>
        <v>1) Is Cash Discount Earned? Paid in  or fewer days?</v>
      </c>
      <c r="E23" s="37"/>
      <c r="G23" t="str">
        <f ca="1">IF(_xlfn.ISFORMULA(E23)," "&amp;_xlfn.FORMULATEXT(E23),"")&amp;" ==&gt;&gt;   "&amp;SUBSTITUTE(D18,":","")&amp;" &lt;= "&amp;SUBSTITUTE(D19,":","")</f>
        <v xml:space="preserve"> ==&gt;&gt;   Payment Date &lt;= Last Day To Earn A Discount</v>
      </c>
    </row>
    <row r="24" spans="2:7" ht="15.75" x14ac:dyDescent="0.25">
      <c r="B24" s="114"/>
      <c r="C24" s="115"/>
      <c r="D24" s="116" t="s">
        <v>138</v>
      </c>
      <c r="E24" s="117"/>
      <c r="G24" t="str">
        <f t="shared" ref="G24:G26" ca="1" si="0">IF(_xlfn.ISFORMULA(E24)," "&amp;_xlfn.FORMULATEXT(E24),"")</f>
        <v/>
      </c>
    </row>
    <row r="25" spans="2:7" ht="15.75" x14ac:dyDescent="0.25">
      <c r="B25" s="114"/>
      <c r="C25" s="115"/>
      <c r="D25" s="116" t="s">
        <v>141</v>
      </c>
      <c r="E25" s="117"/>
      <c r="G25" t="str">
        <f t="shared" ca="1" si="0"/>
        <v/>
      </c>
    </row>
    <row r="26" spans="2:7" ht="15.75" x14ac:dyDescent="0.25">
      <c r="B26" s="114"/>
      <c r="C26" s="115"/>
      <c r="D26" s="116" t="s">
        <v>142</v>
      </c>
      <c r="E26" s="117"/>
      <c r="G26" t="str">
        <f t="shared" ca="1" si="0"/>
        <v/>
      </c>
    </row>
  </sheetData>
  <mergeCells count="3">
    <mergeCell ref="D6:E6"/>
    <mergeCell ref="C9:F9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5003-73C5-4FA4-8420-1D86D0395DC7}">
  <sheetPr>
    <tabColor rgb="FFFF0000"/>
  </sheetPr>
  <dimension ref="B2:G26"/>
  <sheetViews>
    <sheetView showGridLines="0" zoomScaleNormal="100" workbookViewId="0">
      <selection activeCell="E13" sqref="E13"/>
    </sheetView>
  </sheetViews>
  <sheetFormatPr defaultRowHeight="15" x14ac:dyDescent="0.25"/>
  <cols>
    <col min="1" max="1" width="2.42578125" customWidth="1"/>
    <col min="2" max="2" width="30.7109375" customWidth="1"/>
    <col min="3" max="3" width="9.140625" customWidth="1"/>
    <col min="4" max="5" width="11.7109375" customWidth="1"/>
    <col min="7" max="7" width="30.7109375" customWidth="1"/>
    <col min="9" max="9" width="1.5703125" customWidth="1"/>
  </cols>
  <sheetData>
    <row r="2" spans="2:7" ht="21" x14ac:dyDescent="0.35">
      <c r="B2" s="111" t="s">
        <v>132</v>
      </c>
      <c r="C2" s="112"/>
      <c r="D2" s="112"/>
      <c r="E2" s="112"/>
      <c r="F2" s="112"/>
      <c r="G2" s="112"/>
    </row>
    <row r="3" spans="2:7" ht="15.75" thickBot="1" x14ac:dyDescent="0.3"/>
    <row r="4" spans="2:7" ht="82.5" customHeight="1" thickTop="1" thickBot="1" x14ac:dyDescent="0.3">
      <c r="B4" s="110" t="s">
        <v>163</v>
      </c>
      <c r="D4" s="169" t="s">
        <v>143</v>
      </c>
      <c r="E4" s="170"/>
      <c r="G4" s="109" t="s">
        <v>165</v>
      </c>
    </row>
    <row r="5" spans="2:7" ht="15.75" thickTop="1" x14ac:dyDescent="0.25">
      <c r="C5" s="106"/>
      <c r="F5" s="108"/>
    </row>
    <row r="6" spans="2:7" ht="25.5" customHeight="1" x14ac:dyDescent="0.25">
      <c r="D6" s="165" t="s">
        <v>131</v>
      </c>
      <c r="E6" s="165"/>
    </row>
    <row r="7" spans="2:7" x14ac:dyDescent="0.25">
      <c r="D7" s="107"/>
    </row>
    <row r="8" spans="2:7" ht="15.75" thickBot="1" x14ac:dyDescent="0.3">
      <c r="D8" s="107"/>
    </row>
    <row r="9" spans="2:7" ht="60.75" customHeight="1" thickTop="1" thickBot="1" x14ac:dyDescent="0.3">
      <c r="C9" s="166" t="s">
        <v>162</v>
      </c>
      <c r="D9" s="167"/>
      <c r="E9" s="167"/>
      <c r="F9" s="168"/>
    </row>
    <row r="10" spans="2:7" ht="15.75" thickTop="1" x14ac:dyDescent="0.25"/>
    <row r="11" spans="2:7" ht="21" x14ac:dyDescent="0.35">
      <c r="B11" s="111" t="s">
        <v>133</v>
      </c>
      <c r="C11" s="112"/>
      <c r="D11" s="112"/>
      <c r="E11" s="112"/>
      <c r="F11" s="112"/>
      <c r="G11" s="112"/>
    </row>
    <row r="13" spans="2:7" ht="15.75" x14ac:dyDescent="0.25">
      <c r="B13" s="114"/>
      <c r="C13" s="115"/>
      <c r="D13" s="116" t="s">
        <v>164</v>
      </c>
      <c r="E13" s="113">
        <v>0.02</v>
      </c>
    </row>
    <row r="14" spans="2:7" ht="15.75" x14ac:dyDescent="0.25">
      <c r="B14" s="114"/>
      <c r="C14" s="115"/>
      <c r="D14" s="116" t="s">
        <v>134</v>
      </c>
      <c r="E14" s="35">
        <v>10</v>
      </c>
    </row>
    <row r="15" spans="2:7" ht="15.75" x14ac:dyDescent="0.25">
      <c r="B15" s="114"/>
      <c r="C15" s="115"/>
      <c r="D15" s="116" t="s">
        <v>135</v>
      </c>
      <c r="E15" s="35">
        <v>30</v>
      </c>
    </row>
    <row r="16" spans="2:7" ht="15.75" x14ac:dyDescent="0.25">
      <c r="B16" s="114"/>
      <c r="C16" s="115"/>
      <c r="D16" s="116" t="s">
        <v>139</v>
      </c>
      <c r="E16" s="44">
        <v>500</v>
      </c>
      <c r="F16" t="s">
        <v>140</v>
      </c>
    </row>
    <row r="17" spans="2:7" ht="15.75" x14ac:dyDescent="0.25">
      <c r="B17" s="114"/>
      <c r="C17" s="115"/>
      <c r="D17" s="116" t="s">
        <v>136</v>
      </c>
      <c r="E17" s="36">
        <v>43159</v>
      </c>
    </row>
    <row r="18" spans="2:7" ht="15.75" x14ac:dyDescent="0.25">
      <c r="B18" s="114"/>
      <c r="C18" s="115"/>
      <c r="D18" s="116" t="s">
        <v>137</v>
      </c>
      <c r="E18" s="36">
        <v>43169</v>
      </c>
    </row>
    <row r="19" spans="2:7" ht="15.75" x14ac:dyDescent="0.25">
      <c r="B19" s="114"/>
      <c r="C19" s="115"/>
      <c r="D19" s="116" t="s">
        <v>210</v>
      </c>
      <c r="E19" s="38">
        <f>E17+E14</f>
        <v>43169</v>
      </c>
      <c r="G19" t="str">
        <f ca="1">IF(_xlfn.ISFORMULA(E19)," "&amp;_xlfn.FORMULATEXT(E19),"")&amp;" ==&gt;&gt;   "&amp;SUBSTITUTE(D17,":","")&amp;" + "&amp;SUBSTITUTE(D14,":","")</f>
        <v xml:space="preserve"> =E17+E14 ==&gt;&gt;   Invoice Date + Number Days to Take Discount</v>
      </c>
    </row>
    <row r="20" spans="2:7" ht="15.75" x14ac:dyDescent="0.25">
      <c r="B20" s="114"/>
      <c r="C20" s="115"/>
      <c r="D20" s="116" t="s">
        <v>209</v>
      </c>
      <c r="E20" s="38">
        <f>E17+E15</f>
        <v>43189</v>
      </c>
      <c r="G20" t="str">
        <f ca="1">IF(_xlfn.ISFORMULA(E20)," "&amp;_xlfn.FORMULATEXT(E20),"")&amp;" ==&gt;&gt;   "&amp;SUBSTITUTE(D17,":","")&amp;" + "&amp;SUBSTITUTE(D15,":","")</f>
        <v xml:space="preserve"> =E17+E15 ==&gt;&gt;   Invoice Date + Number of Days until Invoice is considered Late</v>
      </c>
    </row>
    <row r="21" spans="2:7" ht="15.75" x14ac:dyDescent="0.25">
      <c r="B21" s="114"/>
      <c r="C21" s="115"/>
      <c r="D21" s="116" t="str">
        <f>"How Many Days Between "&amp;SUBSTITUTE(D18,":","")&amp;" &amp; "&amp;SUBSTITUTE(D17,":","")&amp;"?"</f>
        <v>How Many Days Between Payment Date &amp; Invoice Date?</v>
      </c>
      <c r="E21" s="37">
        <f>E18-E17</f>
        <v>10</v>
      </c>
      <c r="G21" t="str">
        <f ca="1">IF(_xlfn.ISFORMULA(E21)," "&amp;_xlfn.FORMULATEXT(E21),"")&amp;" ==&gt;&gt;   Later Date - Earlier Date = "&amp;SUBSTITUTE(D18,":","")&amp;" - "&amp;SUBSTITUTE(D17,":","")</f>
        <v xml:space="preserve"> =E18-E17 ==&gt;&gt;   Later Date - Earlier Date = Payment Date - Invoice Date</v>
      </c>
    </row>
    <row r="22" spans="2:7" ht="15.75" x14ac:dyDescent="0.25">
      <c r="B22" s="114"/>
      <c r="C22" s="115"/>
      <c r="D22" s="116" t="str">
        <f>"1) Is Cash Discount Earned? Paid in "&amp;$E$14&amp;" or fewer days?"</f>
        <v>1) Is Cash Discount Earned? Paid in 10 or fewer days?</v>
      </c>
      <c r="E22" s="37" t="b">
        <f>E21&lt;=E14</f>
        <v>1</v>
      </c>
      <c r="G22" t="str">
        <f ca="1">IF(_xlfn.ISFORMULA(E22)," "&amp;_xlfn.FORMULATEXT(E22),"")&amp;" ==&gt;&gt;   Days Between Payment Date &amp; Invoice Date &lt;= Number Days to Take Discount"</f>
        <v xml:space="preserve"> =E21&lt;=E14 ==&gt;&gt;   Days Between Payment Date &amp; Invoice Date &lt;= Number Days to Take Discount</v>
      </c>
    </row>
    <row r="23" spans="2:7" ht="15.75" x14ac:dyDescent="0.25">
      <c r="B23" s="114"/>
      <c r="C23" s="115"/>
      <c r="D23" s="116" t="str">
        <f>"1) Is Cash Discount Earned? Paid in "&amp;$E$14&amp;" or fewer days?"</f>
        <v>1) Is Cash Discount Earned? Paid in 10 or fewer days?</v>
      </c>
      <c r="E23" s="37" t="b">
        <f>E18&lt;=E19</f>
        <v>1</v>
      </c>
      <c r="G23" t="str">
        <f ca="1">IF(_xlfn.ISFORMULA(E23)," "&amp;_xlfn.FORMULATEXT(E23),"")&amp;" ==&gt;&gt;   "&amp;SUBSTITUTE(D18,":","")&amp;" &lt;= "&amp;SUBSTITUTE(D19,":","")</f>
        <v xml:space="preserve"> =E18&lt;=E19 ==&gt;&gt;   Payment Date &lt;= Last Day To Earn A Discount</v>
      </c>
    </row>
    <row r="24" spans="2:7" ht="15.75" x14ac:dyDescent="0.25">
      <c r="B24" s="114"/>
      <c r="C24" s="115"/>
      <c r="D24" s="116" t="s">
        <v>138</v>
      </c>
      <c r="E24" s="117">
        <f>ROUND(E16*E13,2)</f>
        <v>10</v>
      </c>
      <c r="G24" t="str">
        <f t="shared" ref="G24:G26" ca="1" si="0">IF(_xlfn.ISFORMULA(E24)," "&amp;_xlfn.FORMULATEXT(E24),"")</f>
        <v xml:space="preserve"> =ROUND(E16*E13,2)</v>
      </c>
    </row>
    <row r="25" spans="2:7" ht="15.75" x14ac:dyDescent="0.25">
      <c r="B25" s="114"/>
      <c r="C25" s="115"/>
      <c r="D25" s="116" t="s">
        <v>141</v>
      </c>
      <c r="E25" s="117">
        <f>IF(E22,E16-E24,E16)</f>
        <v>490</v>
      </c>
      <c r="G25" t="str">
        <f t="shared" ca="1" si="0"/>
        <v xml:space="preserve"> =IF(E22,E16-E24,E16)</v>
      </c>
    </row>
    <row r="26" spans="2:7" ht="15.75" x14ac:dyDescent="0.25">
      <c r="B26" s="114"/>
      <c r="C26" s="115"/>
      <c r="D26" s="116" t="s">
        <v>142</v>
      </c>
      <c r="E26" s="117">
        <f>IF(E18-E17&lt;=E14,ROUND(E16*(1-E13),2),E16)</f>
        <v>490</v>
      </c>
      <c r="G26" t="str">
        <f t="shared" ca="1" si="0"/>
        <v xml:space="preserve"> =IF(E18-E17&lt;=E14,ROUND(E16*(1-E13),2),E16)</v>
      </c>
    </row>
  </sheetData>
  <mergeCells count="3">
    <mergeCell ref="D4:E4"/>
    <mergeCell ref="D6:E6"/>
    <mergeCell ref="C9:F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9 0 R G T P a Y o n q m A A A A + A A A A B I A H A B D b 2 5 m a W c v U G F j a 2 F n Z S 5 4 b W w g o h g A K K A U A A A A A A A A A A A A A A A A A A A A A A A A A A A A h Y 8 x D o I w G E a v Q r r T l o J R y U 8 Z X C U x I R p X U i o 0 Q j G 0 W O 7 m 4 J G 8 g i S K u j l + L 2 9 4 3 + N 2 h 3 R s G + 8 q e 6 M 6 n a A A U + R J L b p S 6 S p B g z 3 5 K 5 R y 2 B X i X F T S m 2 R t 4 t G U C a q t v c S E O O e w C 3 H X V 4 R R G p B j t s 1 F L d s C f W T 1 X / a V N r b Q Q i I O h 1 c M Z 3 g R 4 W i 9 p D h k A Z A Z Q 6 b 0 V 2 F T M a Z A f i B s h s Y O v e R S + / s c y D y B v F / w J 1 B L A w Q U A A I A C A D 3 R E Z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0 R G T C i K R 7 g O A A A A E Q A A A B M A H A B G b 3 J t d W x h c y 9 T Z W N 0 a W 9 u M S 5 t I K I Y A C i g F A A A A A A A A A A A A A A A A A A A A A A A A A A A A C t O T S 7 J z M 9 T C I b Q h t Y A U E s B A i 0 A F A A C A A g A 9 0 R G T P a Y o n q m A A A A + A A A A B I A A A A A A A A A A A A A A A A A A A A A A E N v b m Z p Z y 9 Q Y W N r Y W d l L n h t b F B L A Q I t A B Q A A g A I A P d E R k w P y u m r p A A A A O k A A A A T A A A A A A A A A A A A A A A A A P I A A A B b Q 2 9 u d G V u d F 9 U e X B l c 1 0 u e G 1 s U E s B A i 0 A F A A C A A g A 9 0 R G T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l v o z 4 7 O B l A l H n q O j U O d i o A A A A A A g A A A A A A A 2 Y A A M A A A A A Q A A A A w k N / Z M E Y V D v b Y R c f y z G y M g A A A A A E g A A A o A A A A B A A A A B T 8 D g D 3 O Z Q b B d 3 N d e a u V T i U A A A A B s o U k a 8 j g J m e 5 e 0 8 N n f P k H S u f Y / t f / 0 j Q x G 5 z E B R k e L E w S V I v 4 g W / Z r V 5 F 3 W l d + Y h f r r A f o K 3 3 4 a L 4 i P u m x a z W c x V f J H U R s W 5 c g M 6 Y d I S N h F A A A A P O m Y o n I F r l s + q X u m b 4 w i S a l f J E G < / D a t a M a s h u p > 
</file>

<file path=customXml/itemProps1.xml><?xml version="1.0" encoding="utf-8"?>
<ds:datastoreItem xmlns:ds="http://schemas.openxmlformats.org/officeDocument/2006/customXml" ds:itemID="{2DEF75C6-3E3C-49A1-8EA3-459A16697D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Cover</vt:lpstr>
      <vt:lpstr>Date NF &amp; Calcs</vt:lpstr>
      <vt:lpstr>Date NF &amp; Calcs (an)</vt:lpstr>
      <vt:lpstr>Invoice</vt:lpstr>
      <vt:lpstr>ShipTerms</vt:lpstr>
      <vt:lpstr>Sales Tax</vt:lpstr>
      <vt:lpstr>Cash Discounts</vt:lpstr>
      <vt:lpstr>O(1)</vt:lpstr>
      <vt:lpstr>O(1an)</vt:lpstr>
      <vt:lpstr>O(2)</vt:lpstr>
      <vt:lpstr>O(2an)</vt:lpstr>
      <vt:lpstr>O(3)</vt:lpstr>
      <vt:lpstr>O(3an)</vt:lpstr>
      <vt:lpstr>AS OF</vt:lpstr>
      <vt:lpstr>AS OF (an)</vt:lpstr>
      <vt:lpstr>ROG</vt:lpstr>
      <vt:lpstr>ROG (an)</vt:lpstr>
      <vt:lpstr>EOM</vt:lpstr>
      <vt:lpstr>EOM(an)</vt:lpstr>
      <vt:lpstr>HW ==&gt;&gt;</vt:lpstr>
      <vt:lpstr>HW(1-3)</vt:lpstr>
      <vt:lpstr>HW(1-3) (an)</vt:lpstr>
      <vt:lpstr>HW(4-6)</vt:lpstr>
      <vt:lpstr>HW(4-6) (an)</vt:lpstr>
      <vt:lpstr>HW(7-9)</vt:lpstr>
      <vt:lpstr>HW(7-9) (an)</vt:lpstr>
      <vt:lpstr>HW(10-12)</vt:lpstr>
      <vt:lpstr>HW(10-12) (an)</vt:lpstr>
      <vt:lpstr>HW(13)</vt:lpstr>
      <vt:lpstr>HW(13an)</vt:lpstr>
      <vt:lpstr>HW(14)</vt:lpstr>
      <vt:lpstr>HW(14an)</vt:lpstr>
      <vt:lpstr>HW(15)</vt:lpstr>
      <vt:lpstr>HW(15an)</vt:lpstr>
      <vt:lpstr>HW(16)</vt:lpstr>
      <vt:lpstr>HW(16an)</vt:lpstr>
      <vt:lpstr>HW(17)</vt:lpstr>
      <vt:lpstr>HW(17an)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2018-02-09T18:04:21Z</cp:lastPrinted>
  <dcterms:created xsi:type="dcterms:W3CDTF">2017-12-16T16:53:55Z</dcterms:created>
  <dcterms:modified xsi:type="dcterms:W3CDTF">2020-02-27T16:29:12Z</dcterms:modified>
</cp:coreProperties>
</file>