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8130" tabRatio="691" activeTab="0"/>
  </bookViews>
  <sheets>
    <sheet name="PMT" sheetId="1" r:id="rId1"/>
    <sheet name="PMT (an)" sheetId="2" r:id="rId2"/>
    <sheet name="RATE" sheetId="3" r:id="rId3"/>
    <sheet name="RATE (an)" sheetId="4" r:id="rId4"/>
    <sheet name="EFFECT" sheetId="5" r:id="rId5"/>
    <sheet name="EFFECT (an)" sheetId="6" r:id="rId6"/>
    <sheet name="NOMINAL &amp; EFFECT &amp; FV" sheetId="7" r:id="rId7"/>
    <sheet name="NOMINAL &amp; EFFECT &amp; FV (an)" sheetId="8" r:id="rId8"/>
    <sheet name="NPER" sheetId="9" r:id="rId9"/>
    <sheet name="NPER (an)" sheetId="10" r:id="rId10"/>
    <sheet name="Loan Analysis" sheetId="11" r:id="rId11"/>
    <sheet name="Loan Analysis (an)" sheetId="12" r:id="rId12"/>
    <sheet name="PV &amp; NPV &amp; XNPV" sheetId="13" r:id="rId13"/>
    <sheet name="PV &amp; NPV &amp; XNPV (an)" sheetId="14" r:id="rId14"/>
    <sheet name="Retirement" sheetId="15" r:id="rId15"/>
    <sheet name="Retirement (an)" sheetId="16" r:id="rId16"/>
  </sheets>
  <externalReferences>
    <externalReference r:id="rId19"/>
  </externalReferences>
  <definedNames>
    <definedName name="_xlfn.BAHTTEXT" hidden="1">#NAME?</definedName>
    <definedName name="_xlfn.IFERROR" hidden="1">#NAME?</definedName>
    <definedName name="b" localSheetId="11">'Loan Analysis (an)'!$G$21</definedName>
    <definedName name="b" localSheetId="14">'[1]Loan Analysis'!$C$21</definedName>
    <definedName name="b" localSheetId="15">'[1]Loan Analysis'!$C$21</definedName>
    <definedName name="b">'Loan Analysis'!$G$21</definedName>
    <definedName name="cp" localSheetId="11">'Loan Analysis (an)'!$G$20</definedName>
    <definedName name="cp">'Loan Analysis'!$G$20</definedName>
    <definedName name="cpy">'[1]Loan Analysis'!$C$20</definedName>
    <definedName name="p" localSheetId="11">'Loan Analysis (an)'!$G$19</definedName>
    <definedName name="p" localSheetId="14">'[1]Loan Analysis'!$C$19</definedName>
    <definedName name="p" localSheetId="15">'[1]Loan Analysis'!$C$19</definedName>
    <definedName name="p">'Loan Analysis'!$G$19</definedName>
  </definedNames>
  <calcPr fullCalcOnLoad="1"/>
</workbook>
</file>

<file path=xl/comments3.xml><?xml version="1.0" encoding="utf-8"?>
<comments xmlns="http://schemas.openxmlformats.org/spreadsheetml/2006/main">
  <authors>
    <author>MGIRVIN</author>
  </authors>
  <commentList>
    <comment ref="D14" authorId="0">
      <text>
        <r>
          <rPr>
            <b/>
            <sz val="8"/>
            <rFont val="Tahoma"/>
            <family val="2"/>
          </rPr>
          <t>Adjusted Percentage Rate (the Principal before points are subtracted still has to be paid back and so it is used to determine the monthly PMT. But when calculating the Adj. Rate, use Principal*(1-points) for PV argument.</t>
        </r>
      </text>
    </comment>
  </commentList>
</comments>
</file>

<file path=xl/comments4.xml><?xml version="1.0" encoding="utf-8"?>
<comments xmlns="http://schemas.openxmlformats.org/spreadsheetml/2006/main">
  <authors>
    <author>MGIRVIN</author>
  </authors>
  <commentList>
    <comment ref="D14" authorId="0">
      <text>
        <r>
          <rPr>
            <b/>
            <sz val="8"/>
            <rFont val="Tahoma"/>
            <family val="2"/>
          </rPr>
          <t>Adjusted Percentage Rate (the Principal before points are subtracted still has to be paid back and so it is used to determine the monthly PMT. But when calculating the Adj. Rate, use Principal*(1-points) for PV argument.</t>
        </r>
      </text>
    </comment>
  </commentList>
</comments>
</file>

<file path=xl/sharedStrings.xml><?xml version="1.0" encoding="utf-8"?>
<sst xmlns="http://schemas.openxmlformats.org/spreadsheetml/2006/main" count="420" uniqueCount="136">
  <si>
    <t>PMT means periodic payment (same amount each period)</t>
  </si>
  <si>
    <t>PMT function calculates the period payment for a loan (For the Borrower or the Lender). The Amount of each PMT must be the same and the time between each PMT must be the same.</t>
  </si>
  <si>
    <t>Cash Flow matters in Finance. Cash going out of the wallet is negative. Cash coming into the wallet is positive.</t>
  </si>
  <si>
    <t>For the borrow the PV is positive, the PMT is negative, and the FV is negative. For the Lender the PV is negative, the PMT is positive, and the FV is positive.</t>
  </si>
  <si>
    <t>Be consistent with your unit of time! If you are calculating monthly payment, you need monthly interest rate and total number of months! (The period can be monthly, quarterly, yearly or any other length).</t>
  </si>
  <si>
    <t xml:space="preserve"> =PMT(rate = period rate, nper = total number of periods, pv means amount invested or lent out today, fv means amount received after all the periods have elapsed or amount paid after all the periods have elapsed, type refers to the PMT: PMT at end of period = 0, PMT at beginning of period = 1)</t>
  </si>
  <si>
    <t xml:space="preserve"> =FV(rate = period rate, nper = total number of periods, pmt means periodic payment, pv means amount invested or lent out today, type refers to the PMT: PMT at end of period = 0, PMT at beginning of period = 1)</t>
  </si>
  <si>
    <t>Price of Car</t>
  </si>
  <si>
    <t>Annual Interest Rate</t>
  </si>
  <si>
    <t>Down Payment</t>
  </si>
  <si>
    <t>Monthly Interest Rate</t>
  </si>
  <si>
    <t>Loan Amount</t>
  </si>
  <si>
    <t>Years for Loan</t>
  </si>
  <si>
    <t xml:space="preserve">Monthly Payment </t>
  </si>
  <si>
    <t>Total Months</t>
  </si>
  <si>
    <t>Periods per Year</t>
  </si>
  <si>
    <t>Balloon Payment</t>
  </si>
  <si>
    <t>Years payment is put off</t>
  </si>
  <si>
    <t>Period Interest Rate</t>
  </si>
  <si>
    <t>FV after 1 year</t>
  </si>
  <si>
    <t xml:space="preserve">Period Payment </t>
  </si>
  <si>
    <t>Total Periods</t>
  </si>
  <si>
    <t>check</t>
  </si>
  <si>
    <t xml:space="preserve"> =RATE(nper = total number of periods, pmt means periodic payment, pv means amount invested or lent out today, fv means amount received after all the periods have elapsed or amount paid after all the periods have elapsed, type refers to the pmt: pmt at end of period = 0, pmt at beginning of period = 1)</t>
  </si>
  <si>
    <t>Remember, RATE returns the period rate!!!!!!</t>
  </si>
  <si>
    <t>If you pay points, then you do not get to use all the cash you borrowed. Therefore, the Rate is really based on the cash you receive, not the face value of the loan.</t>
  </si>
  <si>
    <t>Item</t>
  </si>
  <si>
    <t>House</t>
  </si>
  <si>
    <t>Annual Rate</t>
  </si>
  <si>
    <t>Price</t>
  </si>
  <si>
    <t>Monthly Rate</t>
  </si>
  <si>
    <t>Down</t>
  </si>
  <si>
    <t>Years</t>
  </si>
  <si>
    <t>Loan</t>
  </si>
  <si>
    <t>Months</t>
  </si>
  <si>
    <t>Points</t>
  </si>
  <si>
    <t>Periods Per Year</t>
  </si>
  <si>
    <t>PMT</t>
  </si>
  <si>
    <t>Type (0 = End, 1 = Begin)</t>
  </si>
  <si>
    <t xml:space="preserve"> =EFFECT(nominal_rate means APR or Nominal Rate (APR = NOMINAL RATE = period interest rate * number of compounding periods in 1 year), npery means "number of compounding periods in 1 year")</t>
  </si>
  <si>
    <t>Annual Interest Rate = APR = Nominal Rate</t>
  </si>
  <si>
    <t>Period Rate</t>
  </si>
  <si>
    <t>Effective Annual Rate</t>
  </si>
  <si>
    <t>Option#</t>
  </si>
  <si>
    <t>% Down Payment</t>
  </si>
  <si>
    <t>APR</t>
  </si>
  <si>
    <t>Extra Fee</t>
  </si>
  <si>
    <t>Amount to Borrow</t>
  </si>
  <si>
    <t>Actual Cash Received</t>
  </si>
  <si>
    <t>Adjusted APR</t>
  </si>
  <si>
    <t>PMT w Balloon</t>
  </si>
  <si>
    <t>Compounding Periods per year</t>
  </si>
  <si>
    <t>Balloon Payment (Optional)</t>
  </si>
  <si>
    <t>APR = Annual Percentage Rate =  NOMINAL RATE = period interest rate * number of compounding periods in 1 year. This is the rate usually calculated by the bank.</t>
  </si>
  <si>
    <t>Effective Interest Rate is always higher than APR or Nominal Rate when the compounding periods per year are greater than . Why? Because you are earning interest on interest - The Effective Interest Rate tells you in percentage terms what the rate really is (You could multiply it plus 1 by the principal and get Future Value)</t>
  </si>
  <si>
    <t xml:space="preserve"> =EFFECT(APR or Nominal Rate, npery means "number of compounding periods in 1 year")</t>
  </si>
  <si>
    <t xml:space="preserve"> =NOMINAL(Effective Interest Rate), npery means "number of compounding periods in 1 year")</t>
  </si>
  <si>
    <t>Monthly PMT =</t>
  </si>
  <si>
    <t>x = years</t>
  </si>
  <si>
    <t>n for account is =</t>
  </si>
  <si>
    <t>APR = i =</t>
  </si>
  <si>
    <t>Type= 0 or 1 ==&gt;</t>
  </si>
  <si>
    <t>Solve for EAR first =</t>
  </si>
  <si>
    <t>n for PMT =</t>
  </si>
  <si>
    <t>Then from EAR, find APR (i) ==&gt;</t>
  </si>
  <si>
    <t>Then from APR (i), find period Rate ==&gt;</t>
  </si>
  <si>
    <t>Solve for Future Value =</t>
  </si>
  <si>
    <t>MoneyTreeLoaning will:</t>
  </si>
  <si>
    <t>What is the APR and EAR?</t>
  </si>
  <si>
    <t>Days in Future =</t>
  </si>
  <si>
    <t>Check Amount =</t>
  </si>
  <si>
    <t>FV</t>
  </si>
  <si>
    <t>You get Today =</t>
  </si>
  <si>
    <t>PV</t>
  </si>
  <si>
    <t>Days in Year =</t>
  </si>
  <si>
    <t>APR =</t>
  </si>
  <si>
    <t>EAR =</t>
  </si>
  <si>
    <t>&lt;== correct because math formula does not truncate to an integer</t>
  </si>
  <si>
    <t>&lt;== Incorrect because the EFFECT function truncates npery to an integer</t>
  </si>
  <si>
    <t>Excel Help:</t>
  </si>
  <si>
    <t>Npery is truncated to an integer.</t>
  </si>
  <si>
    <t>If either argument is nonnumeric, EFFECT returns the #VALUE! error value.</t>
  </si>
  <si>
    <t>If nominal_rate ≤ 0 or if npery &lt; 1, EFFECT returns the #NUM! error value.</t>
  </si>
  <si>
    <t>EFFECT is calculated as follows:</t>
  </si>
  <si>
    <t>NPER function calculates the = total number of periods = Years*Number of compounding periods per year. Example 30 year loan compounded 12 times a year ==&gt; 12*30 = 360 = Total periods.</t>
  </si>
  <si>
    <t xml:space="preserve"> =NPER(rate = period Rate, pmt means periodic payment, pv means amount invested or lent out today, fv means amount received after all the periods have elapsed or amount paid after all the periods have elapsed, type refers to the pmt: pmt at end of period = 0, pmt at beginning of period = 1)</t>
  </si>
  <si>
    <t>How long to pay off your credit Card if you pay only the minimum PMT required?</t>
  </si>
  <si>
    <t>Balance = PV =</t>
  </si>
  <si>
    <t>Type</t>
  </si>
  <si>
    <t>n =</t>
  </si>
  <si>
    <t>Minimum Monthly PMT =</t>
  </si>
  <si>
    <t>n*x = NPER function =</t>
  </si>
  <si>
    <t>x = n*x/n = years</t>
  </si>
  <si>
    <t>Words:</t>
  </si>
  <si>
    <t>Preset Value = How much future cash flows are worth today. Think of it as interest going backwards; if we put money in the bank today (present value) it will be worth some future value amount in the future: Present Value is the Opposite! We want to receive some cash amounts in the future, what amount do we have to put in the bank today?</t>
  </si>
  <si>
    <t>PV function calculates present Value when the cash flows are the same and are separated by regular time periods. NPV function lets us calculate the present value when the amounts are not the same. XNPV function lets us calculate the present value when the amounts are not the same and the times are not the same.</t>
  </si>
  <si>
    <t xml:space="preserve"> =PV( rate, nper, fv, type)</t>
  </si>
  <si>
    <t>When an asset has an annuity cash flow pattern, you can use the PV function for Capital Investment Decision. An annuity has equal payments at equal time intervals.</t>
  </si>
  <si>
    <t xml:space="preserve"> =NPV( rate, CF1, CF2…. (as range or cells separated by commas). NOTE: You cannot include Cash Flow at time 0.</t>
  </si>
  <si>
    <t>Calculates the net present value for a series of cash flows that is periodic (equal time between each cash flow)</t>
  </si>
  <si>
    <t xml:space="preserve"> =XNPV(rate, values, dates) NOTE: you can include Cash Flow at time 0.</t>
  </si>
  <si>
    <t>Returns the net present value for a schedule of cash flows that is not necessarily periodic. To calculate the net present value for a series of cash flows that is periodic, use the NPV function.</t>
  </si>
  <si>
    <t>Net Cash Flow at end of each year =</t>
  </si>
  <si>
    <t>Min Return (hurdle rate or Discount Rate) =</t>
  </si>
  <si>
    <t>Cost =</t>
  </si>
  <si>
    <t>PV =</t>
  </si>
  <si>
    <t>Difference =</t>
  </si>
  <si>
    <t>NPV =</t>
  </si>
  <si>
    <t>Period</t>
  </si>
  <si>
    <t>CF</t>
  </si>
  <si>
    <t>RRR</t>
  </si>
  <si>
    <t>Date</t>
  </si>
  <si>
    <t>Year</t>
  </si>
  <si>
    <t>XNPV</t>
  </si>
  <si>
    <t>Type, 0 = End, 1 = Beg</t>
  </si>
  <si>
    <t>PMT end of period</t>
  </si>
  <si>
    <t>PMT begin of period</t>
  </si>
  <si>
    <t>Effective Interest Rate is always higher than APR or Nominal Rate when the compounding periods per year are greater than 1. Why? Because you are earning interest on interest.</t>
  </si>
  <si>
    <t>Adjusted Annual Rate</t>
  </si>
  <si>
    <t>Amount put in bank on day 1</t>
  </si>
  <si>
    <t>Loan Comparison</t>
  </si>
  <si>
    <t>FV function calculates the future value of a lump sum (invested at very beginning) or regular payments (called PMT and amount is the same for each period and the  amount is always the same).</t>
  </si>
  <si>
    <t>Cash Flow matters in Finance. Cash going out of the wallet is negative. Cash coming into the wallet is positive. Time period Matters in Finance: Example - if you are making monthly payments, then total number of periods must be total number of months.</t>
  </si>
  <si>
    <t>Amount put in</t>
  </si>
  <si>
    <t>years</t>
  </si>
  <si>
    <t>Amount taken out</t>
  </si>
  <si>
    <t>Interest</t>
  </si>
  <si>
    <t>Leave to Kids</t>
  </si>
  <si>
    <t>PV function</t>
  </si>
  <si>
    <t>XNPV algorithm</t>
  </si>
  <si>
    <t>Monthly PMT (end)</t>
  </si>
  <si>
    <t>Monthly PMT (begin)</t>
  </si>
  <si>
    <t>.</t>
  </si>
  <si>
    <t xml:space="preserve"> =FV(C7,C8,,-E7)</t>
  </si>
  <si>
    <t xml:space="preserve"> =(1+C7)^C8*E7</t>
  </si>
  <si>
    <t xml:space="preserve"> =E7*(1+C10)</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</si>
</sst>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00"/>
    <numFmt numFmtId="167" formatCode="0.00000000000000000000"/>
    <numFmt numFmtId="168" formatCode="0.00000000000000"/>
    <numFmt numFmtId="169" formatCode="0.0%"/>
    <numFmt numFmtId="170" formatCode="_(* #,##0_);_(* \(#,##0\);_(* &quot;-&quot;??_);_(@_)"/>
    <numFmt numFmtId="171" formatCode="0.0000000"/>
    <numFmt numFmtId="172" formatCode="_(&quot;$&quot;* #,##0_);_(&quot;$&quot;* \(#,##0\);_(&quot;$&quot;* &quot;-&quot;??_);_(@_)"/>
    <numFmt numFmtId="173" formatCode="_(#,##0.00_)"/>
    <numFmt numFmtId="174" formatCode="&quot;$&quot;#,##0,"/>
    <numFmt numFmtId="175" formatCode="d\-mmm\-yyyy"/>
    <numFmt numFmtId="176" formatCode="#\ ???/???"/>
    <numFmt numFmtId="177" formatCode="&quot;$&quot;#,##0.00"/>
    <numFmt numFmtId="178" formatCode="0.00000"/>
    <numFmt numFmtId="179" formatCode="0.0000"/>
    <numFmt numFmtId="180" formatCode="0.000%"/>
    <numFmt numFmtId="181" formatCode="0.0000%"/>
  </numFmts>
  <fonts count="52">
    <font>
      <sz val="10"/>
      <name val="Arial"/>
      <family val="2"/>
    </font>
    <font>
      <sz val="11"/>
      <color indexed="8"/>
      <name val="Calibri"/>
      <family val="2"/>
    </font>
    <font>
      <sz val="10"/>
      <color indexed="9"/>
      <name val="Arial"/>
      <family val="2"/>
    </font>
    <font>
      <sz val="9"/>
      <name val="Arial"/>
      <family val="2"/>
    </font>
    <font>
      <b/>
      <sz val="8"/>
      <name val="Tahoma"/>
      <family val="2"/>
    </font>
    <font>
      <b/>
      <sz val="14"/>
      <color indexed="9"/>
      <name val="Arial"/>
      <family val="2"/>
    </font>
    <font>
      <b/>
      <sz val="10"/>
      <name val="Arial"/>
      <family val="2"/>
    </font>
    <font>
      <sz val="20"/>
      <color indexed="8"/>
      <name val="Calibri"/>
      <family val="2"/>
    </font>
    <font>
      <sz val="13.2"/>
      <name val="Arial"/>
      <family val="2"/>
    </font>
    <font>
      <sz val="11"/>
      <name val="Calibri"/>
      <family val="2"/>
    </font>
    <font>
      <sz val="13.2"/>
      <color indexed="63"/>
      <name val="Arial"/>
      <family val="2"/>
    </font>
    <font>
      <sz val="12"/>
      <name val="Bookman Old Style"/>
      <family val="1"/>
    </font>
    <font>
      <b/>
      <sz val="16"/>
      <color indexed="53"/>
      <name val="Bell MT"/>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4"/>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theme="0"/>
      <name val="Arial"/>
      <family val="2"/>
    </font>
    <font>
      <sz val="14"/>
      <color theme="0"/>
      <name val="Calibri"/>
      <family val="2"/>
    </font>
    <font>
      <b/>
      <sz val="8"/>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12"/>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0"/>
        <bgColor indexed="64"/>
      </patternFill>
    </fill>
    <fill>
      <patternFill patternType="solid">
        <fgColor indexed="26"/>
        <bgColor indexed="64"/>
      </patternFill>
    </fill>
    <fill>
      <patternFill patternType="solid">
        <fgColor indexed="13"/>
        <bgColor indexed="64"/>
      </patternFill>
    </fill>
    <fill>
      <patternFill patternType="solid">
        <fgColor rgb="FFFFFF99"/>
        <bgColor indexed="64"/>
      </patternFill>
    </fill>
    <fill>
      <patternFill patternType="solid">
        <fgColor rgb="FFFF0000"/>
        <bgColor indexed="64"/>
      </patternFill>
    </fill>
    <fill>
      <patternFill patternType="solid">
        <fgColor rgb="FF000099"/>
        <bgColor indexed="64"/>
      </patternFill>
    </fill>
    <fill>
      <patternFill patternType="solid">
        <fgColor rgb="FFCCFFCC"/>
        <bgColor indexed="64"/>
      </patternFill>
    </fill>
    <fill>
      <patternFill patternType="solid">
        <fgColor rgb="FF0000FF"/>
        <bgColor indexed="64"/>
      </patternFill>
    </fill>
    <fill>
      <patternFill patternType="solid">
        <fgColor indexed="42"/>
        <bgColor indexed="64"/>
      </patternFill>
    </fill>
    <fill>
      <patternFill patternType="solid">
        <fgColor rgb="FF92D050"/>
        <bgColor indexed="64"/>
      </patternFill>
    </fill>
    <fill>
      <patternFill patternType="solid">
        <fgColor rgb="FFDDDDDD"/>
        <bgColor indexed="64"/>
      </patternFill>
    </fill>
    <fill>
      <patternFill patternType="solid">
        <fgColor theme="1"/>
        <bgColor indexed="64"/>
      </patternFill>
    </fill>
    <fill>
      <patternFill patternType="solid">
        <fgColor rgb="FFCCECFF"/>
        <bgColor indexed="64"/>
      </patternFill>
    </fill>
    <fill>
      <patternFill patternType="solid">
        <fgColor rgb="FFFFFF00"/>
        <bgColor indexed="64"/>
      </patternFill>
    </fill>
  </fills>
  <borders count="24">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ck">
        <color indexed="53"/>
      </left>
      <right style="thick">
        <color indexed="53"/>
      </right>
      <top style="thick">
        <color indexed="53"/>
      </top>
      <bottom style="thick">
        <color indexed="53"/>
      </bottom>
    </border>
    <border>
      <left>
        <color indexed="63"/>
      </left>
      <right>
        <color indexed="63"/>
      </right>
      <top style="thin">
        <color theme="4"/>
      </top>
      <bottom style="double">
        <color theme="4"/>
      </bottom>
    </border>
    <border>
      <left>
        <color indexed="63"/>
      </left>
      <right>
        <color indexed="63"/>
      </right>
      <top style="thick"/>
      <bottom style="thick"/>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color indexed="63"/>
      </top>
      <bottom>
        <color indexed="63"/>
      </bottom>
    </border>
  </borders>
  <cellStyleXfs count="76">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2" fillId="27" borderId="1">
      <alignment wrapText="1"/>
      <protection/>
    </xf>
    <xf numFmtId="0" fontId="2" fillId="27" borderId="1">
      <alignment horizontal="centerContinuous" wrapText="1"/>
      <protection/>
    </xf>
    <xf numFmtId="0" fontId="34" fillId="28" borderId="2" applyNumberFormat="0" applyAlignment="0" applyProtection="0"/>
    <xf numFmtId="0" fontId="35" fillId="29" borderId="3" applyNumberFormat="0" applyAlignment="0" applyProtection="0"/>
    <xf numFmtId="43" fontId="0" fillId="0" borderId="0" applyFont="0" applyFill="0" applyBorder="0" applyAlignment="0" applyProtection="0"/>
    <xf numFmtId="41" fontId="31" fillId="0" borderId="0" applyFont="0" applyFill="0" applyBorder="0" applyAlignment="0" applyProtection="0"/>
    <xf numFmtId="43" fontId="1"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44" fontId="0" fillId="0" borderId="0" applyFont="0" applyFill="0" applyBorder="0" applyAlignment="0" applyProtection="0"/>
    <xf numFmtId="174" fontId="11" fillId="0" borderId="0">
      <alignment/>
      <protection/>
    </xf>
    <xf numFmtId="0" fontId="36" fillId="0" borderId="0" applyNumberFormat="0" applyFill="0" applyBorder="0" applyAlignment="0" applyProtection="0"/>
    <xf numFmtId="175" fontId="6" fillId="0" borderId="0" applyFont="0" applyFill="0" applyBorder="0" applyProtection="0">
      <alignment horizontal="center"/>
    </xf>
    <xf numFmtId="0" fontId="37" fillId="30"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31" borderId="2" applyNumberFormat="0" applyAlignment="0" applyProtection="0"/>
    <xf numFmtId="0" fontId="42" fillId="0" borderId="7" applyNumberFormat="0" applyFill="0" applyAlignment="0" applyProtection="0"/>
    <xf numFmtId="0" fontId="43" fillId="32" borderId="0" applyNumberFormat="0" applyBorder="0" applyAlignment="0" applyProtection="0"/>
    <xf numFmtId="0" fontId="31" fillId="0" borderId="0">
      <alignment/>
      <protection/>
    </xf>
    <xf numFmtId="0" fontId="0" fillId="0" borderId="0">
      <alignment/>
      <protection/>
    </xf>
    <xf numFmtId="0" fontId="31" fillId="33" borderId="8" applyNumberFormat="0" applyFont="0" applyAlignment="0" applyProtection="0"/>
    <xf numFmtId="0" fontId="44" fillId="28" borderId="9" applyNumberFormat="0" applyAlignment="0" applyProtection="0"/>
    <xf numFmtId="9" fontId="3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176" fontId="12" fillId="34" borderId="10">
      <alignment horizontal="left" indent="2"/>
      <protection/>
    </xf>
    <xf numFmtId="0" fontId="0" fillId="35" borderId="1">
      <alignment horizontal="centerContinuous" wrapText="1"/>
      <protection/>
    </xf>
    <xf numFmtId="0" fontId="45" fillId="0" borderId="0" applyNumberFormat="0" applyFill="0" applyBorder="0" applyAlignment="0" applyProtection="0"/>
    <xf numFmtId="0" fontId="46" fillId="0" borderId="11" applyNumberFormat="0" applyFill="0" applyAlignment="0" applyProtection="0"/>
    <xf numFmtId="0" fontId="47" fillId="0" borderId="0" applyNumberFormat="0" applyFill="0" applyBorder="0" applyAlignment="0" applyProtection="0"/>
    <xf numFmtId="0" fontId="0" fillId="0" borderId="0">
      <alignment wrapText="1"/>
      <protection/>
    </xf>
    <xf numFmtId="0" fontId="0" fillId="36" borderId="0" applyNumberFormat="0" applyFont="0" applyBorder="0" applyAlignment="0" applyProtection="0"/>
    <xf numFmtId="0" fontId="0" fillId="37" borderId="1">
      <alignment horizontal="centerContinuous" wrapText="1"/>
      <protection/>
    </xf>
  </cellStyleXfs>
  <cellXfs count="130">
    <xf numFmtId="0" fontId="0" fillId="0" borderId="0" xfId="0" applyAlignment="1">
      <alignment/>
    </xf>
    <xf numFmtId="0" fontId="0" fillId="38" borderId="1" xfId="0" applyFill="1" applyBorder="1" applyAlignment="1">
      <alignment/>
    </xf>
    <xf numFmtId="0" fontId="0" fillId="38" borderId="1" xfId="0" applyFont="1" applyFill="1" applyBorder="1" applyAlignment="1">
      <alignment horizontal="centerContinuous" wrapText="1"/>
    </xf>
    <xf numFmtId="0" fontId="0" fillId="38" borderId="1" xfId="0" applyFill="1" applyBorder="1" applyAlignment="1">
      <alignment horizontal="centerContinuous" wrapText="1"/>
    </xf>
    <xf numFmtId="0" fontId="48" fillId="39" borderId="1" xfId="0" applyFont="1" applyFill="1" applyBorder="1" applyAlignment="1">
      <alignment/>
    </xf>
    <xf numFmtId="0" fontId="49" fillId="40" borderId="12" xfId="0" applyFont="1" applyFill="1" applyBorder="1" applyAlignment="1">
      <alignment horizontal="centerContinuous" wrapText="1"/>
    </xf>
    <xf numFmtId="0" fontId="3" fillId="0" borderId="13" xfId="0" applyFont="1" applyBorder="1" applyAlignment="1">
      <alignment shrinkToFit="1"/>
    </xf>
    <xf numFmtId="10" fontId="0" fillId="0" borderId="13" xfId="0" applyNumberFormat="1" applyBorder="1" applyAlignment="1">
      <alignment/>
    </xf>
    <xf numFmtId="0" fontId="3" fillId="0" borderId="1" xfId="0" applyFont="1" applyBorder="1" applyAlignment="1">
      <alignment shrinkToFit="1"/>
    </xf>
    <xf numFmtId="10" fontId="0" fillId="41" borderId="1" xfId="67" applyNumberFormat="1" applyFill="1" applyBorder="1" applyAlignment="1">
      <alignment/>
    </xf>
    <xf numFmtId="0" fontId="0" fillId="0" borderId="1" xfId="0" applyBorder="1" applyAlignment="1">
      <alignment/>
    </xf>
    <xf numFmtId="0" fontId="0" fillId="41" borderId="1" xfId="0" applyNumberFormat="1" applyFill="1" applyBorder="1" applyAlignment="1">
      <alignment/>
    </xf>
    <xf numFmtId="0" fontId="3" fillId="0" borderId="1" xfId="0" applyFont="1" applyFill="1" applyBorder="1" applyAlignment="1">
      <alignment shrinkToFit="1"/>
    </xf>
    <xf numFmtId="10" fontId="0" fillId="0" borderId="1" xfId="67" applyNumberFormat="1" applyFill="1" applyBorder="1" applyAlignment="1">
      <alignment/>
    </xf>
    <xf numFmtId="0" fontId="0" fillId="0" borderId="1" xfId="0" applyNumberFormat="1" applyFill="1" applyBorder="1" applyAlignment="1">
      <alignment/>
    </xf>
    <xf numFmtId="10" fontId="0" fillId="0" borderId="1" xfId="67" applyNumberFormat="1" applyBorder="1" applyAlignment="1">
      <alignment/>
    </xf>
    <xf numFmtId="0" fontId="0" fillId="0" borderId="1" xfId="0" applyNumberFormat="1" applyBorder="1" applyAlignment="1">
      <alignment/>
    </xf>
    <xf numFmtId="0" fontId="3" fillId="38" borderId="1" xfId="0" applyFont="1" applyFill="1" applyBorder="1" applyAlignment="1">
      <alignment horizontal="centerContinuous" wrapText="1"/>
    </xf>
    <xf numFmtId="0" fontId="48" fillId="40" borderId="12" xfId="0" applyFont="1" applyFill="1" applyBorder="1" applyAlignment="1">
      <alignment horizontal="centerContinuous" wrapText="1"/>
    </xf>
    <xf numFmtId="0" fontId="2" fillId="27" borderId="1" xfId="0" applyFont="1" applyFill="1" applyBorder="1" applyAlignment="1">
      <alignment/>
    </xf>
    <xf numFmtId="0" fontId="2" fillId="27" borderId="1" xfId="0" applyFont="1" applyFill="1" applyBorder="1" applyAlignment="1">
      <alignment wrapText="1"/>
    </xf>
    <xf numFmtId="10" fontId="0" fillId="0" borderId="1" xfId="0" applyNumberFormat="1" applyBorder="1" applyAlignment="1">
      <alignment/>
    </xf>
    <xf numFmtId="6" fontId="0" fillId="0" borderId="1" xfId="0" applyNumberFormat="1" applyBorder="1" applyAlignment="1">
      <alignment/>
    </xf>
    <xf numFmtId="164" fontId="0" fillId="0" borderId="1" xfId="0" applyNumberFormat="1" applyBorder="1" applyAlignment="1">
      <alignment/>
    </xf>
    <xf numFmtId="4" fontId="0" fillId="0" borderId="1" xfId="0" applyNumberFormat="1" applyBorder="1" applyAlignment="1">
      <alignment/>
    </xf>
    <xf numFmtId="0" fontId="49" fillId="40" borderId="1" xfId="0" applyFont="1" applyFill="1" applyBorder="1" applyAlignment="1">
      <alignment wrapText="1"/>
    </xf>
    <xf numFmtId="165" fontId="0" fillId="0" borderId="1" xfId="0" applyNumberFormat="1" applyBorder="1" applyAlignment="1">
      <alignment/>
    </xf>
    <xf numFmtId="0" fontId="49" fillId="40" borderId="1" xfId="0" applyFont="1" applyFill="1" applyBorder="1" applyAlignment="1">
      <alignment/>
    </xf>
    <xf numFmtId="166" fontId="0" fillId="41" borderId="1" xfId="0" applyNumberFormat="1" applyFill="1" applyBorder="1" applyAlignment="1">
      <alignment/>
    </xf>
    <xf numFmtId="1" fontId="0" fillId="0" borderId="1" xfId="0" applyNumberFormat="1" applyBorder="1" applyAlignment="1">
      <alignment/>
    </xf>
    <xf numFmtId="167" fontId="0" fillId="41" borderId="1" xfId="0" applyNumberFormat="1" applyFill="1" applyBorder="1" applyAlignment="1">
      <alignment/>
    </xf>
    <xf numFmtId="0" fontId="6" fillId="37" borderId="1" xfId="0" applyFont="1" applyFill="1" applyBorder="1" applyAlignment="1">
      <alignment horizontal="center" wrapText="1"/>
    </xf>
    <xf numFmtId="0" fontId="6" fillId="37" borderId="1" xfId="0" applyFont="1" applyFill="1" applyBorder="1" applyAlignment="1">
      <alignment horizontal="center"/>
    </xf>
    <xf numFmtId="0" fontId="6" fillId="0" borderId="1" xfId="0" applyFont="1" applyFill="1" applyBorder="1" applyAlignment="1">
      <alignment/>
    </xf>
    <xf numFmtId="169" fontId="6" fillId="0" borderId="1" xfId="0" applyNumberFormat="1" applyFont="1" applyFill="1" applyBorder="1" applyAlignment="1">
      <alignment/>
    </xf>
    <xf numFmtId="10" fontId="6" fillId="0" borderId="1" xfId="67" applyNumberFormat="1" applyFont="1" applyFill="1" applyBorder="1" applyAlignment="1">
      <alignment/>
    </xf>
    <xf numFmtId="170" fontId="6" fillId="0" borderId="1" xfId="44" applyNumberFormat="1" applyFont="1" applyFill="1" applyBorder="1" applyAlignment="1">
      <alignment/>
    </xf>
    <xf numFmtId="0" fontId="31" fillId="0" borderId="0" xfId="61">
      <alignment/>
      <protection/>
    </xf>
    <xf numFmtId="0" fontId="32" fillId="39" borderId="1" xfId="61" applyFont="1" applyFill="1" applyBorder="1">
      <alignment/>
      <protection/>
    </xf>
    <xf numFmtId="0" fontId="32" fillId="42" borderId="14" xfId="61" applyFont="1" applyFill="1" applyBorder="1" applyAlignment="1">
      <alignment horizontal="centerContinuous" wrapText="1"/>
      <protection/>
    </xf>
    <xf numFmtId="0" fontId="32" fillId="42" borderId="15" xfId="61" applyFont="1" applyFill="1" applyBorder="1" applyAlignment="1">
      <alignment horizontal="centerContinuous" wrapText="1"/>
      <protection/>
    </xf>
    <xf numFmtId="0" fontId="32" fillId="42" borderId="16" xfId="61" applyFont="1" applyFill="1" applyBorder="1" applyAlignment="1">
      <alignment horizontal="centerContinuous" wrapText="1"/>
      <protection/>
    </xf>
    <xf numFmtId="0" fontId="32" fillId="42" borderId="17" xfId="61" applyFont="1" applyFill="1" applyBorder="1" applyAlignment="1">
      <alignment horizontal="centerContinuous" wrapText="1"/>
      <protection/>
    </xf>
    <xf numFmtId="0" fontId="31" fillId="0" borderId="1" xfId="61" applyBorder="1">
      <alignment/>
      <protection/>
    </xf>
    <xf numFmtId="0" fontId="31" fillId="43" borderId="1" xfId="61" applyFill="1" applyBorder="1">
      <alignment/>
      <protection/>
    </xf>
    <xf numFmtId="171" fontId="31" fillId="0" borderId="0" xfId="61" applyNumberFormat="1">
      <alignment/>
      <protection/>
    </xf>
    <xf numFmtId="8" fontId="31" fillId="43" borderId="1" xfId="61" applyNumberFormat="1" applyFill="1" applyBorder="1">
      <alignment/>
      <protection/>
    </xf>
    <xf numFmtId="0" fontId="31" fillId="43" borderId="18" xfId="61" applyFill="1" applyBorder="1" applyAlignment="1">
      <alignment horizontal="centerContinuous" wrapText="1"/>
      <protection/>
    </xf>
    <xf numFmtId="0" fontId="31" fillId="43" borderId="16" xfId="61" applyFill="1" applyBorder="1" applyAlignment="1">
      <alignment horizontal="centerContinuous" wrapText="1"/>
      <protection/>
    </xf>
    <xf numFmtId="0" fontId="31" fillId="43" borderId="17" xfId="61" applyFill="1" applyBorder="1" applyAlignment="1">
      <alignment horizontal="centerContinuous" wrapText="1"/>
      <protection/>
    </xf>
    <xf numFmtId="0" fontId="31" fillId="37" borderId="1" xfId="61" applyFill="1" applyBorder="1" applyAlignment="1">
      <alignment horizontal="centerContinuous" wrapText="1"/>
      <protection/>
    </xf>
    <xf numFmtId="0" fontId="31" fillId="37" borderId="19" xfId="61" applyFill="1" applyBorder="1" applyAlignment="1">
      <alignment horizontal="centerContinuous" wrapText="1"/>
      <protection/>
    </xf>
    <xf numFmtId="2" fontId="31" fillId="43" borderId="1" xfId="61" applyNumberFormat="1" applyFill="1" applyBorder="1">
      <alignment/>
      <protection/>
    </xf>
    <xf numFmtId="10" fontId="1" fillId="43" borderId="1" xfId="66" applyNumberFormat="1" applyFont="1" applyFill="1" applyBorder="1" applyAlignment="1">
      <alignment/>
    </xf>
    <xf numFmtId="10" fontId="31" fillId="0" borderId="0" xfId="61" applyNumberFormat="1">
      <alignment/>
      <protection/>
    </xf>
    <xf numFmtId="10" fontId="31" fillId="43" borderId="1" xfId="61" applyNumberFormat="1" applyFill="1" applyBorder="1">
      <alignment/>
      <protection/>
    </xf>
    <xf numFmtId="0" fontId="7" fillId="0" borderId="0" xfId="61" applyFont="1">
      <alignment/>
      <protection/>
    </xf>
    <xf numFmtId="0" fontId="8" fillId="37" borderId="0" xfId="61" applyFont="1" applyFill="1" applyAlignment="1">
      <alignment horizontal="left" indent="1"/>
      <protection/>
    </xf>
    <xf numFmtId="0" fontId="9" fillId="37" borderId="0" xfId="61" applyFont="1" applyFill="1">
      <alignment/>
      <protection/>
    </xf>
    <xf numFmtId="0" fontId="10" fillId="0" borderId="0" xfId="61" applyFont="1" applyAlignment="1">
      <alignment horizontal="left" indent="1"/>
      <protection/>
    </xf>
    <xf numFmtId="0" fontId="8" fillId="0" borderId="0" xfId="61" applyFont="1" applyFill="1" applyAlignment="1">
      <alignment horizontal="left" indent="1"/>
      <protection/>
    </xf>
    <xf numFmtId="0" fontId="9" fillId="0" borderId="0" xfId="61" applyFont="1" applyFill="1">
      <alignment/>
      <protection/>
    </xf>
    <xf numFmtId="0" fontId="50" fillId="40" borderId="18" xfId="61" applyFont="1" applyFill="1" applyBorder="1" applyAlignment="1">
      <alignment horizontal="centerContinuous" wrapText="1"/>
      <protection/>
    </xf>
    <xf numFmtId="0" fontId="50" fillId="40" borderId="16" xfId="61" applyFont="1" applyFill="1" applyBorder="1" applyAlignment="1">
      <alignment horizontal="centerContinuous" wrapText="1"/>
      <protection/>
    </xf>
    <xf numFmtId="0" fontId="50" fillId="40" borderId="17" xfId="61" applyFont="1" applyFill="1" applyBorder="1" applyAlignment="1">
      <alignment horizontal="centerContinuous" wrapText="1"/>
      <protection/>
    </xf>
    <xf numFmtId="43" fontId="1" fillId="0" borderId="1" xfId="46" applyFont="1" applyBorder="1" applyAlignment="1">
      <alignment/>
    </xf>
    <xf numFmtId="10" fontId="31" fillId="0" borderId="1" xfId="61" applyNumberFormat="1" applyBorder="1">
      <alignment/>
      <protection/>
    </xf>
    <xf numFmtId="4" fontId="31" fillId="0" borderId="1" xfId="61" applyNumberFormat="1" applyBorder="1">
      <alignment/>
      <protection/>
    </xf>
    <xf numFmtId="0" fontId="31" fillId="43" borderId="1" xfId="61" applyFill="1" applyBorder="1" applyAlignment="1">
      <alignment horizontal="centerContinuous" wrapText="1"/>
      <protection/>
    </xf>
    <xf numFmtId="8" fontId="0" fillId="0" borderId="0" xfId="0" applyNumberFormat="1" applyAlignment="1">
      <alignment/>
    </xf>
    <xf numFmtId="0" fontId="48" fillId="40" borderId="17" xfId="0" applyFont="1" applyFill="1" applyBorder="1" applyAlignment="1">
      <alignment horizontal="centerContinuous" wrapText="1"/>
    </xf>
    <xf numFmtId="0" fontId="48" fillId="40" borderId="1" xfId="0" applyFont="1" applyFill="1" applyBorder="1" applyAlignment="1">
      <alignment horizontal="centerContinuous" wrapText="1"/>
    </xf>
    <xf numFmtId="9" fontId="0" fillId="0" borderId="1" xfId="0" applyNumberFormat="1" applyBorder="1" applyAlignment="1">
      <alignment/>
    </xf>
    <xf numFmtId="0" fontId="0" fillId="0" borderId="1" xfId="49" applyNumberFormat="1" applyFont="1" applyBorder="1" applyAlignment="1">
      <alignment/>
    </xf>
    <xf numFmtId="0" fontId="0" fillId="0" borderId="1" xfId="0" applyFill="1" applyBorder="1" applyAlignment="1">
      <alignment/>
    </xf>
    <xf numFmtId="0" fontId="0" fillId="0" borderId="0" xfId="0" applyBorder="1" applyAlignment="1">
      <alignment/>
    </xf>
    <xf numFmtId="0" fontId="48" fillId="40" borderId="17" xfId="0" applyFont="1" applyFill="1" applyBorder="1" applyAlignment="1">
      <alignment horizontal="center"/>
    </xf>
    <xf numFmtId="0" fontId="48" fillId="40" borderId="1" xfId="0" applyFont="1" applyFill="1" applyBorder="1" applyAlignment="1">
      <alignment horizontal="center"/>
    </xf>
    <xf numFmtId="0" fontId="48" fillId="42" borderId="0" xfId="0" applyFont="1" applyFill="1" applyAlignment="1">
      <alignment/>
    </xf>
    <xf numFmtId="0" fontId="0" fillId="44" borderId="1" xfId="0" applyFill="1" applyBorder="1" applyAlignment="1">
      <alignment/>
    </xf>
    <xf numFmtId="14" fontId="0" fillId="45" borderId="13" xfId="0" applyNumberFormat="1" applyFill="1" applyBorder="1" applyAlignment="1">
      <alignment/>
    </xf>
    <xf numFmtId="0" fontId="0" fillId="45" borderId="13" xfId="0" applyFill="1" applyBorder="1" applyAlignment="1">
      <alignment/>
    </xf>
    <xf numFmtId="14" fontId="0" fillId="45" borderId="1" xfId="0" applyNumberFormat="1" applyFill="1" applyBorder="1" applyAlignment="1">
      <alignment/>
    </xf>
    <xf numFmtId="0" fontId="0" fillId="45" borderId="1" xfId="0" applyFill="1" applyBorder="1" applyAlignment="1">
      <alignment/>
    </xf>
    <xf numFmtId="173" fontId="0" fillId="0" borderId="0" xfId="44" applyNumberFormat="1" applyFont="1" applyAlignment="1">
      <alignment/>
    </xf>
    <xf numFmtId="14" fontId="0" fillId="44" borderId="1" xfId="0" applyNumberFormat="1" applyFill="1" applyBorder="1" applyAlignment="1">
      <alignment/>
    </xf>
    <xf numFmtId="173" fontId="0" fillId="44" borderId="1" xfId="44" applyNumberFormat="1" applyFont="1" applyFill="1" applyBorder="1" applyAlignment="1">
      <alignment/>
    </xf>
    <xf numFmtId="0" fontId="0" fillId="0" borderId="1" xfId="0" applyBorder="1" applyAlignment="1">
      <alignment wrapText="1"/>
    </xf>
    <xf numFmtId="0" fontId="3" fillId="0" borderId="0" xfId="0" applyFont="1" applyFill="1" applyBorder="1" applyAlignment="1">
      <alignment shrinkToFit="1"/>
    </xf>
    <xf numFmtId="0" fontId="31" fillId="43" borderId="1" xfId="61" applyNumberFormat="1" applyFill="1" applyBorder="1">
      <alignment/>
      <protection/>
    </xf>
    <xf numFmtId="3" fontId="6" fillId="0" borderId="1" xfId="49" applyNumberFormat="1" applyFont="1" applyFill="1" applyBorder="1" applyAlignment="1">
      <alignment/>
    </xf>
    <xf numFmtId="0" fontId="6" fillId="0" borderId="1" xfId="0" applyFont="1" applyFill="1" applyBorder="1" applyAlignment="1">
      <alignment horizontal="centerContinuous" wrapText="1"/>
    </xf>
    <xf numFmtId="3" fontId="6" fillId="0" borderId="1" xfId="0" applyNumberFormat="1" applyFont="1" applyFill="1" applyBorder="1" applyAlignment="1">
      <alignment/>
    </xf>
    <xf numFmtId="0" fontId="5" fillId="46" borderId="20" xfId="0" applyFont="1" applyFill="1" applyBorder="1" applyAlignment="1">
      <alignment horizontal="centerContinuous" wrapText="1"/>
    </xf>
    <xf numFmtId="0" fontId="5" fillId="46" borderId="21" xfId="0" applyFont="1" applyFill="1" applyBorder="1" applyAlignment="1">
      <alignment horizontal="centerContinuous" wrapText="1"/>
    </xf>
    <xf numFmtId="0" fontId="5" fillId="46" borderId="22" xfId="0" applyFont="1" applyFill="1" applyBorder="1" applyAlignment="1">
      <alignment horizontal="centerContinuous" wrapText="1"/>
    </xf>
    <xf numFmtId="4" fontId="6" fillId="41" borderId="1" xfId="49" applyNumberFormat="1" applyFont="1" applyFill="1" applyBorder="1" applyAlignment="1">
      <alignment/>
    </xf>
    <xf numFmtId="180" fontId="6" fillId="41" borderId="1" xfId="65" applyNumberFormat="1" applyFont="1" applyFill="1" applyBorder="1" applyAlignment="1">
      <alignment horizontal="center"/>
    </xf>
    <xf numFmtId="8" fontId="2" fillId="27" borderId="1" xfId="0" applyNumberFormat="1" applyFont="1" applyFill="1" applyBorder="1" applyAlignment="1" applyProtection="1">
      <alignment horizontal="left" vertical="top"/>
      <protection hidden="1"/>
    </xf>
    <xf numFmtId="8" fontId="2" fillId="27" borderId="1" xfId="0" applyNumberFormat="1" applyFont="1" applyFill="1" applyBorder="1" applyAlignment="1">
      <alignment/>
    </xf>
    <xf numFmtId="0" fontId="0" fillId="41" borderId="1" xfId="0" applyNumberFormat="1" applyFont="1" applyFill="1" applyBorder="1" applyAlignment="1">
      <alignment/>
    </xf>
    <xf numFmtId="180" fontId="0" fillId="41" borderId="1" xfId="0" applyNumberFormat="1" applyFont="1" applyFill="1" applyBorder="1" applyAlignment="1">
      <alignment/>
    </xf>
    <xf numFmtId="0" fontId="0" fillId="0" borderId="0" xfId="0" applyFont="1" applyAlignment="1">
      <alignment/>
    </xf>
    <xf numFmtId="0" fontId="2" fillId="27" borderId="1" xfId="0" applyFont="1" applyFill="1" applyBorder="1" applyAlignment="1">
      <alignment/>
    </xf>
    <xf numFmtId="0" fontId="0" fillId="41" borderId="1" xfId="0" applyFont="1" applyFill="1" applyBorder="1" applyAlignment="1">
      <alignment/>
    </xf>
    <xf numFmtId="181" fontId="0" fillId="41" borderId="1" xfId="67" applyNumberFormat="1" applyFont="1" applyFill="1" applyBorder="1" applyAlignment="1">
      <alignment/>
    </xf>
    <xf numFmtId="0" fontId="2" fillId="27" borderId="1" xfId="0" applyFont="1" applyFill="1" applyBorder="1" applyAlignment="1" applyProtection="1">
      <alignment horizontal="left" vertical="top"/>
      <protection hidden="1"/>
    </xf>
    <xf numFmtId="0" fontId="2" fillId="27" borderId="23" xfId="0" applyFont="1" applyFill="1" applyBorder="1" applyAlignment="1">
      <alignment/>
    </xf>
    <xf numFmtId="4" fontId="0" fillId="45" borderId="13" xfId="44" applyNumberFormat="1" applyFont="1" applyFill="1" applyBorder="1" applyAlignment="1">
      <alignment/>
    </xf>
    <xf numFmtId="4" fontId="0" fillId="0" borderId="13" xfId="44" applyNumberFormat="1" applyFont="1" applyBorder="1" applyAlignment="1">
      <alignment/>
    </xf>
    <xf numFmtId="4" fontId="0" fillId="45" borderId="1" xfId="44" applyNumberFormat="1" applyFont="1" applyFill="1" applyBorder="1" applyAlignment="1">
      <alignment/>
    </xf>
    <xf numFmtId="4" fontId="0" fillId="0" borderId="1" xfId="44" applyNumberFormat="1" applyFont="1" applyBorder="1" applyAlignment="1">
      <alignment/>
    </xf>
    <xf numFmtId="4" fontId="0" fillId="47" borderId="1" xfId="44" applyNumberFormat="1" applyFont="1" applyFill="1" applyBorder="1" applyAlignment="1">
      <alignment/>
    </xf>
    <xf numFmtId="4" fontId="0" fillId="0" borderId="1" xfId="49" applyNumberFormat="1" applyFont="1" applyBorder="1" applyAlignment="1">
      <alignment/>
    </xf>
    <xf numFmtId="4" fontId="0" fillId="41" borderId="1" xfId="0" applyNumberFormat="1" applyFill="1" applyBorder="1" applyAlignment="1">
      <alignment/>
    </xf>
    <xf numFmtId="14" fontId="0" fillId="0" borderId="1" xfId="0" applyNumberFormat="1" applyFont="1" applyFill="1" applyBorder="1" applyAlignment="1">
      <alignment/>
    </xf>
    <xf numFmtId="0" fontId="0" fillId="0" borderId="1" xfId="0" applyFont="1" applyFill="1" applyBorder="1" applyAlignment="1">
      <alignment/>
    </xf>
    <xf numFmtId="0" fontId="0" fillId="0" borderId="1" xfId="0" applyNumberFormat="1" applyFont="1" applyFill="1" applyBorder="1" applyAlignment="1">
      <alignment/>
    </xf>
    <xf numFmtId="9" fontId="0" fillId="0" borderId="1" xfId="0" applyNumberFormat="1" applyFont="1" applyFill="1" applyBorder="1" applyAlignment="1">
      <alignment/>
    </xf>
    <xf numFmtId="0" fontId="0" fillId="0" borderId="1" xfId="0" applyFont="1" applyFill="1" applyBorder="1" applyAlignment="1">
      <alignment/>
    </xf>
    <xf numFmtId="10" fontId="0" fillId="0" borderId="1" xfId="0" applyNumberFormat="1" applyFont="1" applyFill="1" applyBorder="1" applyAlignment="1">
      <alignment/>
    </xf>
    <xf numFmtId="4" fontId="0" fillId="0" borderId="1" xfId="0" applyNumberFormat="1" applyFont="1" applyFill="1" applyBorder="1" applyAlignment="1" applyProtection="1">
      <alignment horizontal="right" vertical="top"/>
      <protection hidden="1"/>
    </xf>
    <xf numFmtId="4" fontId="0" fillId="41" borderId="1" xfId="49" applyNumberFormat="1" applyFont="1" applyFill="1" applyBorder="1" applyAlignment="1">
      <alignment/>
    </xf>
    <xf numFmtId="4" fontId="0" fillId="41" borderId="1" xfId="0" applyNumberFormat="1" applyFont="1" applyFill="1" applyBorder="1" applyAlignment="1">
      <alignment/>
    </xf>
    <xf numFmtId="0" fontId="0" fillId="48" borderId="1" xfId="0" applyFill="1" applyBorder="1" applyAlignment="1">
      <alignment/>
    </xf>
    <xf numFmtId="4" fontId="0" fillId="0" borderId="13" xfId="0" applyNumberFormat="1" applyBorder="1" applyAlignment="1">
      <alignment/>
    </xf>
    <xf numFmtId="4" fontId="0" fillId="0" borderId="1" xfId="0" applyNumberFormat="1" applyFill="1" applyBorder="1" applyAlignment="1">
      <alignment/>
    </xf>
    <xf numFmtId="4" fontId="0" fillId="41" borderId="0" xfId="0" applyNumberFormat="1" applyFill="1" applyAlignment="1">
      <alignment/>
    </xf>
    <xf numFmtId="4" fontId="0" fillId="0" borderId="0" xfId="0" applyNumberFormat="1" applyAlignment="1">
      <alignment/>
    </xf>
    <xf numFmtId="4" fontId="49" fillId="40" borderId="12" xfId="0" applyNumberFormat="1" applyFont="1" applyFill="1" applyBorder="1" applyAlignment="1">
      <alignment horizontal="centerContinuous" wrapText="1"/>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lue" xfId="40"/>
    <cellStyle name="bluecenteraccrossselection" xfId="41"/>
    <cellStyle name="Calculation" xfId="42"/>
    <cellStyle name="Check Cell" xfId="43"/>
    <cellStyle name="Comma" xfId="44"/>
    <cellStyle name="Comma [0]" xfId="45"/>
    <cellStyle name="Comma 2" xfId="46"/>
    <cellStyle name="Currency" xfId="47"/>
    <cellStyle name="Currency [0]" xfId="48"/>
    <cellStyle name="Currency 2" xfId="49"/>
    <cellStyle name="Currency Round to thousands" xfId="50"/>
    <cellStyle name="Explanatory Text" xfId="51"/>
    <cellStyle name="Four-Digit Year" xfId="52"/>
    <cellStyle name="Good" xfId="53"/>
    <cellStyle name="Heading 1" xfId="54"/>
    <cellStyle name="Heading 2" xfId="55"/>
    <cellStyle name="Heading 3" xfId="56"/>
    <cellStyle name="Heading 4" xfId="57"/>
    <cellStyle name="Input" xfId="58"/>
    <cellStyle name="Linked Cell" xfId="59"/>
    <cellStyle name="Neutral" xfId="60"/>
    <cellStyle name="Normal 2" xfId="61"/>
    <cellStyle name="Normal 3" xfId="62"/>
    <cellStyle name="Note" xfId="63"/>
    <cellStyle name="Output" xfId="64"/>
    <cellStyle name="Percent" xfId="65"/>
    <cellStyle name="Percent 2" xfId="66"/>
    <cellStyle name="Percent 3" xfId="67"/>
    <cellStyle name="Rad" xfId="68"/>
    <cellStyle name="redcenteraccrossselection" xfId="69"/>
    <cellStyle name="Title" xfId="70"/>
    <cellStyle name="Total" xfId="71"/>
    <cellStyle name="Warning Text" xfId="72"/>
    <cellStyle name="Wrap Text" xfId="73"/>
    <cellStyle name="Yellow" xfId="74"/>
    <cellStyle name="yellowcenteraccrossselection" xfId="75"/>
  </cellStyles>
  <dxfs count="6">
    <dxf>
      <font>
        <color theme="0"/>
      </font>
      <fill>
        <patternFill>
          <bgColor rgb="FF0070C0"/>
        </patternFill>
      </fill>
    </dxf>
    <dxf>
      <font>
        <color theme="0"/>
      </font>
      <fill>
        <patternFill>
          <bgColor rgb="FF002060"/>
        </patternFill>
      </fill>
    </dxf>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438150</xdr:colOff>
      <xdr:row>47</xdr:row>
      <xdr:rowOff>104775</xdr:rowOff>
    </xdr:from>
    <xdr:to>
      <xdr:col>8</xdr:col>
      <xdr:colOff>276225</xdr:colOff>
      <xdr:row>51</xdr:row>
      <xdr:rowOff>85725</xdr:rowOff>
    </xdr:to>
    <xdr:pic>
      <xdr:nvPicPr>
        <xdr:cNvPr id="1" name="Picture 1" descr="Equation"/>
        <xdr:cNvPicPr preferRelativeResize="1">
          <a:picLocks noChangeAspect="1"/>
        </xdr:cNvPicPr>
      </xdr:nvPicPr>
      <xdr:blipFill>
        <a:blip r:embed="rId1"/>
        <a:stretch>
          <a:fillRect/>
        </a:stretch>
      </xdr:blipFill>
      <xdr:spPr>
        <a:xfrm>
          <a:off x="3781425" y="11344275"/>
          <a:ext cx="3057525"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438150</xdr:colOff>
      <xdr:row>47</xdr:row>
      <xdr:rowOff>104775</xdr:rowOff>
    </xdr:from>
    <xdr:to>
      <xdr:col>8</xdr:col>
      <xdr:colOff>276225</xdr:colOff>
      <xdr:row>51</xdr:row>
      <xdr:rowOff>85725</xdr:rowOff>
    </xdr:to>
    <xdr:pic>
      <xdr:nvPicPr>
        <xdr:cNvPr id="1" name="Picture 1" descr="Equation"/>
        <xdr:cNvPicPr preferRelativeResize="1">
          <a:picLocks noChangeAspect="1"/>
        </xdr:cNvPicPr>
      </xdr:nvPicPr>
      <xdr:blipFill>
        <a:blip r:embed="rId1"/>
        <a:stretch>
          <a:fillRect/>
        </a:stretch>
      </xdr:blipFill>
      <xdr:spPr>
        <a:xfrm>
          <a:off x="3781425" y="11725275"/>
          <a:ext cx="3057525" cy="714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ll%20classes\214\2007\Content\Week09\Busn214SIBWMOE2007Chapter06fromMGirvinFinish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ssumptions"/>
      <sheetName val="Time Value of Money"/>
      <sheetName val="Interest and FV"/>
      <sheetName val="PMT"/>
      <sheetName val="RATE"/>
      <sheetName val="EFFECT"/>
      <sheetName val="Loan Analysis"/>
      <sheetName val="NOMINAL &amp; EFFECT &amp; FV"/>
      <sheetName val="NPER"/>
      <sheetName val="SLN &amp; DDB"/>
      <sheetName val="PV &amp; NPV &amp; XNPV"/>
      <sheetName val="Retirement"/>
      <sheetName val="Amortization Table"/>
      <sheetName val="Mortgage Calc (1)"/>
      <sheetName val="Tax"/>
    </sheetNames>
    <sheetDataSet>
      <sheetData sheetId="6">
        <row r="19">
          <cell r="C19">
            <v>430000</v>
          </cell>
        </row>
        <row r="20">
          <cell r="C20">
            <v>12</v>
          </cell>
        </row>
        <row r="21">
          <cell r="C21">
            <v>-50000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rgb="FF002060"/>
  </sheetPr>
  <dimension ref="A1:I36"/>
  <sheetViews>
    <sheetView tabSelected="1" zoomScale="85" zoomScaleNormal="85" zoomScalePageLayoutView="0" workbookViewId="0" topLeftCell="A1">
      <selection activeCell="C12" sqref="C12"/>
    </sheetView>
  </sheetViews>
  <sheetFormatPr defaultColWidth="9.140625" defaultRowHeight="12.75"/>
  <cols>
    <col min="1" max="1" width="2.57421875" style="0" bestFit="1" customWidth="1"/>
    <col min="2" max="2" width="16.7109375" style="0" customWidth="1"/>
    <col min="3" max="3" width="16.57421875" style="0" customWidth="1"/>
    <col min="4" max="4" width="20.421875" style="0" customWidth="1"/>
    <col min="5" max="5" width="10.57421875" style="0" bestFit="1" customWidth="1"/>
    <col min="6" max="6" width="3.57421875" style="0" customWidth="1"/>
  </cols>
  <sheetData>
    <row r="1" spans="1:6" ht="12.75">
      <c r="A1" s="1" t="str">
        <f aca="true" t="shared" si="0" ref="A1:A7">ROW()&amp;")"</f>
        <v>1)</v>
      </c>
      <c r="B1" s="2" t="s">
        <v>0</v>
      </c>
      <c r="C1" s="3"/>
      <c r="D1" s="3"/>
      <c r="E1" s="3"/>
      <c r="F1" s="3"/>
    </row>
    <row r="2" spans="1:6" ht="38.25">
      <c r="A2" s="1" t="str">
        <f t="shared" si="0"/>
        <v>2)</v>
      </c>
      <c r="B2" s="2" t="s">
        <v>1</v>
      </c>
      <c r="C2" s="3"/>
      <c r="D2" s="3"/>
      <c r="E2" s="3"/>
      <c r="F2" s="3"/>
    </row>
    <row r="3" spans="1:6" ht="25.5">
      <c r="A3" s="1" t="str">
        <f t="shared" si="0"/>
        <v>3)</v>
      </c>
      <c r="B3" s="2" t="s">
        <v>2</v>
      </c>
      <c r="C3" s="3"/>
      <c r="D3" s="3"/>
      <c r="E3" s="3"/>
      <c r="F3" s="3"/>
    </row>
    <row r="4" spans="1:6" ht="25.5">
      <c r="A4" s="1" t="str">
        <f t="shared" si="0"/>
        <v>4)</v>
      </c>
      <c r="B4" s="2" t="s">
        <v>3</v>
      </c>
      <c r="C4" s="3"/>
      <c r="D4" s="3"/>
      <c r="E4" s="3"/>
      <c r="F4" s="3"/>
    </row>
    <row r="5" spans="1:6" ht="38.25">
      <c r="A5" s="1" t="str">
        <f t="shared" si="0"/>
        <v>5)</v>
      </c>
      <c r="B5" s="2" t="s">
        <v>4</v>
      </c>
      <c r="C5" s="3"/>
      <c r="D5" s="3"/>
      <c r="E5" s="3"/>
      <c r="F5" s="3"/>
    </row>
    <row r="6" spans="1:6" ht="51">
      <c r="A6" s="1" t="str">
        <f t="shared" si="0"/>
        <v>6)</v>
      </c>
      <c r="B6" s="2" t="s">
        <v>5</v>
      </c>
      <c r="C6" s="3"/>
      <c r="D6" s="3"/>
      <c r="E6" s="3"/>
      <c r="F6" s="3"/>
    </row>
    <row r="7" spans="1:6" ht="38.25">
      <c r="A7" s="1" t="str">
        <f t="shared" si="0"/>
        <v>7)</v>
      </c>
      <c r="B7" s="2" t="s">
        <v>6</v>
      </c>
      <c r="C7" s="3"/>
      <c r="D7" s="3"/>
      <c r="E7" s="3"/>
      <c r="F7" s="3"/>
    </row>
    <row r="8" ht="13.5" thickBot="1"/>
    <row r="9" spans="1:5" ht="27" thickBot="1" thickTop="1">
      <c r="A9" s="4">
        <v>1</v>
      </c>
      <c r="B9" s="5" t="str">
        <f>"Borrower Point of View: At an "&amp;D10&amp;" of "&amp;TEXT(E10,"0.00%")&amp;" the monthly PMT paid = "&amp;DOLLAR(C13)</f>
        <v>Borrower Point of View: At an Annual Interest Rate of 6.50% the monthly PMT paid = $0.00</v>
      </c>
      <c r="C9" s="5"/>
      <c r="D9" s="5"/>
      <c r="E9" s="5"/>
    </row>
    <row r="10" spans="2:5" ht="13.5" thickTop="1">
      <c r="B10" s="6" t="s">
        <v>7</v>
      </c>
      <c r="C10" s="125">
        <v>34799</v>
      </c>
      <c r="D10" s="6" t="s">
        <v>8</v>
      </c>
      <c r="E10" s="7">
        <v>0.065</v>
      </c>
    </row>
    <row r="11" spans="2:5" ht="12.75">
      <c r="B11" s="12" t="s">
        <v>9</v>
      </c>
      <c r="C11" s="24">
        <v>10000</v>
      </c>
      <c r="D11" s="8" t="s">
        <v>10</v>
      </c>
      <c r="E11" s="9"/>
    </row>
    <row r="12" spans="2:5" ht="12.75">
      <c r="B12" s="8" t="s">
        <v>11</v>
      </c>
      <c r="C12" s="114"/>
      <c r="D12" s="8" t="s">
        <v>12</v>
      </c>
      <c r="E12" s="10">
        <v>5</v>
      </c>
    </row>
    <row r="13" spans="2:5" ht="12.75">
      <c r="B13" s="8" t="s">
        <v>115</v>
      </c>
      <c r="C13" s="114"/>
      <c r="D13" s="8" t="s">
        <v>14</v>
      </c>
      <c r="E13" s="11"/>
    </row>
    <row r="14" spans="2:5" ht="12.75">
      <c r="B14" s="8" t="s">
        <v>13</v>
      </c>
      <c r="C14" s="24">
        <f>-C12/((1-(1+E10/E14)^(-E12*E14))/(E10/E14))</f>
        <v>0</v>
      </c>
      <c r="D14" s="12" t="s">
        <v>15</v>
      </c>
      <c r="E14" s="10">
        <v>12</v>
      </c>
    </row>
    <row r="15" spans="2:5" ht="12.75">
      <c r="B15" s="12" t="s">
        <v>116</v>
      </c>
      <c r="C15" s="114"/>
      <c r="D15" s="12" t="s">
        <v>114</v>
      </c>
      <c r="E15" s="10">
        <v>1</v>
      </c>
    </row>
    <row r="16" spans="2:4" ht="13.5" thickBot="1">
      <c r="B16" s="88"/>
      <c r="C16" s="69"/>
      <c r="D16" s="88"/>
    </row>
    <row r="17" spans="1:5" ht="27" thickBot="1" thickTop="1">
      <c r="A17" s="4">
        <v>2</v>
      </c>
      <c r="B17" s="5" t="str">
        <f>"Lender Point of view: At an "&amp;D18&amp;" of "&amp;TEXT(E18,"0.00%")&amp;" the monthly PMT received = "&amp;DOLLAR(C21)</f>
        <v>Lender Point of view: At an Annual Interest Rate of 6.50% the monthly PMT received = $0.00</v>
      </c>
      <c r="C17" s="5"/>
      <c r="D17" s="5"/>
      <c r="E17" s="5"/>
    </row>
    <row r="18" spans="2:5" ht="13.5" thickTop="1">
      <c r="B18" s="6" t="s">
        <v>7</v>
      </c>
      <c r="C18" s="125">
        <f>C10</f>
        <v>34799</v>
      </c>
      <c r="D18" s="6" t="s">
        <v>8</v>
      </c>
      <c r="E18" s="7">
        <f>E10</f>
        <v>0.065</v>
      </c>
    </row>
    <row r="19" spans="2:5" ht="12.75">
      <c r="B19" s="12" t="s">
        <v>9</v>
      </c>
      <c r="C19" s="24">
        <f>C11</f>
        <v>10000</v>
      </c>
      <c r="D19" s="8" t="s">
        <v>10</v>
      </c>
      <c r="E19" s="13">
        <f>E18/E22</f>
        <v>0.005416666666666667</v>
      </c>
    </row>
    <row r="20" spans="2:5" ht="12.75">
      <c r="B20" s="8" t="s">
        <v>11</v>
      </c>
      <c r="C20" s="126">
        <f>-(C18-C19)</f>
        <v>-24799</v>
      </c>
      <c r="D20" s="8" t="s">
        <v>12</v>
      </c>
      <c r="E20" s="10">
        <f>E12</f>
        <v>5</v>
      </c>
    </row>
    <row r="21" spans="2:5" ht="12.75">
      <c r="B21" s="8" t="s">
        <v>13</v>
      </c>
      <c r="C21" s="123"/>
      <c r="D21" s="8" t="s">
        <v>14</v>
      </c>
      <c r="E21" s="14">
        <f>E20*E22</f>
        <v>60</v>
      </c>
    </row>
    <row r="22" spans="2:5" ht="12.75">
      <c r="B22" s="8" t="s">
        <v>13</v>
      </c>
      <c r="C22" s="24">
        <f>-(C20/((1-(1+E18/E22)^(-E20*E22))/(E18/E22)))</f>
        <v>485.22090967625377</v>
      </c>
      <c r="D22" s="12" t="s">
        <v>15</v>
      </c>
      <c r="E22" s="10">
        <f>E14</f>
        <v>12</v>
      </c>
    </row>
    <row r="23" ht="13.5" thickBot="1"/>
    <row r="24" spans="1:5" ht="39.75" thickBot="1" thickTop="1">
      <c r="A24" s="4">
        <v>3</v>
      </c>
      <c r="B24" s="5" t="str">
        <f>"At an "&amp;D25&amp;" of "&amp;TEXT(E25,"0.00%")&amp;" and a balloon payment of "&amp;DOLLAR(-C28)&amp;" at the end of "&amp;E28&amp;" months, the monthly PMT = "&amp;DOLLAR(PMT(E26,E28,C27,C28))&amp;" - Borrower's Point of View."</f>
        <v>At an Annual Interest Rate of 5.25% and a balloon payment of $5,000.00 at the end of 36 months, the monthly PMT = ($1,225.21) - Borrower's Point of View.</v>
      </c>
      <c r="C24" s="5"/>
      <c r="D24" s="5"/>
      <c r="E24" s="5"/>
    </row>
    <row r="25" spans="2:5" ht="13.5" thickTop="1">
      <c r="B25" s="6" t="s">
        <v>7</v>
      </c>
      <c r="C25" s="125">
        <v>50000</v>
      </c>
      <c r="D25" s="6" t="s">
        <v>8</v>
      </c>
      <c r="E25" s="7">
        <v>0.0525</v>
      </c>
    </row>
    <row r="26" spans="2:5" ht="12.75">
      <c r="B26" s="12" t="s">
        <v>9</v>
      </c>
      <c r="C26" s="24">
        <v>5000</v>
      </c>
      <c r="D26" s="8" t="s">
        <v>10</v>
      </c>
      <c r="E26" s="15">
        <f>E25/E29</f>
        <v>0.0043749999999999995</v>
      </c>
    </row>
    <row r="27" spans="2:5" ht="12.75">
      <c r="B27" s="12" t="s">
        <v>11</v>
      </c>
      <c r="C27" s="24">
        <f>C25-C26</f>
        <v>45000</v>
      </c>
      <c r="D27" s="8" t="s">
        <v>12</v>
      </c>
      <c r="E27" s="10">
        <v>3</v>
      </c>
    </row>
    <row r="28" spans="2:5" ht="12.75">
      <c r="B28" s="10" t="s">
        <v>16</v>
      </c>
      <c r="C28" s="24">
        <v>-5000</v>
      </c>
      <c r="D28" s="8" t="s">
        <v>14</v>
      </c>
      <c r="E28" s="16">
        <f>E27*E29</f>
        <v>36</v>
      </c>
    </row>
    <row r="29" spans="2:5" ht="12.75">
      <c r="B29" s="8" t="s">
        <v>13</v>
      </c>
      <c r="C29" s="114"/>
      <c r="D29" s="12" t="s">
        <v>15</v>
      </c>
      <c r="E29" s="10">
        <v>12</v>
      </c>
    </row>
    <row r="30" ht="13.5" thickBot="1"/>
    <row r="31" spans="1:5" ht="27" thickBot="1" thickTop="1">
      <c r="A31" s="4">
        <v>4</v>
      </c>
      <c r="B31" s="5" t="str">
        <f>"At an "&amp;D32&amp;" of "&amp;TEXT(E32,"0.00%")&amp;" and no payments during the first year, the PMT = "&amp;DOLLAR(C36)&amp;" - Borrower's Point of View."</f>
        <v>At an Annual Interest Rate of 8.50% and no payments during the first year, the PMT = ($67,328.25) - Borrower's Point of View.</v>
      </c>
      <c r="C31" s="5"/>
      <c r="D31" s="5"/>
      <c r="E31" s="5"/>
    </row>
    <row r="32" spans="2:5" ht="13.5" thickTop="1">
      <c r="B32" s="6" t="s">
        <v>11</v>
      </c>
      <c r="C32" s="125">
        <v>1000000</v>
      </c>
      <c r="D32" s="6" t="s">
        <v>8</v>
      </c>
      <c r="E32" s="7">
        <v>0.085</v>
      </c>
    </row>
    <row r="33" spans="2:5" ht="25.5">
      <c r="B33" s="87" t="s">
        <v>17</v>
      </c>
      <c r="C33" s="16">
        <v>1</v>
      </c>
      <c r="D33" s="8" t="s">
        <v>18</v>
      </c>
      <c r="E33" s="15">
        <f>E32/E36</f>
        <v>0.02125</v>
      </c>
    </row>
    <row r="34" spans="2:5" ht="12.75">
      <c r="B34" s="12" t="s">
        <v>19</v>
      </c>
      <c r="C34" s="114"/>
      <c r="D34" s="8" t="s">
        <v>12</v>
      </c>
      <c r="E34" s="10">
        <v>6</v>
      </c>
    </row>
    <row r="35" spans="2:5" ht="12.75">
      <c r="B35" s="8" t="s">
        <v>20</v>
      </c>
      <c r="C35" s="127"/>
      <c r="D35" s="8" t="s">
        <v>21</v>
      </c>
      <c r="E35" s="16">
        <f>E34*E36</f>
        <v>24</v>
      </c>
    </row>
    <row r="36" spans="2:9" ht="12.75">
      <c r="B36" s="8" t="s">
        <v>20</v>
      </c>
      <c r="C36" s="24">
        <f>PMT(E33,(E34-C33)*E36,FV(E33,C33*E36,,-C32))</f>
        <v>-67328.25018589238</v>
      </c>
      <c r="D36" s="12" t="s">
        <v>15</v>
      </c>
      <c r="E36" s="10">
        <v>4</v>
      </c>
      <c r="H36" t="s">
        <v>22</v>
      </c>
      <c r="I36">
        <f>C32*(1+E33)^E36</f>
        <v>1087747.9617211912</v>
      </c>
    </row>
  </sheetData>
  <sheetProtection/>
  <conditionalFormatting sqref="C14 C22">
    <cfRule type="expression" priority="2" dxfId="2" stopIfTrue="1">
      <formula>C13=""</formula>
    </cfRule>
  </conditionalFormatting>
  <conditionalFormatting sqref="C36">
    <cfRule type="expression" priority="1" dxfId="2" stopIfTrue="1">
      <formula>$C$35=""</formula>
    </cfRule>
  </conditionalFormatting>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rgb="FFFF0000"/>
  </sheetPr>
  <dimension ref="A1:G14"/>
  <sheetViews>
    <sheetView zoomScale="115" zoomScaleNormal="115" zoomScalePageLayoutView="0" workbookViewId="0" topLeftCell="A7">
      <selection activeCell="E13" sqref="E13"/>
    </sheetView>
  </sheetViews>
  <sheetFormatPr defaultColWidth="9.140625" defaultRowHeight="12.75"/>
  <cols>
    <col min="1" max="1" width="2.57421875" style="37" bestFit="1" customWidth="1"/>
    <col min="2" max="2" width="23.57421875" style="37" bestFit="1" customWidth="1"/>
    <col min="3" max="3" width="10.140625" style="37" bestFit="1" customWidth="1"/>
    <col min="4" max="16384" width="9.140625" style="37" customWidth="1"/>
  </cols>
  <sheetData>
    <row r="1" spans="1:6" ht="39">
      <c r="A1" s="1" t="str">
        <f>ROW()&amp;")"</f>
        <v>1)</v>
      </c>
      <c r="B1" s="2" t="s">
        <v>84</v>
      </c>
      <c r="C1" s="3"/>
      <c r="D1" s="3"/>
      <c r="E1" s="3"/>
      <c r="F1" s="3"/>
    </row>
    <row r="2" spans="1:6" ht="64.5">
      <c r="A2" s="1" t="str">
        <f>ROW()&amp;")"</f>
        <v>2)</v>
      </c>
      <c r="B2" s="2" t="s">
        <v>85</v>
      </c>
      <c r="C2" s="3"/>
      <c r="D2" s="3"/>
      <c r="E2" s="3"/>
      <c r="F2" s="3"/>
    </row>
    <row r="3" spans="1:6" ht="39">
      <c r="A3" s="1" t="str">
        <f>ROW()&amp;")"</f>
        <v>3)</v>
      </c>
      <c r="B3" s="2" t="s">
        <v>4</v>
      </c>
      <c r="C3" s="3"/>
      <c r="D3" s="3"/>
      <c r="E3" s="3"/>
      <c r="F3" s="3"/>
    </row>
    <row r="4" spans="1:6" ht="25.5">
      <c r="A4" s="1" t="str">
        <f>ROW()&amp;")"</f>
        <v>4)</v>
      </c>
      <c r="B4" s="2" t="s">
        <v>2</v>
      </c>
      <c r="C4" s="3"/>
      <c r="D4" s="3"/>
      <c r="E4" s="3"/>
      <c r="F4" s="3"/>
    </row>
    <row r="5" spans="1:6" ht="38.25">
      <c r="A5" s="1" t="str">
        <f>ROW()&amp;")"</f>
        <v>5)</v>
      </c>
      <c r="B5" s="2" t="s">
        <v>3</v>
      </c>
      <c r="C5" s="3"/>
      <c r="D5" s="3"/>
      <c r="E5" s="3"/>
      <c r="F5" s="3"/>
    </row>
    <row r="7" spans="2:6" ht="37.5">
      <c r="B7" s="62" t="s">
        <v>86</v>
      </c>
      <c r="C7" s="63"/>
      <c r="D7" s="63"/>
      <c r="E7" s="63"/>
      <c r="F7" s="64"/>
    </row>
    <row r="8" spans="2:3" ht="15">
      <c r="B8" s="43" t="s">
        <v>87</v>
      </c>
      <c r="C8" s="65">
        <v>2000</v>
      </c>
    </row>
    <row r="9" spans="2:5" ht="15">
      <c r="B9" s="43" t="s">
        <v>60</v>
      </c>
      <c r="C9" s="66">
        <v>0.18</v>
      </c>
      <c r="E9" s="43" t="s">
        <v>88</v>
      </c>
    </row>
    <row r="10" spans="2:5" ht="15">
      <c r="B10" s="43" t="s">
        <v>89</v>
      </c>
      <c r="C10" s="43">
        <v>12</v>
      </c>
      <c r="E10" s="43">
        <v>0</v>
      </c>
    </row>
    <row r="11" spans="2:3" ht="15">
      <c r="B11" s="43" t="s">
        <v>90</v>
      </c>
      <c r="C11" s="67">
        <v>41</v>
      </c>
    </row>
    <row r="12" spans="2:3" ht="15">
      <c r="B12" s="43" t="s">
        <v>91</v>
      </c>
      <c r="C12" s="44">
        <f>NPER(C9/C10,-C11,C8)</f>
        <v>88.36799227988423</v>
      </c>
    </row>
    <row r="13" spans="2:3" ht="15">
      <c r="B13" s="43" t="s">
        <v>92</v>
      </c>
      <c r="C13" s="44">
        <f>C12/C10</f>
        <v>7.363999356657019</v>
      </c>
    </row>
    <row r="14" spans="2:7" ht="45">
      <c r="B14" s="43" t="s">
        <v>93</v>
      </c>
      <c r="C14" s="68" t="str">
        <f>IF(C13="","","It will take "&amp;C13&amp;" years to pay off the credit card if we make only the minimum payment each period.")</f>
        <v>It will take 7.36399935665702 years to pay off the credit card if we make only the minimum payment each period.</v>
      </c>
      <c r="D14" s="48"/>
      <c r="E14" s="48"/>
      <c r="F14" s="48"/>
      <c r="G14" s="49"/>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002060"/>
    <pageSetUpPr fitToPage="1"/>
  </sheetPr>
  <dimension ref="A1:L21"/>
  <sheetViews>
    <sheetView zoomScalePageLayoutView="0" workbookViewId="0" topLeftCell="A6">
      <selection activeCell="H11" sqref="H11"/>
    </sheetView>
  </sheetViews>
  <sheetFormatPr defaultColWidth="9.140625" defaultRowHeight="12.75"/>
  <cols>
    <col min="1" max="1" width="3.00390625" style="0" bestFit="1" customWidth="1"/>
    <col min="2" max="2" width="8.00390625" style="0" bestFit="1" customWidth="1"/>
    <col min="3" max="3" width="9.00390625" style="0" bestFit="1" customWidth="1"/>
    <col min="4" max="4" width="7.7109375" style="0" bestFit="1" customWidth="1"/>
    <col min="5" max="5" width="7.57421875" style="0" bestFit="1" customWidth="1"/>
    <col min="6" max="6" width="6.57421875" style="0" bestFit="1" customWidth="1"/>
    <col min="7" max="7" width="9.7109375" style="0" bestFit="1" customWidth="1"/>
    <col min="8" max="8" width="13.28125" style="0" customWidth="1"/>
    <col min="9" max="9" width="10.7109375" style="0" bestFit="1" customWidth="1"/>
    <col min="10" max="10" width="14.57421875" style="0" bestFit="1" customWidth="1"/>
    <col min="11" max="11" width="11.00390625" style="0" bestFit="1" customWidth="1"/>
    <col min="12" max="12" width="17.8515625" style="0" bestFit="1" customWidth="1"/>
  </cols>
  <sheetData>
    <row r="1" spans="1:12" ht="12.75">
      <c r="A1" s="1" t="str">
        <f aca="true" t="shared" si="0" ref="A1:A6">ROW()&amp;")"</f>
        <v>1)</v>
      </c>
      <c r="B1" s="2" t="s">
        <v>0</v>
      </c>
      <c r="C1" s="3"/>
      <c r="D1" s="3"/>
      <c r="E1" s="3"/>
      <c r="F1" s="2"/>
      <c r="G1" s="3"/>
      <c r="H1" s="3"/>
      <c r="I1" s="3"/>
      <c r="J1" s="2"/>
      <c r="K1" s="3"/>
      <c r="L1" s="3"/>
    </row>
    <row r="2" spans="1:12" ht="25.5">
      <c r="A2" s="1" t="str">
        <f t="shared" si="0"/>
        <v>2)</v>
      </c>
      <c r="B2" s="2" t="s">
        <v>1</v>
      </c>
      <c r="C2" s="3"/>
      <c r="D2" s="3"/>
      <c r="E2" s="3"/>
      <c r="F2" s="2"/>
      <c r="G2" s="3"/>
      <c r="H2" s="3"/>
      <c r="I2" s="3"/>
      <c r="J2" s="2"/>
      <c r="K2" s="3"/>
      <c r="L2" s="3"/>
    </row>
    <row r="3" spans="1:12" ht="12.75">
      <c r="A3" s="1" t="str">
        <f t="shared" si="0"/>
        <v>3)</v>
      </c>
      <c r="B3" s="2" t="s">
        <v>2</v>
      </c>
      <c r="C3" s="3"/>
      <c r="D3" s="3"/>
      <c r="E3" s="3"/>
      <c r="F3" s="2"/>
      <c r="G3" s="3"/>
      <c r="H3" s="3"/>
      <c r="I3" s="3"/>
      <c r="J3" s="2"/>
      <c r="K3" s="3"/>
      <c r="L3" s="3"/>
    </row>
    <row r="4" spans="1:12" ht="25.5">
      <c r="A4" s="1" t="str">
        <f t="shared" si="0"/>
        <v>4)</v>
      </c>
      <c r="B4" s="2" t="s">
        <v>3</v>
      </c>
      <c r="C4" s="3"/>
      <c r="D4" s="3"/>
      <c r="E4" s="3"/>
      <c r="F4" s="2"/>
      <c r="G4" s="3"/>
      <c r="H4" s="3"/>
      <c r="I4" s="3"/>
      <c r="J4" s="2"/>
      <c r="K4" s="3"/>
      <c r="L4" s="3"/>
    </row>
    <row r="5" spans="1:12" ht="25.5">
      <c r="A5" s="1" t="str">
        <f t="shared" si="0"/>
        <v>5)</v>
      </c>
      <c r="B5" s="2" t="s">
        <v>4</v>
      </c>
      <c r="C5" s="3"/>
      <c r="D5" s="3"/>
      <c r="E5" s="3"/>
      <c r="F5" s="2"/>
      <c r="G5" s="3"/>
      <c r="H5" s="3"/>
      <c r="I5" s="3"/>
      <c r="J5" s="2"/>
      <c r="K5" s="3"/>
      <c r="L5" s="3"/>
    </row>
    <row r="6" spans="1:12" ht="38.25">
      <c r="A6" s="1" t="str">
        <f t="shared" si="0"/>
        <v>6)</v>
      </c>
      <c r="B6" s="2" t="s">
        <v>5</v>
      </c>
      <c r="C6" s="3"/>
      <c r="D6" s="3"/>
      <c r="E6" s="3"/>
      <c r="F6" s="2"/>
      <c r="G6" s="3"/>
      <c r="H6" s="3"/>
      <c r="I6" s="3"/>
      <c r="J6" s="2"/>
      <c r="K6" s="3"/>
      <c r="L6" s="3"/>
    </row>
    <row r="7" spans="1:12" ht="38.25">
      <c r="A7" s="1" t="str">
        <f>ROW()&amp;")"</f>
        <v>7)</v>
      </c>
      <c r="B7" s="2" t="s">
        <v>23</v>
      </c>
      <c r="C7" s="3"/>
      <c r="D7" s="3"/>
      <c r="E7" s="3"/>
      <c r="F7" s="3"/>
      <c r="G7" s="3"/>
      <c r="H7" s="3"/>
      <c r="I7" s="3"/>
      <c r="J7" s="2"/>
      <c r="K7" s="3"/>
      <c r="L7" s="3"/>
    </row>
    <row r="9" spans="2:12" ht="18.75" thickBot="1">
      <c r="B9" s="93" t="s">
        <v>120</v>
      </c>
      <c r="C9" s="94"/>
      <c r="D9" s="94"/>
      <c r="E9" s="94"/>
      <c r="F9" s="94"/>
      <c r="G9" s="94"/>
      <c r="H9" s="94"/>
      <c r="I9" s="94"/>
      <c r="J9" s="95"/>
      <c r="K9" s="93"/>
      <c r="L9" s="94"/>
    </row>
    <row r="10" spans="2:12" ht="25.5">
      <c r="B10" s="31" t="s">
        <v>43</v>
      </c>
      <c r="C10" s="31" t="s">
        <v>44</v>
      </c>
      <c r="D10" s="31" t="s">
        <v>45</v>
      </c>
      <c r="E10" s="31" t="s">
        <v>32</v>
      </c>
      <c r="F10" s="32" t="s">
        <v>35</v>
      </c>
      <c r="G10" s="32" t="s">
        <v>46</v>
      </c>
      <c r="H10" s="31" t="s">
        <v>47</v>
      </c>
      <c r="I10" s="31" t="s">
        <v>13</v>
      </c>
      <c r="J10" s="31" t="s">
        <v>48</v>
      </c>
      <c r="K10" s="31" t="s">
        <v>49</v>
      </c>
      <c r="L10" s="31" t="s">
        <v>50</v>
      </c>
    </row>
    <row r="11" spans="2:12" ht="12.75">
      <c r="B11" s="33">
        <v>1</v>
      </c>
      <c r="C11" s="34">
        <v>0.05</v>
      </c>
      <c r="D11" s="35">
        <v>0.085</v>
      </c>
      <c r="E11" s="33">
        <v>30</v>
      </c>
      <c r="F11" s="33">
        <v>1</v>
      </c>
      <c r="G11" s="92">
        <v>400</v>
      </c>
      <c r="H11" s="96"/>
      <c r="I11" s="96"/>
      <c r="J11" s="96"/>
      <c r="K11" s="97"/>
      <c r="L11" s="96"/>
    </row>
    <row r="12" spans="2:12" ht="12.75">
      <c r="B12" s="33">
        <v>2</v>
      </c>
      <c r="C12" s="34">
        <v>0.15</v>
      </c>
      <c r="D12" s="35">
        <v>0.0825</v>
      </c>
      <c r="E12" s="33">
        <v>30</v>
      </c>
      <c r="F12" s="33">
        <v>3</v>
      </c>
      <c r="G12" s="92">
        <v>400</v>
      </c>
      <c r="H12" s="96"/>
      <c r="I12" s="96"/>
      <c r="J12" s="96"/>
      <c r="K12" s="97"/>
      <c r="L12" s="96"/>
    </row>
    <row r="13" spans="2:12" ht="12.75">
      <c r="B13" s="33">
        <v>3</v>
      </c>
      <c r="C13" s="34">
        <v>0.045</v>
      </c>
      <c r="D13" s="35">
        <v>0.089</v>
      </c>
      <c r="E13" s="33">
        <v>30</v>
      </c>
      <c r="F13" s="33">
        <v>1</v>
      </c>
      <c r="G13" s="92">
        <v>450</v>
      </c>
      <c r="H13" s="96"/>
      <c r="I13" s="96"/>
      <c r="J13" s="96"/>
      <c r="K13" s="97"/>
      <c r="L13" s="96"/>
    </row>
    <row r="14" spans="2:12" ht="12.75">
      <c r="B14" s="33">
        <v>4</v>
      </c>
      <c r="C14" s="34">
        <v>0.12</v>
      </c>
      <c r="D14" s="35">
        <v>0.09</v>
      </c>
      <c r="E14" s="33">
        <v>30</v>
      </c>
      <c r="F14" s="33">
        <v>2</v>
      </c>
      <c r="G14" s="92">
        <v>100</v>
      </c>
      <c r="H14" s="96"/>
      <c r="I14" s="96"/>
      <c r="J14" s="96"/>
      <c r="K14" s="97"/>
      <c r="L14" s="96"/>
    </row>
    <row r="15" spans="2:12" ht="12.75">
      <c r="B15" s="33">
        <v>5</v>
      </c>
      <c r="C15" s="34">
        <v>0.15</v>
      </c>
      <c r="D15" s="35">
        <v>0.085</v>
      </c>
      <c r="E15" s="33">
        <v>30</v>
      </c>
      <c r="F15" s="33">
        <v>2</v>
      </c>
      <c r="G15" s="92">
        <v>125</v>
      </c>
      <c r="H15" s="96"/>
      <c r="I15" s="96"/>
      <c r="J15" s="96"/>
      <c r="K15" s="97"/>
      <c r="L15" s="96"/>
    </row>
    <row r="16" spans="2:12" ht="12.75">
      <c r="B16" s="33">
        <v>6</v>
      </c>
      <c r="C16" s="34">
        <v>0.2</v>
      </c>
      <c r="D16" s="35">
        <v>0.08</v>
      </c>
      <c r="E16" s="33">
        <v>15</v>
      </c>
      <c r="F16" s="33">
        <v>0</v>
      </c>
      <c r="G16" s="92">
        <v>500</v>
      </c>
      <c r="H16" s="96"/>
      <c r="I16" s="96"/>
      <c r="J16" s="96"/>
      <c r="K16" s="97"/>
      <c r="L16" s="96"/>
    </row>
    <row r="17" spans="2:12" ht="12.75">
      <c r="B17" s="33">
        <v>7</v>
      </c>
      <c r="C17" s="34">
        <v>0.15</v>
      </c>
      <c r="D17" s="35">
        <v>0.076</v>
      </c>
      <c r="E17" s="33">
        <v>15</v>
      </c>
      <c r="F17" s="33">
        <v>1</v>
      </c>
      <c r="G17" s="92">
        <v>750</v>
      </c>
      <c r="H17" s="96"/>
      <c r="I17" s="96"/>
      <c r="J17" s="96"/>
      <c r="K17" s="97"/>
      <c r="L17" s="96"/>
    </row>
    <row r="19" spans="2:7" ht="12.75">
      <c r="B19" s="91" t="s">
        <v>29</v>
      </c>
      <c r="C19" s="91"/>
      <c r="D19" s="91"/>
      <c r="E19" s="91"/>
      <c r="F19" s="91"/>
      <c r="G19" s="90">
        <v>430000</v>
      </c>
    </row>
    <row r="20" spans="2:7" ht="12.75">
      <c r="B20" s="91" t="s">
        <v>51</v>
      </c>
      <c r="C20" s="91"/>
      <c r="D20" s="91"/>
      <c r="E20" s="91"/>
      <c r="F20" s="91"/>
      <c r="G20" s="36">
        <v>12</v>
      </c>
    </row>
    <row r="21" spans="2:7" ht="12.75">
      <c r="B21" s="91" t="s">
        <v>52</v>
      </c>
      <c r="C21" s="91"/>
      <c r="D21" s="91"/>
      <c r="E21" s="91"/>
      <c r="F21" s="91"/>
      <c r="G21" s="90">
        <v>-50000</v>
      </c>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L21"/>
  <sheetViews>
    <sheetView zoomScalePageLayoutView="0" workbookViewId="0" topLeftCell="A6">
      <selection activeCell="H11" sqref="H11"/>
    </sheetView>
  </sheetViews>
  <sheetFormatPr defaultColWidth="9.140625" defaultRowHeight="12.75"/>
  <cols>
    <col min="1" max="1" width="3.00390625" style="0" bestFit="1" customWidth="1"/>
    <col min="2" max="2" width="8.00390625" style="0" bestFit="1" customWidth="1"/>
    <col min="3" max="3" width="9.00390625" style="0" bestFit="1" customWidth="1"/>
    <col min="4" max="4" width="7.7109375" style="0" bestFit="1" customWidth="1"/>
    <col min="5" max="5" width="7.57421875" style="0" bestFit="1" customWidth="1"/>
    <col min="6" max="6" width="6.57421875" style="0" bestFit="1" customWidth="1"/>
    <col min="7" max="7" width="9.7109375" style="0" bestFit="1" customWidth="1"/>
    <col min="8" max="8" width="13.28125" style="0" customWidth="1"/>
    <col min="9" max="9" width="10.7109375" style="0" bestFit="1" customWidth="1"/>
    <col min="10" max="10" width="14.57421875" style="0" bestFit="1" customWidth="1"/>
    <col min="11" max="11" width="11.00390625" style="0" bestFit="1" customWidth="1"/>
    <col min="12" max="12" width="17.8515625" style="0" bestFit="1" customWidth="1"/>
  </cols>
  <sheetData>
    <row r="1" spans="1:12" ht="12.75">
      <c r="A1" s="1" t="str">
        <f aca="true" t="shared" si="0" ref="A1:A6">ROW()&amp;")"</f>
        <v>1)</v>
      </c>
      <c r="B1" s="2" t="s">
        <v>0</v>
      </c>
      <c r="C1" s="3"/>
      <c r="D1" s="3"/>
      <c r="E1" s="3"/>
      <c r="F1" s="2"/>
      <c r="G1" s="3"/>
      <c r="H1" s="3"/>
      <c r="I1" s="3"/>
      <c r="J1" s="2"/>
      <c r="K1" s="3"/>
      <c r="L1" s="3"/>
    </row>
    <row r="2" spans="1:12" ht="25.5">
      <c r="A2" s="1" t="str">
        <f t="shared" si="0"/>
        <v>2)</v>
      </c>
      <c r="B2" s="2" t="s">
        <v>1</v>
      </c>
      <c r="C2" s="3"/>
      <c r="D2" s="3"/>
      <c r="E2" s="3"/>
      <c r="F2" s="2"/>
      <c r="G2" s="3"/>
      <c r="H2" s="3"/>
      <c r="I2" s="3"/>
      <c r="J2" s="2"/>
      <c r="K2" s="3"/>
      <c r="L2" s="3"/>
    </row>
    <row r="3" spans="1:12" ht="12.75">
      <c r="A3" s="1" t="str">
        <f t="shared" si="0"/>
        <v>3)</v>
      </c>
      <c r="B3" s="2" t="s">
        <v>2</v>
      </c>
      <c r="C3" s="3"/>
      <c r="D3" s="3"/>
      <c r="E3" s="3"/>
      <c r="F3" s="2"/>
      <c r="G3" s="3"/>
      <c r="H3" s="3"/>
      <c r="I3" s="3"/>
      <c r="J3" s="2"/>
      <c r="K3" s="3"/>
      <c r="L3" s="3"/>
    </row>
    <row r="4" spans="1:12" ht="25.5">
      <c r="A4" s="1" t="str">
        <f t="shared" si="0"/>
        <v>4)</v>
      </c>
      <c r="B4" s="2" t="s">
        <v>3</v>
      </c>
      <c r="C4" s="3"/>
      <c r="D4" s="3"/>
      <c r="E4" s="3"/>
      <c r="F4" s="2"/>
      <c r="G4" s="3"/>
      <c r="H4" s="3"/>
      <c r="I4" s="3"/>
      <c r="J4" s="2"/>
      <c r="K4" s="3"/>
      <c r="L4" s="3"/>
    </row>
    <row r="5" spans="1:12" ht="25.5">
      <c r="A5" s="1" t="str">
        <f t="shared" si="0"/>
        <v>5)</v>
      </c>
      <c r="B5" s="2" t="s">
        <v>4</v>
      </c>
      <c r="C5" s="3"/>
      <c r="D5" s="3"/>
      <c r="E5" s="3"/>
      <c r="F5" s="2"/>
      <c r="G5" s="3"/>
      <c r="H5" s="3"/>
      <c r="I5" s="3"/>
      <c r="J5" s="2"/>
      <c r="K5" s="3"/>
      <c r="L5" s="3"/>
    </row>
    <row r="6" spans="1:12" ht="38.25">
      <c r="A6" s="1" t="str">
        <f t="shared" si="0"/>
        <v>6)</v>
      </c>
      <c r="B6" s="2" t="s">
        <v>5</v>
      </c>
      <c r="C6" s="3"/>
      <c r="D6" s="3"/>
      <c r="E6" s="3"/>
      <c r="F6" s="2"/>
      <c r="G6" s="3"/>
      <c r="H6" s="3"/>
      <c r="I6" s="3"/>
      <c r="J6" s="2"/>
      <c r="K6" s="3"/>
      <c r="L6" s="3"/>
    </row>
    <row r="7" spans="1:12" ht="38.25">
      <c r="A7" s="1" t="str">
        <f>ROW()&amp;")"</f>
        <v>7)</v>
      </c>
      <c r="B7" s="2" t="s">
        <v>23</v>
      </c>
      <c r="C7" s="3"/>
      <c r="D7" s="3"/>
      <c r="E7" s="3"/>
      <c r="F7" s="3"/>
      <c r="G7" s="3"/>
      <c r="H7" s="3"/>
      <c r="I7" s="3"/>
      <c r="J7" s="2"/>
      <c r="K7" s="3"/>
      <c r="L7" s="3"/>
    </row>
    <row r="9" spans="2:12" ht="18.75" thickBot="1">
      <c r="B9" s="93" t="s">
        <v>120</v>
      </c>
      <c r="C9" s="94"/>
      <c r="D9" s="94"/>
      <c r="E9" s="94"/>
      <c r="F9" s="94"/>
      <c r="G9" s="94"/>
      <c r="H9" s="94"/>
      <c r="I9" s="94"/>
      <c r="J9" s="95"/>
      <c r="K9" s="93"/>
      <c r="L9" s="94"/>
    </row>
    <row r="10" spans="2:12" ht="25.5">
      <c r="B10" s="31" t="s">
        <v>43</v>
      </c>
      <c r="C10" s="31" t="s">
        <v>44</v>
      </c>
      <c r="D10" s="31" t="s">
        <v>45</v>
      </c>
      <c r="E10" s="31" t="s">
        <v>32</v>
      </c>
      <c r="F10" s="32" t="s">
        <v>35</v>
      </c>
      <c r="G10" s="32" t="s">
        <v>46</v>
      </c>
      <c r="H10" s="31" t="s">
        <v>47</v>
      </c>
      <c r="I10" s="31" t="s">
        <v>13</v>
      </c>
      <c r="J10" s="31" t="s">
        <v>48</v>
      </c>
      <c r="K10" s="31" t="s">
        <v>49</v>
      </c>
      <c r="L10" s="31" t="s">
        <v>50</v>
      </c>
    </row>
    <row r="11" spans="2:12" ht="12.75">
      <c r="B11" s="33">
        <v>1</v>
      </c>
      <c r="C11" s="34">
        <v>0.05</v>
      </c>
      <c r="D11" s="35">
        <v>0.085</v>
      </c>
      <c r="E11" s="33">
        <v>30</v>
      </c>
      <c r="F11" s="33">
        <v>1</v>
      </c>
      <c r="G11" s="92">
        <v>400</v>
      </c>
      <c r="H11" s="96">
        <f aca="true" t="shared" si="1" ref="H11:H17">p*(1-C11)</f>
        <v>408500</v>
      </c>
      <c r="I11" s="96">
        <f aca="true" t="shared" si="2" ref="I11:I17">PMT(D11/cp,E11*cp,H11)</f>
        <v>-3141.011580442003</v>
      </c>
      <c r="J11" s="96">
        <f>H11*(1-F11/100)-G11</f>
        <v>404015</v>
      </c>
      <c r="K11" s="97">
        <f aca="true" t="shared" si="3" ref="K11:K17">RATE(E11*cp,I11,J11)*cp</f>
        <v>0.08620214027672252</v>
      </c>
      <c r="L11" s="96">
        <f aca="true" t="shared" si="4" ref="L11:L17">PMT(D11/cp,E11*cp,H11,b)</f>
        <v>-3110.7215053165028</v>
      </c>
    </row>
    <row r="12" spans="2:12" ht="12.75">
      <c r="B12" s="33">
        <v>2</v>
      </c>
      <c r="C12" s="34">
        <v>0.15</v>
      </c>
      <c r="D12" s="35">
        <v>0.0825</v>
      </c>
      <c r="E12" s="33">
        <v>30</v>
      </c>
      <c r="F12" s="33">
        <v>3</v>
      </c>
      <c r="G12" s="92">
        <v>400</v>
      </c>
      <c r="H12" s="96">
        <f t="shared" si="1"/>
        <v>365500</v>
      </c>
      <c r="I12" s="96">
        <f t="shared" si="2"/>
        <v>-2745.8794378061266</v>
      </c>
      <c r="J12" s="96">
        <f aca="true" t="shared" si="5" ref="J12:J17">H12*(1-F12/100)-G12</f>
        <v>354135</v>
      </c>
      <c r="K12" s="97">
        <f t="shared" si="3"/>
        <v>0.08591063297396036</v>
      </c>
      <c r="L12" s="96">
        <f t="shared" si="4"/>
        <v>-2713.996135780665</v>
      </c>
    </row>
    <row r="13" spans="2:12" ht="12.75">
      <c r="B13" s="33">
        <v>3</v>
      </c>
      <c r="C13" s="34">
        <v>0.045</v>
      </c>
      <c r="D13" s="35">
        <v>0.089</v>
      </c>
      <c r="E13" s="33">
        <v>30</v>
      </c>
      <c r="F13" s="33">
        <v>1</v>
      </c>
      <c r="G13" s="92">
        <v>450</v>
      </c>
      <c r="H13" s="96">
        <f t="shared" si="1"/>
        <v>410650</v>
      </c>
      <c r="I13" s="96">
        <f t="shared" si="2"/>
        <v>-3274.6783234014206</v>
      </c>
      <c r="J13" s="96">
        <f t="shared" si="5"/>
        <v>406093.5</v>
      </c>
      <c r="K13" s="97">
        <f t="shared" si="3"/>
        <v>0.09024489073721606</v>
      </c>
      <c r="L13" s="96">
        <f t="shared" si="4"/>
        <v>-3246.792757014625</v>
      </c>
    </row>
    <row r="14" spans="2:12" ht="12.75">
      <c r="B14" s="33">
        <v>4</v>
      </c>
      <c r="C14" s="34">
        <v>0.12</v>
      </c>
      <c r="D14" s="35">
        <v>0.09</v>
      </c>
      <c r="E14" s="33">
        <v>30</v>
      </c>
      <c r="F14" s="33">
        <v>2</v>
      </c>
      <c r="G14" s="92">
        <v>100</v>
      </c>
      <c r="H14" s="96">
        <f t="shared" si="1"/>
        <v>378400</v>
      </c>
      <c r="I14" s="96">
        <f t="shared" si="2"/>
        <v>-3044.6919825190575</v>
      </c>
      <c r="J14" s="96">
        <f t="shared" si="5"/>
        <v>370732</v>
      </c>
      <c r="K14" s="97">
        <f t="shared" si="3"/>
        <v>0.09230530855765938</v>
      </c>
      <c r="L14" s="96">
        <f t="shared" si="4"/>
        <v>-3017.380674046666</v>
      </c>
    </row>
    <row r="15" spans="2:12" ht="12.75">
      <c r="B15" s="33">
        <v>5</v>
      </c>
      <c r="C15" s="34">
        <v>0.15</v>
      </c>
      <c r="D15" s="35">
        <v>0.085</v>
      </c>
      <c r="E15" s="33">
        <v>30</v>
      </c>
      <c r="F15" s="33">
        <v>2</v>
      </c>
      <c r="G15" s="92">
        <v>125</v>
      </c>
      <c r="H15" s="96">
        <f t="shared" si="1"/>
        <v>365500</v>
      </c>
      <c r="I15" s="96">
        <f t="shared" si="2"/>
        <v>-2810.3787825007394</v>
      </c>
      <c r="J15" s="96">
        <f t="shared" si="5"/>
        <v>358065</v>
      </c>
      <c r="K15" s="97">
        <f t="shared" si="3"/>
        <v>0.08724494901549547</v>
      </c>
      <c r="L15" s="96">
        <f t="shared" si="4"/>
        <v>-2780.088707375239</v>
      </c>
    </row>
    <row r="16" spans="2:12" ht="12.75">
      <c r="B16" s="33">
        <v>6</v>
      </c>
      <c r="C16" s="34">
        <v>0.2</v>
      </c>
      <c r="D16" s="35">
        <v>0.08</v>
      </c>
      <c r="E16" s="33">
        <v>15</v>
      </c>
      <c r="F16" s="33">
        <v>0</v>
      </c>
      <c r="G16" s="92">
        <v>500</v>
      </c>
      <c r="H16" s="96">
        <f t="shared" si="1"/>
        <v>344000</v>
      </c>
      <c r="I16" s="96">
        <f t="shared" si="2"/>
        <v>-3287.4431700964087</v>
      </c>
      <c r="J16" s="96">
        <f t="shared" si="5"/>
        <v>343500</v>
      </c>
      <c r="K16" s="97">
        <f t="shared" si="3"/>
        <v>0.08024086861739288</v>
      </c>
      <c r="L16" s="96">
        <f t="shared" si="4"/>
        <v>-3142.950461264567</v>
      </c>
    </row>
    <row r="17" spans="2:12" ht="12.75">
      <c r="B17" s="33">
        <v>7</v>
      </c>
      <c r="C17" s="34">
        <v>0.15</v>
      </c>
      <c r="D17" s="35">
        <v>0.076</v>
      </c>
      <c r="E17" s="33">
        <v>15</v>
      </c>
      <c r="F17" s="33">
        <v>1</v>
      </c>
      <c r="G17" s="92">
        <v>750</v>
      </c>
      <c r="H17" s="96">
        <f t="shared" si="1"/>
        <v>365500</v>
      </c>
      <c r="I17" s="96">
        <f t="shared" si="2"/>
        <v>-3409.0334917556106</v>
      </c>
      <c r="J17" s="96">
        <f t="shared" si="5"/>
        <v>361095</v>
      </c>
      <c r="K17" s="97">
        <f t="shared" si="3"/>
        <v>0.07798956737794846</v>
      </c>
      <c r="L17" s="96">
        <f t="shared" si="4"/>
        <v>-3259.348107566517</v>
      </c>
    </row>
    <row r="19" spans="2:7" ht="12.75">
      <c r="B19" s="91" t="s">
        <v>29</v>
      </c>
      <c r="C19" s="91"/>
      <c r="D19" s="91"/>
      <c r="E19" s="91"/>
      <c r="F19" s="91"/>
      <c r="G19" s="90">
        <v>430000</v>
      </c>
    </row>
    <row r="20" spans="2:7" ht="12.75">
      <c r="B20" s="91" t="s">
        <v>51</v>
      </c>
      <c r="C20" s="91"/>
      <c r="D20" s="91"/>
      <c r="E20" s="91"/>
      <c r="F20" s="91"/>
      <c r="G20" s="36">
        <v>12</v>
      </c>
    </row>
    <row r="21" spans="2:7" ht="12.75">
      <c r="B21" s="91" t="s">
        <v>52</v>
      </c>
      <c r="C21" s="91"/>
      <c r="D21" s="91"/>
      <c r="E21" s="91"/>
      <c r="F21" s="91"/>
      <c r="G21" s="90">
        <v>-50000</v>
      </c>
    </row>
  </sheetData>
  <sheetProtection/>
  <conditionalFormatting sqref="H11:L17">
    <cfRule type="expression" priority="1" dxfId="1" stopIfTrue="1">
      <formula>$K11=MIN($K$11:$K$17)</formula>
    </cfRule>
    <cfRule type="expression" priority="2" dxfId="0" stopIfTrue="1">
      <formula>$I11=MAX($I$11:$I$17)</formula>
    </cfRule>
  </conditionalFormatting>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13.xml><?xml version="1.0" encoding="utf-8"?>
<worksheet xmlns="http://schemas.openxmlformats.org/spreadsheetml/2006/main" xmlns:r="http://schemas.openxmlformats.org/officeDocument/2006/relationships">
  <sheetPr>
    <tabColor rgb="FF002060"/>
  </sheetPr>
  <dimension ref="A1:J46"/>
  <sheetViews>
    <sheetView zoomScale="85" zoomScaleNormal="85" zoomScalePageLayoutView="0" workbookViewId="0" topLeftCell="A8">
      <selection activeCell="C17" sqref="C17"/>
    </sheetView>
  </sheetViews>
  <sheetFormatPr defaultColWidth="9.140625" defaultRowHeight="12.75"/>
  <cols>
    <col min="1" max="1" width="2.57421875" style="0" bestFit="1" customWidth="1"/>
    <col min="2" max="2" width="37.421875" style="0" bestFit="1" customWidth="1"/>
    <col min="3" max="3" width="10.7109375" style="0" bestFit="1" customWidth="1"/>
    <col min="4" max="4" width="7.140625" style="0" bestFit="1" customWidth="1"/>
    <col min="5" max="5" width="10.7109375" style="0" bestFit="1" customWidth="1"/>
    <col min="6" max="6" width="13.28125" style="0" customWidth="1"/>
    <col min="7" max="7" width="8.00390625" style="0" customWidth="1"/>
  </cols>
  <sheetData>
    <row r="1" spans="1:3" ht="89.25">
      <c r="A1" s="1" t="str">
        <f aca="true" t="shared" si="0" ref="A1:A8">ROW()&amp;")"</f>
        <v>1)</v>
      </c>
      <c r="B1" s="2" t="s">
        <v>94</v>
      </c>
      <c r="C1" s="3"/>
    </row>
    <row r="2" spans="1:3" ht="89.25">
      <c r="A2" s="1" t="str">
        <f t="shared" si="0"/>
        <v>2)</v>
      </c>
      <c r="B2" s="2" t="s">
        <v>95</v>
      </c>
      <c r="C2" s="3"/>
    </row>
    <row r="3" spans="1:10" ht="38.25">
      <c r="A3" s="1" t="str">
        <f t="shared" si="0"/>
        <v>3)</v>
      </c>
      <c r="B3" s="2" t="s">
        <v>96</v>
      </c>
      <c r="C3" s="3"/>
      <c r="D3" s="2" t="s">
        <v>97</v>
      </c>
      <c r="E3" s="3"/>
      <c r="F3" s="2"/>
      <c r="G3" s="3"/>
      <c r="H3" s="2"/>
      <c r="I3" s="3"/>
      <c r="J3" s="2"/>
    </row>
    <row r="4" spans="1:10" ht="38.25">
      <c r="A4" s="1" t="str">
        <f t="shared" si="0"/>
        <v>4)</v>
      </c>
      <c r="B4" s="2" t="s">
        <v>98</v>
      </c>
      <c r="C4" s="3"/>
      <c r="D4" s="2" t="s">
        <v>99</v>
      </c>
      <c r="E4" s="3"/>
      <c r="F4" s="2"/>
      <c r="G4" s="3"/>
      <c r="H4" s="2"/>
      <c r="I4" s="3"/>
      <c r="J4" s="2"/>
    </row>
    <row r="5" spans="1:10" ht="38.25">
      <c r="A5" s="1" t="str">
        <f t="shared" si="0"/>
        <v>5)</v>
      </c>
      <c r="B5" s="2" t="s">
        <v>100</v>
      </c>
      <c r="C5" s="3"/>
      <c r="D5" s="2" t="s">
        <v>101</v>
      </c>
      <c r="E5" s="3"/>
      <c r="F5" s="2"/>
      <c r="G5" s="3"/>
      <c r="H5" s="2"/>
      <c r="I5" s="3"/>
      <c r="J5" s="2"/>
    </row>
    <row r="6" spans="1:3" ht="38.25">
      <c r="A6" s="1" t="str">
        <f t="shared" si="0"/>
        <v>6)</v>
      </c>
      <c r="B6" s="2" t="s">
        <v>2</v>
      </c>
      <c r="C6" s="3"/>
    </row>
    <row r="7" spans="1:3" ht="38.25">
      <c r="A7" s="1" t="str">
        <f t="shared" si="0"/>
        <v>7)</v>
      </c>
      <c r="B7" s="2" t="s">
        <v>3</v>
      </c>
      <c r="C7" s="3"/>
    </row>
    <row r="8" spans="1:3" ht="51">
      <c r="A8" s="1" t="str">
        <f t="shared" si="0"/>
        <v>8)</v>
      </c>
      <c r="B8" s="2" t="s">
        <v>4</v>
      </c>
      <c r="C8" s="3"/>
    </row>
    <row r="11" spans="1:3" ht="63.75">
      <c r="A11" s="4">
        <v>1</v>
      </c>
      <c r="B11" s="70" t="str">
        <f>"You are considering buying a machine that will yield "&amp;DOLLAR(C13)&amp;" net cash flow in for the next ten years. If you must earn a minimum return on investment of "&amp;TEXT(C14,"00.00%")&amp;", should we buy a machine if it costs "&amp;DOLLAR(C15)&amp;"?"</f>
        <v>You are considering buying a machine that will yield $35,000.00 net cash flow in for the next ten years. If you must earn a minimum return on investment of 15.00%, should we buy a machine if it costs ($165,500.00)?</v>
      </c>
      <c r="C11" s="71"/>
    </row>
    <row r="13" spans="2:3" ht="12.75">
      <c r="B13" s="10" t="s">
        <v>102</v>
      </c>
      <c r="C13" s="113">
        <v>35000</v>
      </c>
    </row>
    <row r="14" spans="2:3" ht="12.75">
      <c r="B14" s="10" t="s">
        <v>103</v>
      </c>
      <c r="C14" s="72">
        <v>0.15</v>
      </c>
    </row>
    <row r="15" spans="2:3" ht="12.75">
      <c r="B15" s="10" t="s">
        <v>104</v>
      </c>
      <c r="C15" s="113">
        <v>-165500</v>
      </c>
    </row>
    <row r="16" spans="2:3" ht="12.75">
      <c r="B16" s="10" t="s">
        <v>32</v>
      </c>
      <c r="C16" s="73">
        <v>10</v>
      </c>
    </row>
    <row r="17" spans="2:3" ht="12.75">
      <c r="B17" s="10" t="s">
        <v>105</v>
      </c>
      <c r="C17" s="114"/>
    </row>
    <row r="18" spans="2:3" ht="12.75">
      <c r="B18" s="10" t="s">
        <v>106</v>
      </c>
      <c r="C18" s="114"/>
    </row>
    <row r="19" spans="2:6" ht="12.75">
      <c r="B19" s="74" t="s">
        <v>107</v>
      </c>
      <c r="C19" s="114"/>
      <c r="E19" s="74" t="s">
        <v>107</v>
      </c>
      <c r="F19" s="114"/>
    </row>
    <row r="20" spans="2:3" ht="12.75">
      <c r="B20" s="75"/>
      <c r="C20" s="75"/>
    </row>
    <row r="21" spans="1:5" ht="12.75">
      <c r="A21" s="4">
        <v>2</v>
      </c>
      <c r="B21" s="76" t="s">
        <v>108</v>
      </c>
      <c r="C21" s="77" t="s">
        <v>109</v>
      </c>
      <c r="E21" s="77" t="s">
        <v>109</v>
      </c>
    </row>
    <row r="22" spans="2:5" ht="12.75">
      <c r="B22" s="10">
        <v>0</v>
      </c>
      <c r="C22" s="24"/>
      <c r="E22" s="24">
        <f>C15</f>
        <v>-165500</v>
      </c>
    </row>
    <row r="23" spans="2:5" ht="12.75">
      <c r="B23" s="10">
        <v>1</v>
      </c>
      <c r="C23" s="24">
        <f aca="true" t="shared" si="1" ref="C23:C32">C$13</f>
        <v>35000</v>
      </c>
      <c r="E23" s="24">
        <v>40000</v>
      </c>
    </row>
    <row r="24" spans="2:5" ht="12.75">
      <c r="B24" s="10">
        <v>2</v>
      </c>
      <c r="C24" s="24">
        <f t="shared" si="1"/>
        <v>35000</v>
      </c>
      <c r="E24" s="24">
        <v>40000</v>
      </c>
    </row>
    <row r="25" spans="2:5" ht="12.75">
      <c r="B25" s="10">
        <v>3</v>
      </c>
      <c r="C25" s="24">
        <f t="shared" si="1"/>
        <v>35000</v>
      </c>
      <c r="E25" s="24">
        <v>40000</v>
      </c>
    </row>
    <row r="26" spans="2:5" ht="12.75">
      <c r="B26" s="10">
        <v>4</v>
      </c>
      <c r="C26" s="24">
        <f t="shared" si="1"/>
        <v>35000</v>
      </c>
      <c r="E26" s="24">
        <v>35000</v>
      </c>
    </row>
    <row r="27" spans="2:5" ht="12.75">
      <c r="B27" s="10">
        <v>5</v>
      </c>
      <c r="C27" s="24">
        <f t="shared" si="1"/>
        <v>35000</v>
      </c>
      <c r="E27" s="24">
        <v>35000</v>
      </c>
    </row>
    <row r="28" spans="2:5" ht="12.75">
      <c r="B28" s="10">
        <v>6</v>
      </c>
      <c r="C28" s="24">
        <f t="shared" si="1"/>
        <v>35000</v>
      </c>
      <c r="E28" s="24">
        <v>35000</v>
      </c>
    </row>
    <row r="29" spans="2:5" ht="12.75">
      <c r="B29" s="10">
        <v>7</v>
      </c>
      <c r="C29" s="24">
        <f t="shared" si="1"/>
        <v>35000</v>
      </c>
      <c r="E29" s="24">
        <v>20000</v>
      </c>
    </row>
    <row r="30" spans="2:5" ht="12.75">
      <c r="B30" s="10">
        <v>8</v>
      </c>
      <c r="C30" s="24">
        <f t="shared" si="1"/>
        <v>35000</v>
      </c>
      <c r="E30" s="24">
        <v>10000</v>
      </c>
    </row>
    <row r="31" spans="2:5" ht="12.75">
      <c r="B31" s="10">
        <v>9</v>
      </c>
      <c r="C31" s="24">
        <f t="shared" si="1"/>
        <v>35000</v>
      </c>
      <c r="E31" s="24">
        <v>50000</v>
      </c>
    </row>
    <row r="32" spans="2:5" ht="12.75">
      <c r="B32" s="10">
        <v>10</v>
      </c>
      <c r="C32" s="24">
        <f t="shared" si="1"/>
        <v>35000</v>
      </c>
      <c r="E32" s="24">
        <v>2500</v>
      </c>
    </row>
    <row r="34" spans="1:3" ht="12.75">
      <c r="A34" s="4">
        <v>3</v>
      </c>
      <c r="B34" s="78" t="s">
        <v>110</v>
      </c>
      <c r="C34" s="78">
        <v>0.15</v>
      </c>
    </row>
    <row r="36" spans="2:7" ht="12.75">
      <c r="B36" s="79" t="s">
        <v>111</v>
      </c>
      <c r="C36" s="79" t="s">
        <v>112</v>
      </c>
      <c r="D36" s="79" t="s">
        <v>109</v>
      </c>
      <c r="E36" s="79" t="s">
        <v>128</v>
      </c>
      <c r="F36" s="79" t="s">
        <v>129</v>
      </c>
      <c r="G36" s="79" t="s">
        <v>113</v>
      </c>
    </row>
    <row r="37" spans="2:7" ht="12.75">
      <c r="B37" s="80">
        <v>39083</v>
      </c>
      <c r="C37" s="81">
        <v>0</v>
      </c>
      <c r="D37" s="108">
        <v>-500</v>
      </c>
      <c r="E37" s="109">
        <f aca="true" t="shared" si="2" ref="E37:E42">PV(C$34,C37,,-D37)</f>
        <v>-500</v>
      </c>
      <c r="F37" s="109">
        <f aca="true" t="shared" si="3" ref="F37:F42">D37/(1+$C$34)^(ABS(B$37-B37)/365)</f>
        <v>-500</v>
      </c>
      <c r="G37" s="112"/>
    </row>
    <row r="38" spans="2:7" ht="12.75">
      <c r="B38" s="82">
        <v>39448</v>
      </c>
      <c r="C38" s="83">
        <v>1</v>
      </c>
      <c r="D38" s="110">
        <v>200</v>
      </c>
      <c r="E38" s="111">
        <f t="shared" si="2"/>
        <v>173.91304347826087</v>
      </c>
      <c r="F38" s="109">
        <f t="shared" si="3"/>
        <v>173.91304347826087</v>
      </c>
      <c r="G38" s="84"/>
    </row>
    <row r="39" spans="2:7" ht="12.75">
      <c r="B39" s="82">
        <v>40179</v>
      </c>
      <c r="C39" s="83">
        <v>3</v>
      </c>
      <c r="D39" s="110">
        <v>100</v>
      </c>
      <c r="E39" s="111">
        <f t="shared" si="2"/>
        <v>65.75162324319884</v>
      </c>
      <c r="F39" s="109">
        <f t="shared" si="3"/>
        <v>65.72645114616886</v>
      </c>
      <c r="G39" s="84"/>
    </row>
    <row r="40" spans="2:7" ht="12.75">
      <c r="B40" s="82">
        <v>40544</v>
      </c>
      <c r="C40" s="83">
        <v>4</v>
      </c>
      <c r="D40" s="110">
        <v>100</v>
      </c>
      <c r="E40" s="111">
        <f t="shared" si="2"/>
        <v>57.175324559303334</v>
      </c>
      <c r="F40" s="109">
        <f t="shared" si="3"/>
        <v>57.15343577927727</v>
      </c>
      <c r="G40" s="84"/>
    </row>
    <row r="41" spans="2:7" ht="12.75">
      <c r="B41" s="82">
        <v>40909</v>
      </c>
      <c r="C41" s="83">
        <v>5</v>
      </c>
      <c r="D41" s="110">
        <v>100</v>
      </c>
      <c r="E41" s="111">
        <f t="shared" si="2"/>
        <v>49.717673529828986</v>
      </c>
      <c r="F41" s="109">
        <f t="shared" si="3"/>
        <v>49.698639808067185</v>
      </c>
      <c r="G41" s="84"/>
    </row>
    <row r="42" spans="2:7" ht="12.75">
      <c r="B42" s="82">
        <v>41275</v>
      </c>
      <c r="C42" s="83">
        <v>6</v>
      </c>
      <c r="D42" s="110">
        <v>100</v>
      </c>
      <c r="E42" s="111">
        <f t="shared" si="2"/>
        <v>43.23275959115565</v>
      </c>
      <c r="F42" s="109">
        <f t="shared" si="3"/>
        <v>43.19966380269721</v>
      </c>
      <c r="G42" s="84"/>
    </row>
    <row r="43" spans="2:7" ht="12.75">
      <c r="B43" s="85"/>
      <c r="C43" s="79"/>
      <c r="D43" s="86"/>
      <c r="E43" s="112">
        <f>SUM(E37:E42)</f>
        <v>-110.20957559825231</v>
      </c>
      <c r="F43" s="112">
        <f>SUM(F37:F42)</f>
        <v>-110.3087659855286</v>
      </c>
      <c r="G43" s="84"/>
    </row>
    <row r="45" ht="12.75">
      <c r="B45" s="115">
        <v>39814</v>
      </c>
    </row>
    <row r="46" ht="12.75">
      <c r="B46" s="116">
        <f>B45-B38</f>
        <v>366</v>
      </c>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tabColor rgb="FFFF0000"/>
  </sheetPr>
  <dimension ref="A1:J46"/>
  <sheetViews>
    <sheetView zoomScale="85" zoomScaleNormal="85" zoomScalePageLayoutView="0" workbookViewId="0" topLeftCell="A4">
      <selection activeCell="G37" sqref="G37"/>
    </sheetView>
  </sheetViews>
  <sheetFormatPr defaultColWidth="9.140625" defaultRowHeight="12.75"/>
  <cols>
    <col min="1" max="1" width="2.57421875" style="0" bestFit="1" customWidth="1"/>
    <col min="2" max="2" width="37.421875" style="0" bestFit="1" customWidth="1"/>
    <col min="3" max="3" width="10.7109375" style="0" bestFit="1" customWidth="1"/>
    <col min="4" max="4" width="7.140625" style="0" bestFit="1" customWidth="1"/>
    <col min="5" max="5" width="10.7109375" style="0" bestFit="1" customWidth="1"/>
    <col min="6" max="6" width="13.28125" style="0" customWidth="1"/>
    <col min="7" max="7" width="8.00390625" style="0" customWidth="1"/>
  </cols>
  <sheetData>
    <row r="1" spans="1:3" ht="89.25">
      <c r="A1" s="1" t="str">
        <f aca="true" t="shared" si="0" ref="A1:A8">ROW()&amp;")"</f>
        <v>1)</v>
      </c>
      <c r="B1" s="2" t="s">
        <v>94</v>
      </c>
      <c r="C1" s="3"/>
    </row>
    <row r="2" spans="1:3" ht="89.25">
      <c r="A2" s="1" t="str">
        <f t="shared" si="0"/>
        <v>2)</v>
      </c>
      <c r="B2" s="2" t="s">
        <v>95</v>
      </c>
      <c r="C2" s="3"/>
    </row>
    <row r="3" spans="1:10" ht="38.25">
      <c r="A3" s="1" t="str">
        <f t="shared" si="0"/>
        <v>3)</v>
      </c>
      <c r="B3" s="2" t="s">
        <v>96</v>
      </c>
      <c r="C3" s="3"/>
      <c r="D3" s="2" t="s">
        <v>97</v>
      </c>
      <c r="E3" s="3"/>
      <c r="F3" s="2"/>
      <c r="G3" s="3"/>
      <c r="H3" s="2"/>
      <c r="I3" s="3"/>
      <c r="J3" s="2"/>
    </row>
    <row r="4" spans="1:10" ht="38.25">
      <c r="A4" s="1" t="str">
        <f t="shared" si="0"/>
        <v>4)</v>
      </c>
      <c r="B4" s="2" t="s">
        <v>98</v>
      </c>
      <c r="C4" s="3"/>
      <c r="D4" s="2" t="s">
        <v>99</v>
      </c>
      <c r="E4" s="3"/>
      <c r="F4" s="2"/>
      <c r="G4" s="3"/>
      <c r="H4" s="2"/>
      <c r="I4" s="3"/>
      <c r="J4" s="2"/>
    </row>
    <row r="5" spans="1:10" ht="38.25">
      <c r="A5" s="1" t="str">
        <f t="shared" si="0"/>
        <v>5)</v>
      </c>
      <c r="B5" s="2" t="s">
        <v>100</v>
      </c>
      <c r="C5" s="3"/>
      <c r="D5" s="2" t="s">
        <v>101</v>
      </c>
      <c r="E5" s="3"/>
      <c r="F5" s="2"/>
      <c r="G5" s="3"/>
      <c r="H5" s="2"/>
      <c r="I5" s="3"/>
      <c r="J5" s="2"/>
    </row>
    <row r="6" spans="1:3" ht="38.25">
      <c r="A6" s="1" t="str">
        <f t="shared" si="0"/>
        <v>6)</v>
      </c>
      <c r="B6" s="2" t="s">
        <v>2</v>
      </c>
      <c r="C6" s="3"/>
    </row>
    <row r="7" spans="1:3" ht="38.25">
      <c r="A7" s="1" t="str">
        <f t="shared" si="0"/>
        <v>7)</v>
      </c>
      <c r="B7" s="2" t="s">
        <v>3</v>
      </c>
      <c r="C7" s="3"/>
    </row>
    <row r="8" spans="1:3" ht="51">
      <c r="A8" s="1" t="str">
        <f t="shared" si="0"/>
        <v>8)</v>
      </c>
      <c r="B8" s="2" t="s">
        <v>4</v>
      </c>
      <c r="C8" s="3"/>
    </row>
    <row r="11" spans="1:3" ht="63.75">
      <c r="A11" s="4">
        <v>1</v>
      </c>
      <c r="B11" s="70" t="str">
        <f>"You are considering buying a machine that will yield "&amp;DOLLAR(C13)&amp;" net cash flow in for the next ten years. If you must earn a minimum return on investment of "&amp;TEXT(C14,"00.00%")&amp;", should we buy a machine if it costs "&amp;DOLLAR(C15)&amp;"?"</f>
        <v>You are considering buying a machine that will yield $35,000.00 net cash flow in for the next ten years. If you must earn a minimum return on investment of 15.00%, should we buy a machine if it costs ($165,500.00)?</v>
      </c>
      <c r="C11" s="71"/>
    </row>
    <row r="13" spans="2:3" ht="12.75">
      <c r="B13" s="10" t="s">
        <v>102</v>
      </c>
      <c r="C13" s="113">
        <v>35000</v>
      </c>
    </row>
    <row r="14" spans="2:3" ht="12.75">
      <c r="B14" s="10" t="s">
        <v>103</v>
      </c>
      <c r="C14" s="72">
        <v>0.15</v>
      </c>
    </row>
    <row r="15" spans="2:3" ht="12.75">
      <c r="B15" s="10" t="s">
        <v>104</v>
      </c>
      <c r="C15" s="113">
        <v>-165500</v>
      </c>
    </row>
    <row r="16" spans="2:3" ht="12.75">
      <c r="B16" s="10" t="s">
        <v>32</v>
      </c>
      <c r="C16" s="73">
        <v>10</v>
      </c>
    </row>
    <row r="17" spans="2:3" ht="12.75">
      <c r="B17" s="10" t="s">
        <v>105</v>
      </c>
      <c r="C17" s="114">
        <f>PV(C14,C16,C13)</f>
        <v>-175656.90190489797</v>
      </c>
    </row>
    <row r="18" spans="2:3" ht="12.75">
      <c r="B18" s="10" t="s">
        <v>106</v>
      </c>
      <c r="C18" s="114">
        <f>C15-C17</f>
        <v>10156.901904897968</v>
      </c>
    </row>
    <row r="19" spans="2:6" ht="12.75">
      <c r="B19" s="74" t="s">
        <v>107</v>
      </c>
      <c r="C19" s="114">
        <f>NPV(C14,C23:C32)+C15</f>
        <v>10156.901904898114</v>
      </c>
      <c r="E19" s="74" t="s">
        <v>107</v>
      </c>
      <c r="F19" s="114">
        <f>NPV(C14,E23:E32)+E22</f>
        <v>3991.860777139431</v>
      </c>
    </row>
    <row r="20" spans="2:3" ht="12.75">
      <c r="B20" s="75"/>
      <c r="C20" s="75"/>
    </row>
    <row r="21" spans="1:5" ht="12.75">
      <c r="A21" s="4">
        <v>2</v>
      </c>
      <c r="B21" s="76" t="s">
        <v>108</v>
      </c>
      <c r="C21" s="77" t="s">
        <v>109</v>
      </c>
      <c r="E21" s="77" t="s">
        <v>109</v>
      </c>
    </row>
    <row r="22" spans="2:5" ht="12.75">
      <c r="B22" s="10">
        <v>0</v>
      </c>
      <c r="C22" s="24"/>
      <c r="E22" s="24">
        <f>C15</f>
        <v>-165500</v>
      </c>
    </row>
    <row r="23" spans="2:5" ht="12.75">
      <c r="B23" s="10">
        <v>1</v>
      </c>
      <c r="C23" s="24">
        <f aca="true" t="shared" si="1" ref="C23:C32">C$13</f>
        <v>35000</v>
      </c>
      <c r="E23" s="24">
        <v>40000</v>
      </c>
    </row>
    <row r="24" spans="2:5" ht="12.75">
      <c r="B24" s="10">
        <v>2</v>
      </c>
      <c r="C24" s="24">
        <f t="shared" si="1"/>
        <v>35000</v>
      </c>
      <c r="E24" s="24">
        <v>40000</v>
      </c>
    </row>
    <row r="25" spans="2:5" ht="12.75">
      <c r="B25" s="10">
        <v>3</v>
      </c>
      <c r="C25" s="24">
        <f t="shared" si="1"/>
        <v>35000</v>
      </c>
      <c r="E25" s="24">
        <v>40000</v>
      </c>
    </row>
    <row r="26" spans="2:5" ht="12.75">
      <c r="B26" s="10">
        <v>4</v>
      </c>
      <c r="C26" s="24">
        <f t="shared" si="1"/>
        <v>35000</v>
      </c>
      <c r="E26" s="24">
        <v>35000</v>
      </c>
    </row>
    <row r="27" spans="2:5" ht="12.75">
      <c r="B27" s="10">
        <v>5</v>
      </c>
      <c r="C27" s="24">
        <f t="shared" si="1"/>
        <v>35000</v>
      </c>
      <c r="E27" s="24">
        <v>35000</v>
      </c>
    </row>
    <row r="28" spans="2:5" ht="12.75">
      <c r="B28" s="10">
        <v>6</v>
      </c>
      <c r="C28" s="24">
        <f t="shared" si="1"/>
        <v>35000</v>
      </c>
      <c r="E28" s="24">
        <v>35000</v>
      </c>
    </row>
    <row r="29" spans="2:5" ht="12.75">
      <c r="B29" s="10">
        <v>7</v>
      </c>
      <c r="C29" s="24">
        <f t="shared" si="1"/>
        <v>35000</v>
      </c>
      <c r="E29" s="24">
        <v>20000</v>
      </c>
    </row>
    <row r="30" spans="2:5" ht="12.75">
      <c r="B30" s="10">
        <v>8</v>
      </c>
      <c r="C30" s="24">
        <f t="shared" si="1"/>
        <v>35000</v>
      </c>
      <c r="E30" s="24">
        <v>10000</v>
      </c>
    </row>
    <row r="31" spans="2:5" ht="12.75">
      <c r="B31" s="10">
        <v>9</v>
      </c>
      <c r="C31" s="24">
        <f t="shared" si="1"/>
        <v>35000</v>
      </c>
      <c r="E31" s="24">
        <v>50000</v>
      </c>
    </row>
    <row r="32" spans="2:5" ht="12.75">
      <c r="B32" s="10">
        <v>10</v>
      </c>
      <c r="C32" s="24">
        <f t="shared" si="1"/>
        <v>35000</v>
      </c>
      <c r="E32" s="24">
        <v>2500</v>
      </c>
    </row>
    <row r="34" spans="1:3" ht="12.75">
      <c r="A34" s="4">
        <v>3</v>
      </c>
      <c r="B34" s="78" t="s">
        <v>110</v>
      </c>
      <c r="C34" s="78">
        <v>0.15</v>
      </c>
    </row>
    <row r="36" spans="2:7" ht="12.75">
      <c r="B36" s="79" t="s">
        <v>111</v>
      </c>
      <c r="C36" s="79" t="s">
        <v>112</v>
      </c>
      <c r="D36" s="79" t="s">
        <v>109</v>
      </c>
      <c r="E36" s="79" t="s">
        <v>128</v>
      </c>
      <c r="F36" s="79" t="s">
        <v>129</v>
      </c>
      <c r="G36" s="79" t="s">
        <v>113</v>
      </c>
    </row>
    <row r="37" spans="2:7" ht="12.75">
      <c r="B37" s="80">
        <v>39083</v>
      </c>
      <c r="C37" s="81">
        <v>0</v>
      </c>
      <c r="D37" s="108">
        <v>-500</v>
      </c>
      <c r="E37" s="109">
        <f aca="true" t="shared" si="2" ref="E37:E42">PV(C$34,C37,,-D37)</f>
        <v>-500</v>
      </c>
      <c r="F37" s="109">
        <f aca="true" t="shared" si="3" ref="F37:F42">D37/(1+$C$34)^(ABS(B$37-B37)/365)</f>
        <v>-500</v>
      </c>
      <c r="G37" s="112" t="e">
        <f>[0]!_xlfn.BAHTTEXT(C34,D37:D42,B37:B42)</f>
        <v>#NAME?</v>
      </c>
    </row>
    <row r="38" spans="2:7" ht="12.75">
      <c r="B38" s="82">
        <v>39448</v>
      </c>
      <c r="C38" s="83">
        <v>1</v>
      </c>
      <c r="D38" s="110">
        <v>200</v>
      </c>
      <c r="E38" s="111">
        <f t="shared" si="2"/>
        <v>173.91304347826087</v>
      </c>
      <c r="F38" s="109">
        <f t="shared" si="3"/>
        <v>173.91304347826087</v>
      </c>
      <c r="G38" s="84"/>
    </row>
    <row r="39" spans="2:7" ht="12.75">
      <c r="B39" s="82">
        <v>40179</v>
      </c>
      <c r="C39" s="83">
        <v>3</v>
      </c>
      <c r="D39" s="110">
        <v>100</v>
      </c>
      <c r="E39" s="111">
        <f t="shared" si="2"/>
        <v>65.75162324319884</v>
      </c>
      <c r="F39" s="109">
        <f t="shared" si="3"/>
        <v>65.72645114616886</v>
      </c>
      <c r="G39" s="84"/>
    </row>
    <row r="40" spans="2:7" ht="12.75">
      <c r="B40" s="82">
        <v>40544</v>
      </c>
      <c r="C40" s="83">
        <v>4</v>
      </c>
      <c r="D40" s="110">
        <v>100</v>
      </c>
      <c r="E40" s="111">
        <f t="shared" si="2"/>
        <v>57.175324559303334</v>
      </c>
      <c r="F40" s="109">
        <f t="shared" si="3"/>
        <v>57.15343577927727</v>
      </c>
      <c r="G40" s="84"/>
    </row>
    <row r="41" spans="2:7" ht="12.75">
      <c r="B41" s="82">
        <v>40909</v>
      </c>
      <c r="C41" s="83">
        <v>5</v>
      </c>
      <c r="D41" s="110">
        <v>100</v>
      </c>
      <c r="E41" s="111">
        <f t="shared" si="2"/>
        <v>49.717673529828986</v>
      </c>
      <c r="F41" s="109">
        <f t="shared" si="3"/>
        <v>49.698639808067185</v>
      </c>
      <c r="G41" s="84"/>
    </row>
    <row r="42" spans="2:7" ht="12.75">
      <c r="B42" s="82">
        <v>41275</v>
      </c>
      <c r="C42" s="83">
        <v>6</v>
      </c>
      <c r="D42" s="110">
        <v>100</v>
      </c>
      <c r="E42" s="111">
        <f t="shared" si="2"/>
        <v>43.23275959115565</v>
      </c>
      <c r="F42" s="109">
        <f t="shared" si="3"/>
        <v>43.19966380269721</v>
      </c>
      <c r="G42" s="84"/>
    </row>
    <row r="43" spans="2:7" ht="12.75">
      <c r="B43" s="85"/>
      <c r="C43" s="79"/>
      <c r="D43" s="86"/>
      <c r="E43" s="112">
        <f>SUM(E37:E42)</f>
        <v>-110.20957559825231</v>
      </c>
      <c r="F43" s="112">
        <f>SUM(F37:F42)</f>
        <v>-110.3087659855286</v>
      </c>
      <c r="G43" s="84"/>
    </row>
    <row r="45" ht="12.75">
      <c r="B45" s="115">
        <v>39814</v>
      </c>
    </row>
    <row r="46" ht="12.75">
      <c r="B46" s="116">
        <f>B45-B38</f>
        <v>366</v>
      </c>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rgb="FF002060"/>
  </sheetPr>
  <dimension ref="A1:F22"/>
  <sheetViews>
    <sheetView zoomScale="85" zoomScaleNormal="85" zoomScalePageLayoutView="0" workbookViewId="0" topLeftCell="A1">
      <selection activeCell="C11" sqref="C11"/>
    </sheetView>
  </sheetViews>
  <sheetFormatPr defaultColWidth="9.140625" defaultRowHeight="12.75"/>
  <cols>
    <col min="1" max="1" width="2.57421875" style="0" bestFit="1" customWidth="1"/>
    <col min="2" max="2" width="19.421875" style="0" bestFit="1" customWidth="1"/>
    <col min="3" max="3" width="13.8515625" style="0" bestFit="1" customWidth="1"/>
    <col min="4" max="4" width="0.5625" style="0" customWidth="1"/>
    <col min="5" max="5" width="15.8515625" style="0" bestFit="1" customWidth="1"/>
    <col min="6" max="6" width="12.421875" style="0" bestFit="1" customWidth="1"/>
    <col min="7" max="7" width="2.421875" style="0" customWidth="1"/>
  </cols>
  <sheetData>
    <row r="1" spans="1:6" ht="38.25">
      <c r="A1" s="1" t="str">
        <f aca="true" t="shared" si="0" ref="A1:A7">ROW()&amp;")"</f>
        <v>1)</v>
      </c>
      <c r="B1" s="2" t="s">
        <v>121</v>
      </c>
      <c r="C1" s="3"/>
      <c r="D1" s="3"/>
      <c r="E1" s="3"/>
      <c r="F1" s="3"/>
    </row>
    <row r="2" spans="1:6" ht="12.75">
      <c r="A2" s="1" t="str">
        <f t="shared" si="0"/>
        <v>2)</v>
      </c>
      <c r="B2" s="2" t="s">
        <v>0</v>
      </c>
      <c r="C2" s="3"/>
      <c r="D2" s="3"/>
      <c r="E2" s="3"/>
      <c r="F2" s="3"/>
    </row>
    <row r="3" spans="1:6" ht="38.25">
      <c r="A3" s="1" t="str">
        <f t="shared" si="0"/>
        <v>3)</v>
      </c>
      <c r="B3" s="2" t="s">
        <v>1</v>
      </c>
      <c r="C3" s="3"/>
      <c r="D3" s="3"/>
      <c r="E3" s="3"/>
      <c r="F3" s="3"/>
    </row>
    <row r="4" spans="1:6" ht="51">
      <c r="A4" s="1" t="str">
        <f t="shared" si="0"/>
        <v>4)</v>
      </c>
      <c r="B4" s="2" t="s">
        <v>122</v>
      </c>
      <c r="C4" s="3"/>
      <c r="D4" s="3"/>
      <c r="E4" s="3"/>
      <c r="F4" s="3"/>
    </row>
    <row r="5" spans="1:6" ht="38.25">
      <c r="A5" s="1" t="str">
        <f t="shared" si="0"/>
        <v>5)</v>
      </c>
      <c r="B5" s="2" t="s">
        <v>3</v>
      </c>
      <c r="C5" s="3"/>
      <c r="D5" s="3"/>
      <c r="E5" s="3"/>
      <c r="F5" s="3"/>
    </row>
    <row r="6" spans="1:6" ht="51">
      <c r="A6" s="1" t="str">
        <f t="shared" si="0"/>
        <v>6)</v>
      </c>
      <c r="B6" s="2" t="s">
        <v>6</v>
      </c>
      <c r="C6" s="3"/>
      <c r="D6" s="3"/>
      <c r="E6" s="3"/>
      <c r="F6" s="3"/>
    </row>
    <row r="7" spans="1:6" ht="63.75">
      <c r="A7" s="1" t="str">
        <f t="shared" si="0"/>
        <v>7)</v>
      </c>
      <c r="B7" s="2" t="s">
        <v>5</v>
      </c>
      <c r="C7" s="3"/>
      <c r="D7" s="3"/>
      <c r="E7" s="3"/>
      <c r="F7" s="3"/>
    </row>
    <row r="9" spans="2:6" ht="12.75">
      <c r="B9" s="98" t="s">
        <v>130</v>
      </c>
      <c r="C9" s="121">
        <v>-100</v>
      </c>
      <c r="E9" s="98" t="s">
        <v>123</v>
      </c>
      <c r="F9" s="114"/>
    </row>
    <row r="10" spans="2:6" ht="12.75">
      <c r="B10" s="99" t="s">
        <v>124</v>
      </c>
      <c r="C10" s="117">
        <v>30</v>
      </c>
      <c r="E10" s="99" t="s">
        <v>125</v>
      </c>
      <c r="F10" s="114"/>
    </row>
    <row r="11" spans="2:6" ht="12.75">
      <c r="B11" s="99" t="s">
        <v>34</v>
      </c>
      <c r="C11" s="100"/>
      <c r="E11" s="99" t="s">
        <v>126</v>
      </c>
      <c r="F11" s="114"/>
    </row>
    <row r="12" spans="2:6" ht="12.75">
      <c r="B12" s="99" t="s">
        <v>28</v>
      </c>
      <c r="C12" s="118">
        <v>0.09</v>
      </c>
      <c r="F12" t="s">
        <v>132</v>
      </c>
    </row>
    <row r="13" spans="2:3" ht="12.75">
      <c r="B13" s="99" t="s">
        <v>30</v>
      </c>
      <c r="C13" s="101"/>
    </row>
    <row r="14" spans="2:3" ht="12.75">
      <c r="B14" s="99" t="s">
        <v>71</v>
      </c>
      <c r="C14" s="122"/>
    </row>
    <row r="15" spans="2:3" ht="12.75">
      <c r="B15" s="102"/>
      <c r="C15" s="102"/>
    </row>
    <row r="16" spans="2:3" ht="12.75">
      <c r="B16" s="103" t="s">
        <v>73</v>
      </c>
      <c r="C16" s="123"/>
    </row>
    <row r="17" spans="2:3" ht="12.75">
      <c r="B17" s="103" t="s">
        <v>124</v>
      </c>
      <c r="C17" s="119">
        <v>35</v>
      </c>
    </row>
    <row r="18" spans="2:3" ht="12.75">
      <c r="B18" s="103" t="s">
        <v>34</v>
      </c>
      <c r="C18" s="104"/>
    </row>
    <row r="19" spans="2:3" ht="12.75">
      <c r="B19" s="103" t="s">
        <v>28</v>
      </c>
      <c r="C19" s="120">
        <v>0.07</v>
      </c>
    </row>
    <row r="20" spans="2:3" ht="12.75">
      <c r="B20" s="103" t="s">
        <v>30</v>
      </c>
      <c r="C20" s="105"/>
    </row>
    <row r="21" spans="2:3" ht="12.75">
      <c r="B21" s="106" t="s">
        <v>131</v>
      </c>
      <c r="C21" s="123"/>
    </row>
    <row r="22" spans="2:3" ht="12.75">
      <c r="B22" s="107" t="s">
        <v>127</v>
      </c>
      <c r="C22" s="111">
        <v>250000</v>
      </c>
    </row>
  </sheetData>
  <sheetProtection/>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1:F22"/>
  <sheetViews>
    <sheetView zoomScalePageLayoutView="0" workbookViewId="0" topLeftCell="A5">
      <selection activeCell="C13" sqref="C13"/>
    </sheetView>
  </sheetViews>
  <sheetFormatPr defaultColWidth="9.140625" defaultRowHeight="12.75"/>
  <cols>
    <col min="1" max="1" width="2.57421875" style="0" bestFit="1" customWidth="1"/>
    <col min="2" max="2" width="19.421875" style="0" bestFit="1" customWidth="1"/>
    <col min="3" max="3" width="13.8515625" style="0" bestFit="1" customWidth="1"/>
    <col min="4" max="4" width="0.5625" style="0" customWidth="1"/>
    <col min="5" max="5" width="15.8515625" style="0" bestFit="1" customWidth="1"/>
    <col min="6" max="6" width="12.421875" style="0" bestFit="1" customWidth="1"/>
    <col min="7" max="7" width="2.421875" style="0" customWidth="1"/>
  </cols>
  <sheetData>
    <row r="1" spans="1:6" ht="38.25">
      <c r="A1" s="1" t="str">
        <f aca="true" t="shared" si="0" ref="A1:A7">ROW()&amp;")"</f>
        <v>1)</v>
      </c>
      <c r="B1" s="2" t="s">
        <v>121</v>
      </c>
      <c r="C1" s="3"/>
      <c r="D1" s="3"/>
      <c r="E1" s="3"/>
      <c r="F1" s="3"/>
    </row>
    <row r="2" spans="1:6" ht="12.75">
      <c r="A2" s="1" t="str">
        <f t="shared" si="0"/>
        <v>2)</v>
      </c>
      <c r="B2" s="2" t="s">
        <v>0</v>
      </c>
      <c r="C2" s="3"/>
      <c r="D2" s="3"/>
      <c r="E2" s="3"/>
      <c r="F2" s="3"/>
    </row>
    <row r="3" spans="1:6" ht="38.25">
      <c r="A3" s="1" t="str">
        <f t="shared" si="0"/>
        <v>3)</v>
      </c>
      <c r="B3" s="2" t="s">
        <v>1</v>
      </c>
      <c r="C3" s="3"/>
      <c r="D3" s="3"/>
      <c r="E3" s="3"/>
      <c r="F3" s="3"/>
    </row>
    <row r="4" spans="1:6" ht="51">
      <c r="A4" s="1" t="str">
        <f t="shared" si="0"/>
        <v>4)</v>
      </c>
      <c r="B4" s="2" t="s">
        <v>122</v>
      </c>
      <c r="C4" s="3"/>
      <c r="D4" s="3"/>
      <c r="E4" s="3"/>
      <c r="F4" s="3"/>
    </row>
    <row r="5" spans="1:6" ht="38.25">
      <c r="A5" s="1" t="str">
        <f t="shared" si="0"/>
        <v>5)</v>
      </c>
      <c r="B5" s="2" t="s">
        <v>3</v>
      </c>
      <c r="C5" s="3"/>
      <c r="D5" s="3"/>
      <c r="E5" s="3"/>
      <c r="F5" s="3"/>
    </row>
    <row r="6" spans="1:6" ht="51">
      <c r="A6" s="1" t="str">
        <f t="shared" si="0"/>
        <v>6)</v>
      </c>
      <c r="B6" s="2" t="s">
        <v>6</v>
      </c>
      <c r="C6" s="3"/>
      <c r="D6" s="3"/>
      <c r="E6" s="3"/>
      <c r="F6" s="3"/>
    </row>
    <row r="7" spans="1:6" ht="63.75">
      <c r="A7" s="1" t="str">
        <f t="shared" si="0"/>
        <v>7)</v>
      </c>
      <c r="B7" s="2" t="s">
        <v>5</v>
      </c>
      <c r="C7" s="3"/>
      <c r="D7" s="3"/>
      <c r="E7" s="3"/>
      <c r="F7" s="3"/>
    </row>
    <row r="9" spans="2:6" ht="12.75">
      <c r="B9" s="98" t="s">
        <v>130</v>
      </c>
      <c r="C9" s="121">
        <v>-100</v>
      </c>
      <c r="E9" s="98" t="s">
        <v>123</v>
      </c>
      <c r="F9" s="114">
        <f>-C9*C11</f>
        <v>36000</v>
      </c>
    </row>
    <row r="10" spans="2:6" ht="12.75">
      <c r="B10" s="99" t="s">
        <v>124</v>
      </c>
      <c r="C10" s="117">
        <v>30</v>
      </c>
      <c r="E10" s="99" t="s">
        <v>125</v>
      </c>
      <c r="F10" s="114">
        <f>C21*C18+C22</f>
        <v>680414.5602421857</v>
      </c>
    </row>
    <row r="11" spans="2:6" ht="12.75">
      <c r="B11" s="99" t="s">
        <v>34</v>
      </c>
      <c r="C11" s="100">
        <f>C10*12</f>
        <v>360</v>
      </c>
      <c r="E11" s="99" t="s">
        <v>126</v>
      </c>
      <c r="F11" s="114">
        <f>F10-F9</f>
        <v>644414.5602421857</v>
      </c>
    </row>
    <row r="12" spans="2:6" ht="12.75">
      <c r="B12" s="99" t="s">
        <v>28</v>
      </c>
      <c r="C12" s="118">
        <v>0.09</v>
      </c>
      <c r="F12" t="s">
        <v>132</v>
      </c>
    </row>
    <row r="13" spans="2:3" ht="12.75">
      <c r="B13" s="99" t="s">
        <v>30</v>
      </c>
      <c r="C13" s="101">
        <f>C12/12</f>
        <v>0.0075</v>
      </c>
    </row>
    <row r="14" spans="2:3" ht="12.75">
      <c r="B14" s="99" t="s">
        <v>71</v>
      </c>
      <c r="C14" s="122">
        <f>FV(C13,C11,C9)</f>
        <v>183074.3483072074</v>
      </c>
    </row>
    <row r="15" spans="2:3" ht="12.75">
      <c r="B15" s="102"/>
      <c r="C15" s="102"/>
    </row>
    <row r="16" spans="2:3" ht="12.75">
      <c r="B16" s="103" t="s">
        <v>73</v>
      </c>
      <c r="C16" s="123">
        <f>-C14</f>
        <v>-183074.3483072074</v>
      </c>
    </row>
    <row r="17" spans="2:3" ht="12.75">
      <c r="B17" s="103" t="s">
        <v>124</v>
      </c>
      <c r="C17" s="119">
        <v>35</v>
      </c>
    </row>
    <row r="18" spans="2:3" ht="12.75">
      <c r="B18" s="103" t="s">
        <v>34</v>
      </c>
      <c r="C18" s="104">
        <f>C17*12</f>
        <v>420</v>
      </c>
    </row>
    <row r="19" spans="2:3" ht="12.75">
      <c r="B19" s="103" t="s">
        <v>28</v>
      </c>
      <c r="C19" s="120">
        <v>0.07</v>
      </c>
    </row>
    <row r="20" spans="2:3" ht="12.75">
      <c r="B20" s="103" t="s">
        <v>30</v>
      </c>
      <c r="C20" s="105">
        <f>C19/12</f>
        <v>0.005833333333333334</v>
      </c>
    </row>
    <row r="21" spans="2:3" ht="12.75">
      <c r="B21" s="106" t="s">
        <v>131</v>
      </c>
      <c r="C21" s="123">
        <f>PMT(C20,C18,C16,C22,1)</f>
        <v>1024.796572005204</v>
      </c>
    </row>
    <row r="22" spans="2:3" ht="12.75">
      <c r="B22" s="107" t="s">
        <v>127</v>
      </c>
      <c r="C22" s="111">
        <v>250000</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FF0000"/>
  </sheetPr>
  <dimension ref="A1:I36"/>
  <sheetViews>
    <sheetView zoomScale="70" zoomScaleNormal="70" zoomScalePageLayoutView="0" workbookViewId="0" topLeftCell="A1">
      <selection activeCell="C37" sqref="C37"/>
    </sheetView>
  </sheetViews>
  <sheetFormatPr defaultColWidth="9.140625" defaultRowHeight="12.75"/>
  <cols>
    <col min="1" max="1" width="2.57421875" style="0" bestFit="1" customWidth="1"/>
    <col min="2" max="2" width="16.7109375" style="0" customWidth="1"/>
    <col min="3" max="3" width="16.57421875" style="0" customWidth="1"/>
    <col min="4" max="4" width="20.421875" style="0" customWidth="1"/>
    <col min="5" max="5" width="10.57421875" style="0" bestFit="1" customWidth="1"/>
    <col min="6" max="6" width="3.57421875" style="0" customWidth="1"/>
  </cols>
  <sheetData>
    <row r="1" spans="1:6" ht="12.75">
      <c r="A1" s="1" t="str">
        <f aca="true" t="shared" si="0" ref="A1:A7">ROW()&amp;")"</f>
        <v>1)</v>
      </c>
      <c r="B1" s="2" t="s">
        <v>0</v>
      </c>
      <c r="C1" s="3"/>
      <c r="D1" s="3"/>
      <c r="E1" s="3"/>
      <c r="F1" s="3"/>
    </row>
    <row r="2" spans="1:6" ht="38.25">
      <c r="A2" s="1" t="str">
        <f t="shared" si="0"/>
        <v>2)</v>
      </c>
      <c r="B2" s="2" t="s">
        <v>1</v>
      </c>
      <c r="C2" s="3"/>
      <c r="D2" s="3"/>
      <c r="E2" s="3"/>
      <c r="F2" s="3"/>
    </row>
    <row r="3" spans="1:6" ht="25.5">
      <c r="A3" s="1" t="str">
        <f t="shared" si="0"/>
        <v>3)</v>
      </c>
      <c r="B3" s="2" t="s">
        <v>2</v>
      </c>
      <c r="C3" s="3"/>
      <c r="D3" s="3"/>
      <c r="E3" s="3"/>
      <c r="F3" s="3"/>
    </row>
    <row r="4" spans="1:6" ht="25.5">
      <c r="A4" s="1" t="str">
        <f t="shared" si="0"/>
        <v>4)</v>
      </c>
      <c r="B4" s="2" t="s">
        <v>3</v>
      </c>
      <c r="C4" s="3"/>
      <c r="D4" s="3"/>
      <c r="E4" s="3"/>
      <c r="F4" s="3"/>
    </row>
    <row r="5" spans="1:6" ht="38.25">
      <c r="A5" s="1" t="str">
        <f t="shared" si="0"/>
        <v>5)</v>
      </c>
      <c r="B5" s="2" t="s">
        <v>4</v>
      </c>
      <c r="C5" s="3"/>
      <c r="D5" s="3"/>
      <c r="E5" s="3"/>
      <c r="F5" s="3"/>
    </row>
    <row r="6" spans="1:6" ht="51">
      <c r="A6" s="1" t="str">
        <f t="shared" si="0"/>
        <v>6)</v>
      </c>
      <c r="B6" s="2" t="s">
        <v>5</v>
      </c>
      <c r="C6" s="3"/>
      <c r="D6" s="3"/>
      <c r="E6" s="3"/>
      <c r="F6" s="3"/>
    </row>
    <row r="7" spans="1:6" ht="38.25">
      <c r="A7" s="1" t="str">
        <f t="shared" si="0"/>
        <v>7)</v>
      </c>
      <c r="B7" s="2" t="s">
        <v>6</v>
      </c>
      <c r="C7" s="3"/>
      <c r="D7" s="3"/>
      <c r="E7" s="3"/>
      <c r="F7" s="3"/>
    </row>
    <row r="8" ht="13.5" thickBot="1"/>
    <row r="9" spans="1:5" ht="27" thickBot="1" thickTop="1">
      <c r="A9" s="4">
        <v>1</v>
      </c>
      <c r="B9" s="5" t="str">
        <f>"Borrower Point of View: At an "&amp;D10&amp;" of "&amp;TEXT(E10,"0.00%")&amp;" the monthly PMT paid = "&amp;DOLLAR(C13)</f>
        <v>Borrower Point of View: At an Annual Interest Rate of 6.50% the monthly PMT paid = ($485.22)</v>
      </c>
      <c r="C9" s="5"/>
      <c r="D9" s="5"/>
      <c r="E9" s="5"/>
    </row>
    <row r="10" spans="2:5" ht="13.5" thickTop="1">
      <c r="B10" s="6" t="s">
        <v>7</v>
      </c>
      <c r="C10" s="125">
        <v>34799</v>
      </c>
      <c r="D10" s="6" t="s">
        <v>8</v>
      </c>
      <c r="E10" s="7">
        <v>0.065</v>
      </c>
    </row>
    <row r="11" spans="2:5" ht="12.75">
      <c r="B11" s="12" t="s">
        <v>9</v>
      </c>
      <c r="C11" s="24">
        <v>10000</v>
      </c>
      <c r="D11" s="8" t="s">
        <v>10</v>
      </c>
      <c r="E11" s="9">
        <f>E10/E14</f>
        <v>0.005416666666666667</v>
      </c>
    </row>
    <row r="12" spans="2:5" ht="12.75">
      <c r="B12" s="8" t="s">
        <v>11</v>
      </c>
      <c r="C12" s="114">
        <f>C10-C11</f>
        <v>24799</v>
      </c>
      <c r="D12" s="8" t="s">
        <v>12</v>
      </c>
      <c r="E12" s="10">
        <v>5</v>
      </c>
    </row>
    <row r="13" spans="2:5" ht="12.75">
      <c r="B13" s="8" t="s">
        <v>115</v>
      </c>
      <c r="C13" s="114">
        <f>PMT(E11,E13,C12)</f>
        <v>-485.2209096762491</v>
      </c>
      <c r="D13" s="8" t="s">
        <v>14</v>
      </c>
      <c r="E13" s="11">
        <f>E12*E14</f>
        <v>60</v>
      </c>
    </row>
    <row r="14" spans="2:5" ht="12.75">
      <c r="B14" s="8" t="s">
        <v>13</v>
      </c>
      <c r="C14" s="24">
        <f>-C12/((1-(1+E10/E14)^(-E12*E14))/(E10/E14))</f>
        <v>-485.22090967625377</v>
      </c>
      <c r="D14" s="12" t="s">
        <v>15</v>
      </c>
      <c r="E14" s="10">
        <v>12</v>
      </c>
    </row>
    <row r="15" spans="2:5" ht="12.75">
      <c r="B15" s="12" t="s">
        <v>116</v>
      </c>
      <c r="C15" s="114">
        <f>PMT(E11,E13,C12,,E15)</f>
        <v>-482.6067895660994</v>
      </c>
      <c r="D15" s="12" t="s">
        <v>114</v>
      </c>
      <c r="E15" s="10">
        <v>1</v>
      </c>
    </row>
    <row r="16" spans="2:4" ht="13.5" thickBot="1">
      <c r="B16" s="88"/>
      <c r="C16" s="128"/>
      <c r="D16" s="88"/>
    </row>
    <row r="17" spans="1:5" ht="27" thickBot="1" thickTop="1">
      <c r="A17" s="4">
        <v>2</v>
      </c>
      <c r="B17" s="5" t="str">
        <f>"Lender Point of view: At an "&amp;D18&amp;" of "&amp;TEXT(E18,"0.00%")&amp;" the monthly PMT received = "&amp;DOLLAR(C21)</f>
        <v>Lender Point of view: At an Annual Interest Rate of 6.50% the monthly PMT received = $485.22</v>
      </c>
      <c r="C17" s="129"/>
      <c r="D17" s="5"/>
      <c r="E17" s="5"/>
    </row>
    <row r="18" spans="2:5" ht="13.5" thickTop="1">
      <c r="B18" s="6" t="s">
        <v>7</v>
      </c>
      <c r="C18" s="125">
        <f>C10</f>
        <v>34799</v>
      </c>
      <c r="D18" s="6" t="s">
        <v>8</v>
      </c>
      <c r="E18" s="7">
        <f>E10</f>
        <v>0.065</v>
      </c>
    </row>
    <row r="19" spans="2:5" ht="12.75">
      <c r="B19" s="12" t="s">
        <v>9</v>
      </c>
      <c r="C19" s="24">
        <f>C11</f>
        <v>10000</v>
      </c>
      <c r="D19" s="8" t="s">
        <v>10</v>
      </c>
      <c r="E19" s="13">
        <f>E18/E22</f>
        <v>0.005416666666666667</v>
      </c>
    </row>
    <row r="20" spans="2:5" ht="12.75">
      <c r="B20" s="8" t="s">
        <v>11</v>
      </c>
      <c r="C20" s="126">
        <f>-(C18-C19)</f>
        <v>-24799</v>
      </c>
      <c r="D20" s="8" t="s">
        <v>12</v>
      </c>
      <c r="E20" s="10">
        <f>E12</f>
        <v>5</v>
      </c>
    </row>
    <row r="21" spans="2:5" ht="12.75">
      <c r="B21" s="8" t="s">
        <v>13</v>
      </c>
      <c r="C21" s="123">
        <f>PMT(E19,E21,C20)</f>
        <v>485.2209096762491</v>
      </c>
      <c r="D21" s="8" t="s">
        <v>14</v>
      </c>
      <c r="E21" s="14">
        <f>E20*E22</f>
        <v>60</v>
      </c>
    </row>
    <row r="22" spans="2:5" ht="12.75">
      <c r="B22" s="8" t="s">
        <v>13</v>
      </c>
      <c r="C22" s="24">
        <f>-(C20/((1-(1+E18/E22)^(-E20*E22))/(E18/E22)))</f>
        <v>485.22090967625377</v>
      </c>
      <c r="D22" s="12" t="s">
        <v>15</v>
      </c>
      <c r="E22" s="10">
        <f>E14</f>
        <v>12</v>
      </c>
    </row>
    <row r="23" ht="13.5" thickBot="1">
      <c r="C23" s="128"/>
    </row>
    <row r="24" spans="1:5" ht="39.75" thickBot="1" thickTop="1">
      <c r="A24" s="4">
        <v>3</v>
      </c>
      <c r="B24" s="5" t="str">
        <f>"At an "&amp;D25&amp;" of "&amp;TEXT(E25,"0.00%")&amp;" and a balloon payment of "&amp;DOLLAR(-C28)&amp;" at the end of "&amp;E28&amp;" months, the monthly PMT = "&amp;DOLLAR(PMT(E26,E28,C27,C28))&amp;" - Borrower's Point of View."</f>
        <v>At an Annual Interest Rate of 5.25% and a balloon payment of $5,000.00 at the end of 36 months, the monthly PMT = ($1,225.21) - Borrower's Point of View.</v>
      </c>
      <c r="C24" s="129"/>
      <c r="D24" s="5"/>
      <c r="E24" s="5"/>
    </row>
    <row r="25" spans="2:5" ht="13.5" thickTop="1">
      <c r="B25" s="6" t="s">
        <v>7</v>
      </c>
      <c r="C25" s="125">
        <v>50000</v>
      </c>
      <c r="D25" s="6" t="s">
        <v>8</v>
      </c>
      <c r="E25" s="7">
        <v>0.0525</v>
      </c>
    </row>
    <row r="26" spans="2:5" ht="12.75">
      <c r="B26" s="12" t="s">
        <v>9</v>
      </c>
      <c r="C26" s="24">
        <v>5000</v>
      </c>
      <c r="D26" s="8" t="s">
        <v>10</v>
      </c>
      <c r="E26" s="15">
        <f>E25/E29</f>
        <v>0.0043749999999999995</v>
      </c>
    </row>
    <row r="27" spans="2:5" ht="12.75">
      <c r="B27" s="12" t="s">
        <v>11</v>
      </c>
      <c r="C27" s="24">
        <f>C25-C26</f>
        <v>45000</v>
      </c>
      <c r="D27" s="8" t="s">
        <v>12</v>
      </c>
      <c r="E27" s="10">
        <v>3</v>
      </c>
    </row>
    <row r="28" spans="2:5" ht="12.75">
      <c r="B28" s="10" t="s">
        <v>16</v>
      </c>
      <c r="C28" s="24">
        <v>-5000</v>
      </c>
      <c r="D28" s="8" t="s">
        <v>14</v>
      </c>
      <c r="E28" s="16">
        <f>E27*E29</f>
        <v>36</v>
      </c>
    </row>
    <row r="29" spans="2:5" ht="12.75">
      <c r="B29" s="8" t="s">
        <v>13</v>
      </c>
      <c r="C29" s="114">
        <f>PMT(E26,E28,C27,C28)</f>
        <v>-1225.205820585648</v>
      </c>
      <c r="D29" s="12" t="s">
        <v>15</v>
      </c>
      <c r="E29" s="10">
        <v>12</v>
      </c>
    </row>
    <row r="30" ht="13.5" thickBot="1">
      <c r="C30" s="128"/>
    </row>
    <row r="31" spans="1:5" ht="27" thickBot="1" thickTop="1">
      <c r="A31" s="4">
        <v>4</v>
      </c>
      <c r="B31" s="5" t="str">
        <f>"At an "&amp;D32&amp;" of "&amp;TEXT(E32,"0.00%")&amp;" and no payments during the first year, the PMT = "&amp;DOLLAR(C36)&amp;" - Borrower's Point of View."</f>
        <v>At an Annual Interest Rate of 8.50% and no payments during the first year, the PMT = ($67,328.25) - Borrower's Point of View.</v>
      </c>
      <c r="C31" s="129"/>
      <c r="D31" s="5"/>
      <c r="E31" s="5"/>
    </row>
    <row r="32" spans="2:5" ht="13.5" thickTop="1">
      <c r="B32" s="6" t="s">
        <v>11</v>
      </c>
      <c r="C32" s="125">
        <v>1000000</v>
      </c>
      <c r="D32" s="6" t="s">
        <v>8</v>
      </c>
      <c r="E32" s="7">
        <v>0.085</v>
      </c>
    </row>
    <row r="33" spans="2:5" ht="25.5">
      <c r="B33" s="87" t="s">
        <v>17</v>
      </c>
      <c r="C33" s="24">
        <v>1</v>
      </c>
      <c r="D33" s="8" t="s">
        <v>18</v>
      </c>
      <c r="E33" s="15">
        <f>E32/E36</f>
        <v>0.02125</v>
      </c>
    </row>
    <row r="34" spans="2:5" ht="12.75">
      <c r="B34" s="12" t="s">
        <v>19</v>
      </c>
      <c r="C34" s="114">
        <f>-FV(E33,C33*E36,,C32)</f>
        <v>1087747.9617211912</v>
      </c>
      <c r="D34" s="8" t="s">
        <v>12</v>
      </c>
      <c r="E34" s="10">
        <v>6</v>
      </c>
    </row>
    <row r="35" spans="2:5" ht="12.75">
      <c r="B35" s="8" t="s">
        <v>20</v>
      </c>
      <c r="C35" s="127">
        <f>PMT(E33,(E34-C33)*E36,C34)</f>
        <v>-67328.25018589238</v>
      </c>
      <c r="D35" s="8" t="s">
        <v>21</v>
      </c>
      <c r="E35" s="16">
        <f>E34*E36</f>
        <v>24</v>
      </c>
    </row>
    <row r="36" spans="2:9" ht="12.75">
      <c r="B36" s="8" t="s">
        <v>20</v>
      </c>
      <c r="C36" s="24">
        <f>PMT(E33,(E34-C33)*E36,FV(E33,C33*E36,,-C32))</f>
        <v>-67328.25018589238</v>
      </c>
      <c r="D36" s="12" t="s">
        <v>15</v>
      </c>
      <c r="E36" s="10">
        <v>4</v>
      </c>
      <c r="H36" t="s">
        <v>22</v>
      </c>
      <c r="I36">
        <f>C32*(1+E33)^E36</f>
        <v>1087747.9617211912</v>
      </c>
    </row>
  </sheetData>
  <sheetProtection/>
  <conditionalFormatting sqref="C14 C22">
    <cfRule type="expression" priority="2" dxfId="2" stopIfTrue="1">
      <formula>C13=""</formula>
    </cfRule>
  </conditionalFormatting>
  <conditionalFormatting sqref="C36">
    <cfRule type="expression" priority="1" dxfId="2" stopIfTrue="1">
      <formula>$C$35=""</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rgb="FF002060"/>
  </sheetPr>
  <dimension ref="A1:I14"/>
  <sheetViews>
    <sheetView zoomScale="85" zoomScaleNormal="85" zoomScalePageLayoutView="0" workbookViewId="0" topLeftCell="A1">
      <selection activeCell="E14" sqref="E14"/>
    </sheetView>
  </sheetViews>
  <sheetFormatPr defaultColWidth="9.140625" defaultRowHeight="12.75"/>
  <cols>
    <col min="1" max="1" width="2.57421875" style="0" bestFit="1" customWidth="1"/>
    <col min="2" max="2" width="6.421875" style="0" customWidth="1"/>
    <col min="3" max="3" width="9.7109375" style="0" bestFit="1" customWidth="1"/>
    <col min="4" max="4" width="16.8515625" style="0" customWidth="1"/>
    <col min="5" max="6" width="9.57421875" style="0" customWidth="1"/>
    <col min="8" max="8" width="9.28125" style="0" bestFit="1" customWidth="1"/>
  </cols>
  <sheetData>
    <row r="1" spans="1:6" ht="76.5">
      <c r="A1" s="1" t="str">
        <f>ROW()&amp;")"</f>
        <v>1)</v>
      </c>
      <c r="B1" s="2" t="s">
        <v>23</v>
      </c>
      <c r="C1" s="3"/>
      <c r="D1" s="3"/>
      <c r="E1" s="3"/>
      <c r="F1" s="3"/>
    </row>
    <row r="2" spans="1:6" ht="63.75">
      <c r="A2" s="1" t="str">
        <f>ROW()&amp;")"</f>
        <v>2)</v>
      </c>
      <c r="B2" s="2" t="s">
        <v>4</v>
      </c>
      <c r="C2" s="3"/>
      <c r="D2" s="3"/>
      <c r="E2" s="3"/>
      <c r="F2" s="3"/>
    </row>
    <row r="3" spans="1:6" ht="12.75">
      <c r="A3" s="1" t="str">
        <f>ROW()&amp;")"</f>
        <v>3)</v>
      </c>
      <c r="B3" s="2" t="s">
        <v>24</v>
      </c>
      <c r="C3" s="3"/>
      <c r="D3" s="3"/>
      <c r="E3" s="3"/>
      <c r="F3" s="3"/>
    </row>
    <row r="4" spans="1:6" ht="24">
      <c r="A4" s="1" t="str">
        <f>ROW()&amp;")"</f>
        <v>4)</v>
      </c>
      <c r="B4" s="17" t="s">
        <v>2</v>
      </c>
      <c r="C4" s="3"/>
      <c r="D4" s="3"/>
      <c r="E4" s="3"/>
      <c r="F4" s="3"/>
    </row>
    <row r="5" spans="1:6" ht="38.25">
      <c r="A5" s="1" t="str">
        <f>ROW()&amp;")"</f>
        <v>5)</v>
      </c>
      <c r="B5" s="2" t="s">
        <v>3</v>
      </c>
      <c r="C5" s="3"/>
      <c r="D5" s="3"/>
      <c r="E5" s="3"/>
      <c r="F5" s="3"/>
    </row>
    <row r="6" ht="13.5" thickBot="1"/>
    <row r="7" spans="2:5" ht="52.5" thickBot="1" thickTop="1">
      <c r="B7" s="18" t="s">
        <v>25</v>
      </c>
      <c r="C7" s="5"/>
      <c r="D7" s="5"/>
      <c r="E7" s="5"/>
    </row>
    <row r="8" spans="2:5" ht="13.5" thickTop="1">
      <c r="B8" s="19" t="s">
        <v>26</v>
      </c>
      <c r="C8" s="10" t="s">
        <v>27</v>
      </c>
      <c r="D8" s="20" t="s">
        <v>28</v>
      </c>
      <c r="E8" s="21">
        <v>0.05</v>
      </c>
    </row>
    <row r="9" spans="2:5" ht="12.75">
      <c r="B9" s="19" t="s">
        <v>29</v>
      </c>
      <c r="C9" s="22">
        <v>200000</v>
      </c>
      <c r="D9" s="20" t="s">
        <v>30</v>
      </c>
      <c r="E9" s="23">
        <f>E8/E12</f>
        <v>0.004166666666666667</v>
      </c>
    </row>
    <row r="10" spans="2:5" ht="12.75">
      <c r="B10" s="19" t="s">
        <v>31</v>
      </c>
      <c r="C10" s="22">
        <v>0</v>
      </c>
      <c r="D10" s="20" t="s">
        <v>32</v>
      </c>
      <c r="E10" s="10">
        <v>15</v>
      </c>
    </row>
    <row r="11" spans="2:5" ht="12.75">
      <c r="B11" s="19" t="s">
        <v>33</v>
      </c>
      <c r="C11" s="22">
        <f>C9-C10</f>
        <v>200000</v>
      </c>
      <c r="D11" s="20" t="s">
        <v>34</v>
      </c>
      <c r="E11" s="10">
        <f>E10*E12</f>
        <v>180</v>
      </c>
    </row>
    <row r="12" spans="2:5" ht="12.75">
      <c r="B12" s="19" t="s">
        <v>35</v>
      </c>
      <c r="C12" s="24">
        <v>0.02</v>
      </c>
      <c r="D12" s="20" t="s">
        <v>36</v>
      </c>
      <c r="E12" s="10">
        <v>12</v>
      </c>
    </row>
    <row r="13" spans="2:5" ht="25.5">
      <c r="B13" s="19" t="s">
        <v>37</v>
      </c>
      <c r="C13" s="24">
        <f>ROUND(PMT(E9,E11,C11,E13),2)</f>
        <v>-1581.59</v>
      </c>
      <c r="D13" s="20" t="s">
        <v>38</v>
      </c>
      <c r="E13" s="10">
        <v>0</v>
      </c>
    </row>
    <row r="14" spans="4:9" ht="25.5">
      <c r="D14" s="20" t="s">
        <v>118</v>
      </c>
      <c r="E14" s="11"/>
      <c r="I14">
        <f>RATE(E11,C13,C11*(1-C12))*E12</f>
        <v>0.05308057633380586</v>
      </c>
    </row>
  </sheetData>
  <sheetProtection/>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tabColor rgb="FFFF0000"/>
  </sheetPr>
  <dimension ref="A1:I14"/>
  <sheetViews>
    <sheetView zoomScale="85" zoomScaleNormal="85" zoomScalePageLayoutView="0" workbookViewId="0" topLeftCell="A1">
      <selection activeCell="K14" sqref="K14"/>
    </sheetView>
  </sheetViews>
  <sheetFormatPr defaultColWidth="9.140625" defaultRowHeight="12.75"/>
  <cols>
    <col min="1" max="1" width="2.57421875" style="0" bestFit="1" customWidth="1"/>
    <col min="2" max="2" width="6.421875" style="0" customWidth="1"/>
    <col min="3" max="3" width="9.7109375" style="0" bestFit="1" customWidth="1"/>
    <col min="4" max="4" width="16.8515625" style="0" customWidth="1"/>
    <col min="5" max="6" width="9.57421875" style="0" customWidth="1"/>
    <col min="8" max="8" width="9.28125" style="0" bestFit="1" customWidth="1"/>
  </cols>
  <sheetData>
    <row r="1" spans="1:6" ht="76.5">
      <c r="A1" s="1" t="str">
        <f>ROW()&amp;")"</f>
        <v>1)</v>
      </c>
      <c r="B1" s="2" t="s">
        <v>23</v>
      </c>
      <c r="C1" s="3"/>
      <c r="D1" s="3"/>
      <c r="E1" s="3"/>
      <c r="F1" s="3"/>
    </row>
    <row r="2" spans="1:6" ht="63.75">
      <c r="A2" s="1" t="str">
        <f>ROW()&amp;")"</f>
        <v>2)</v>
      </c>
      <c r="B2" s="2" t="s">
        <v>4</v>
      </c>
      <c r="C2" s="3"/>
      <c r="D2" s="3"/>
      <c r="E2" s="3"/>
      <c r="F2" s="3"/>
    </row>
    <row r="3" spans="1:6" ht="12.75">
      <c r="A3" s="1" t="str">
        <f>ROW()&amp;")"</f>
        <v>3)</v>
      </c>
      <c r="B3" s="2" t="s">
        <v>24</v>
      </c>
      <c r="C3" s="3"/>
      <c r="D3" s="3"/>
      <c r="E3" s="3"/>
      <c r="F3" s="3"/>
    </row>
    <row r="4" spans="1:6" ht="24">
      <c r="A4" s="1" t="str">
        <f>ROW()&amp;")"</f>
        <v>4)</v>
      </c>
      <c r="B4" s="17" t="s">
        <v>2</v>
      </c>
      <c r="C4" s="3"/>
      <c r="D4" s="3"/>
      <c r="E4" s="3"/>
      <c r="F4" s="3"/>
    </row>
    <row r="5" spans="1:6" ht="38.25">
      <c r="A5" s="1" t="str">
        <f>ROW()&amp;")"</f>
        <v>5)</v>
      </c>
      <c r="B5" s="2" t="s">
        <v>3</v>
      </c>
      <c r="C5" s="3"/>
      <c r="D5" s="3"/>
      <c r="E5" s="3"/>
      <c r="F5" s="3"/>
    </row>
    <row r="6" ht="13.5" thickBot="1"/>
    <row r="7" spans="2:5" ht="52.5" thickBot="1" thickTop="1">
      <c r="B7" s="18" t="s">
        <v>25</v>
      </c>
      <c r="C7" s="5"/>
      <c r="D7" s="5"/>
      <c r="E7" s="5"/>
    </row>
    <row r="8" spans="2:5" ht="13.5" thickTop="1">
      <c r="B8" s="19" t="s">
        <v>26</v>
      </c>
      <c r="C8" s="10" t="s">
        <v>27</v>
      </c>
      <c r="D8" s="20" t="s">
        <v>28</v>
      </c>
      <c r="E8" s="21">
        <v>0.05</v>
      </c>
    </row>
    <row r="9" spans="2:5" ht="12.75">
      <c r="B9" s="19" t="s">
        <v>29</v>
      </c>
      <c r="C9" s="22">
        <v>200000</v>
      </c>
      <c r="D9" s="20" t="s">
        <v>30</v>
      </c>
      <c r="E9" s="23">
        <f>E8/E12</f>
        <v>0.004166666666666667</v>
      </c>
    </row>
    <row r="10" spans="2:5" ht="12.75">
      <c r="B10" s="19" t="s">
        <v>31</v>
      </c>
      <c r="C10" s="22">
        <v>0</v>
      </c>
      <c r="D10" s="20" t="s">
        <v>32</v>
      </c>
      <c r="E10" s="10">
        <v>15</v>
      </c>
    </row>
    <row r="11" spans="2:5" ht="12.75">
      <c r="B11" s="19" t="s">
        <v>33</v>
      </c>
      <c r="C11" s="22">
        <f>C9-C10</f>
        <v>200000</v>
      </c>
      <c r="D11" s="20" t="s">
        <v>34</v>
      </c>
      <c r="E11" s="10">
        <f>E10*E12</f>
        <v>180</v>
      </c>
    </row>
    <row r="12" spans="2:5" ht="12.75">
      <c r="B12" s="19" t="s">
        <v>35</v>
      </c>
      <c r="C12" s="24">
        <v>0.02</v>
      </c>
      <c r="D12" s="20" t="s">
        <v>36</v>
      </c>
      <c r="E12" s="10">
        <v>12</v>
      </c>
    </row>
    <row r="13" spans="2:5" ht="25.5">
      <c r="B13" s="19" t="s">
        <v>37</v>
      </c>
      <c r="C13" s="24">
        <f>ROUND(PMT(E9,E11,C11,E13),2)</f>
        <v>-1581.59</v>
      </c>
      <c r="D13" s="20" t="s">
        <v>38</v>
      </c>
      <c r="E13" s="10">
        <v>0</v>
      </c>
    </row>
    <row r="14" spans="4:9" ht="25.5">
      <c r="D14" s="20" t="s">
        <v>118</v>
      </c>
      <c r="E14" s="11">
        <f>E12*RATE(E11,C13,C11*(1-C12))</f>
        <v>0.05308057633380586</v>
      </c>
      <c r="I14">
        <f>RATE(E11,C13,C11*(1-C12))*E12</f>
        <v>0.05308057633380586</v>
      </c>
    </row>
  </sheetData>
  <sheetProtection/>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tabColor rgb="FF002060"/>
  </sheetPr>
  <dimension ref="A1:F10"/>
  <sheetViews>
    <sheetView zoomScale="130" zoomScaleNormal="130" zoomScalePageLayoutView="0" workbookViewId="0" topLeftCell="A1">
      <selection activeCell="C7" sqref="C7"/>
    </sheetView>
  </sheetViews>
  <sheetFormatPr defaultColWidth="9.140625" defaultRowHeight="12.75"/>
  <cols>
    <col min="1" max="1" width="2.57421875" style="0" bestFit="1" customWidth="1"/>
    <col min="2" max="2" width="21.57421875" style="0" bestFit="1" customWidth="1"/>
    <col min="3" max="3" width="24.421875" style="0" bestFit="1" customWidth="1"/>
    <col min="4" max="4" width="2.8515625" style="0" customWidth="1"/>
    <col min="5" max="5" width="12.8515625" style="0" bestFit="1" customWidth="1"/>
    <col min="6" max="6" width="25.28125" style="0" bestFit="1" customWidth="1"/>
  </cols>
  <sheetData>
    <row r="1" spans="1:6" ht="25.5">
      <c r="A1" s="1" t="str">
        <f>ROW()&amp;")"</f>
        <v>1)</v>
      </c>
      <c r="B1" s="3" t="s">
        <v>117</v>
      </c>
      <c r="C1" s="3"/>
      <c r="D1" s="3"/>
      <c r="E1" s="3"/>
      <c r="F1" s="3"/>
    </row>
    <row r="2" spans="1:6" ht="38.25">
      <c r="A2" s="1" t="str">
        <f>ROW()&amp;")"</f>
        <v>2)</v>
      </c>
      <c r="B2" s="2" t="s">
        <v>39</v>
      </c>
      <c r="C2" s="3"/>
      <c r="D2" s="3"/>
      <c r="E2" s="3"/>
      <c r="F2" s="3"/>
    </row>
    <row r="3" spans="1:6" ht="25.5">
      <c r="A3" s="1" t="str">
        <f>ROW()&amp;")"</f>
        <v>3)</v>
      </c>
      <c r="B3" s="2" t="s">
        <v>2</v>
      </c>
      <c r="C3" s="3"/>
      <c r="D3" s="3"/>
      <c r="E3" s="3"/>
      <c r="F3" s="3"/>
    </row>
    <row r="4" spans="1:6" ht="25.5">
      <c r="A4" s="1" t="str">
        <f>ROW()&amp;")"</f>
        <v>4)</v>
      </c>
      <c r="B4" s="2" t="s">
        <v>3</v>
      </c>
      <c r="C4" s="3"/>
      <c r="D4" s="3"/>
      <c r="E4" s="3"/>
      <c r="F4" s="3"/>
    </row>
    <row r="6" spans="1:5" ht="25.5">
      <c r="A6" s="4">
        <v>1</v>
      </c>
      <c r="B6" s="25" t="s">
        <v>40</v>
      </c>
      <c r="C6" s="26">
        <v>0.085</v>
      </c>
      <c r="E6" s="124" t="s">
        <v>22</v>
      </c>
    </row>
    <row r="7" spans="2:6" ht="12.75">
      <c r="B7" s="27" t="s">
        <v>41</v>
      </c>
      <c r="C7" s="28"/>
      <c r="E7" s="10">
        <v>100</v>
      </c>
      <c r="F7" s="10" t="s">
        <v>119</v>
      </c>
    </row>
    <row r="8" spans="2:6" ht="12.75">
      <c r="B8" s="27" t="s">
        <v>15</v>
      </c>
      <c r="C8" s="29">
        <v>12</v>
      </c>
      <c r="E8" s="11"/>
      <c r="F8" s="10" t="s">
        <v>133</v>
      </c>
    </row>
    <row r="9" spans="2:6" ht="12.75">
      <c r="B9" s="27" t="s">
        <v>42</v>
      </c>
      <c r="C9" s="30"/>
      <c r="E9" s="11"/>
      <c r="F9" s="10" t="s">
        <v>134</v>
      </c>
    </row>
    <row r="10" spans="2:6" ht="12.75">
      <c r="B10" s="27" t="s">
        <v>42</v>
      </c>
      <c r="C10" s="30"/>
      <c r="E10" s="11"/>
      <c r="F10" s="10" t="s">
        <v>135</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rgb="FFFF0000"/>
  </sheetPr>
  <dimension ref="A1:F10"/>
  <sheetViews>
    <sheetView zoomScale="115" zoomScaleNormal="115" zoomScalePageLayoutView="0" workbookViewId="0" topLeftCell="A1">
      <selection activeCell="C10" sqref="C10"/>
    </sheetView>
  </sheetViews>
  <sheetFormatPr defaultColWidth="9.140625" defaultRowHeight="12.75"/>
  <cols>
    <col min="1" max="1" width="2.57421875" style="0" bestFit="1" customWidth="1"/>
    <col min="2" max="2" width="21.57421875" style="0" bestFit="1" customWidth="1"/>
    <col min="3" max="3" width="24.421875" style="0" bestFit="1" customWidth="1"/>
    <col min="4" max="4" width="2.8515625" style="0" customWidth="1"/>
    <col min="5" max="5" width="12.8515625" style="0" bestFit="1" customWidth="1"/>
    <col min="6" max="6" width="25.28125" style="0" bestFit="1" customWidth="1"/>
  </cols>
  <sheetData>
    <row r="1" spans="1:6" ht="25.5">
      <c r="A1" s="1" t="str">
        <f>ROW()&amp;")"</f>
        <v>1)</v>
      </c>
      <c r="B1" s="3" t="s">
        <v>117</v>
      </c>
      <c r="C1" s="3"/>
      <c r="D1" s="3"/>
      <c r="E1" s="3"/>
      <c r="F1" s="3"/>
    </row>
    <row r="2" spans="1:6" ht="38.25">
      <c r="A2" s="1" t="str">
        <f>ROW()&amp;")"</f>
        <v>2)</v>
      </c>
      <c r="B2" s="2" t="s">
        <v>39</v>
      </c>
      <c r="C2" s="3"/>
      <c r="D2" s="3"/>
      <c r="E2" s="3"/>
      <c r="F2" s="3"/>
    </row>
    <row r="3" spans="1:6" ht="25.5">
      <c r="A3" s="1" t="str">
        <f>ROW()&amp;")"</f>
        <v>3)</v>
      </c>
      <c r="B3" s="2" t="s">
        <v>2</v>
      </c>
      <c r="C3" s="3"/>
      <c r="D3" s="3"/>
      <c r="E3" s="3"/>
      <c r="F3" s="3"/>
    </row>
    <row r="4" spans="1:6" ht="25.5">
      <c r="A4" s="1" t="str">
        <f>ROW()&amp;")"</f>
        <v>4)</v>
      </c>
      <c r="B4" s="2" t="s">
        <v>3</v>
      </c>
      <c r="C4" s="3"/>
      <c r="D4" s="3"/>
      <c r="E4" s="3"/>
      <c r="F4" s="3"/>
    </row>
    <row r="6" spans="1:5" ht="25.5">
      <c r="A6" s="4">
        <v>1</v>
      </c>
      <c r="B6" s="25" t="s">
        <v>40</v>
      </c>
      <c r="C6" s="26">
        <v>0.085</v>
      </c>
      <c r="E6" s="124" t="s">
        <v>22</v>
      </c>
    </row>
    <row r="7" spans="2:6" ht="12.75">
      <c r="B7" s="27" t="s">
        <v>41</v>
      </c>
      <c r="C7" s="28">
        <f>C6/C8</f>
        <v>0.007083333333333334</v>
      </c>
      <c r="E7" s="10">
        <v>100</v>
      </c>
      <c r="F7" s="10" t="s">
        <v>119</v>
      </c>
    </row>
    <row r="8" spans="2:6" ht="12.75">
      <c r="B8" s="27" t="s">
        <v>15</v>
      </c>
      <c r="C8" s="29">
        <v>12</v>
      </c>
      <c r="E8" s="11">
        <f>FV(C7,C8,,-E7)</f>
        <v>108.83909058926355</v>
      </c>
      <c r="F8" s="10" t="s">
        <v>133</v>
      </c>
    </row>
    <row r="9" spans="2:6" ht="12.75">
      <c r="B9" s="27" t="s">
        <v>42</v>
      </c>
      <c r="C9" s="30">
        <f>(1+C7)^C8-1</f>
        <v>0.08839090589263554</v>
      </c>
      <c r="E9" s="11">
        <f>(1+C7)^C8*E7</f>
        <v>108.83909058926355</v>
      </c>
      <c r="F9" s="10" t="s">
        <v>134</v>
      </c>
    </row>
    <row r="10" spans="2:6" ht="12.75">
      <c r="B10" s="27" t="s">
        <v>42</v>
      </c>
      <c r="C10" s="30">
        <f>EFFECT(C6,C8)</f>
        <v>0.08839090589263554</v>
      </c>
      <c r="E10" s="11">
        <f>E7*(1+C10)</f>
        <v>108.83909058926355</v>
      </c>
      <c r="F10" s="10" t="s">
        <v>135</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rgb="FF002060"/>
  </sheetPr>
  <dimension ref="A1:H45"/>
  <sheetViews>
    <sheetView zoomScale="85" zoomScaleNormal="85" zoomScalePageLayoutView="0" workbookViewId="0" topLeftCell="A5">
      <selection activeCell="B23" sqref="B23"/>
    </sheetView>
  </sheetViews>
  <sheetFormatPr defaultColWidth="9.140625" defaultRowHeight="12.75"/>
  <cols>
    <col min="1" max="1" width="2.00390625" style="37" bestFit="1" customWidth="1"/>
    <col min="2" max="2" width="36.140625" style="37" bestFit="1" customWidth="1"/>
    <col min="3" max="3" width="12.00390625" style="37" bestFit="1" customWidth="1"/>
    <col min="4" max="4" width="10.8515625" style="37" customWidth="1"/>
    <col min="5" max="6" width="9.57421875" style="37" bestFit="1" customWidth="1"/>
    <col min="7" max="16384" width="9.140625" style="37" customWidth="1"/>
  </cols>
  <sheetData>
    <row r="1" spans="1:6" ht="26.25">
      <c r="A1" s="1" t="str">
        <f aca="true" t="shared" si="0" ref="A1:A8">ROW()&amp;")"</f>
        <v>1)</v>
      </c>
      <c r="B1" s="2" t="s">
        <v>53</v>
      </c>
      <c r="C1" s="3"/>
      <c r="D1" s="3"/>
      <c r="E1" s="3"/>
      <c r="F1" s="3"/>
    </row>
    <row r="2" spans="1:6" ht="51.75">
      <c r="A2" s="1" t="str">
        <f t="shared" si="0"/>
        <v>2)</v>
      </c>
      <c r="B2" s="2" t="s">
        <v>54</v>
      </c>
      <c r="C2" s="3"/>
      <c r="D2" s="3"/>
      <c r="E2" s="3"/>
      <c r="F2" s="3"/>
    </row>
    <row r="3" spans="1:6" ht="26.25">
      <c r="A3" s="1" t="str">
        <f t="shared" si="0"/>
        <v>3)</v>
      </c>
      <c r="B3" s="2" t="s">
        <v>55</v>
      </c>
      <c r="C3" s="3"/>
      <c r="D3" s="3"/>
      <c r="E3" s="3"/>
      <c r="F3" s="3"/>
    </row>
    <row r="4" spans="1:6" ht="26.25">
      <c r="A4" s="1" t="str">
        <f t="shared" si="0"/>
        <v>4)</v>
      </c>
      <c r="B4" s="2" t="s">
        <v>56</v>
      </c>
      <c r="C4" s="3"/>
      <c r="D4" s="3"/>
      <c r="E4" s="3"/>
      <c r="F4" s="3"/>
    </row>
    <row r="5" spans="1:6" ht="39">
      <c r="A5" s="1" t="str">
        <f t="shared" si="0"/>
        <v>5)</v>
      </c>
      <c r="B5" s="2" t="s">
        <v>6</v>
      </c>
      <c r="C5" s="3"/>
      <c r="D5" s="3"/>
      <c r="E5" s="3"/>
      <c r="F5" s="3"/>
    </row>
    <row r="6" spans="1:6" ht="25.5">
      <c r="A6" s="1" t="str">
        <f t="shared" si="0"/>
        <v>6)</v>
      </c>
      <c r="B6" s="2" t="s">
        <v>2</v>
      </c>
      <c r="C6" s="3"/>
      <c r="D6" s="3"/>
      <c r="E6" s="3"/>
      <c r="F6" s="3"/>
    </row>
    <row r="7" spans="1:6" ht="25.5">
      <c r="A7" s="1" t="str">
        <f t="shared" si="0"/>
        <v>7)</v>
      </c>
      <c r="B7" s="2" t="s">
        <v>3</v>
      </c>
      <c r="C7" s="3"/>
      <c r="D7" s="3"/>
      <c r="E7" s="3"/>
      <c r="F7" s="3"/>
    </row>
    <row r="8" spans="1:6" ht="38.25">
      <c r="A8" s="1" t="str">
        <f t="shared" si="0"/>
        <v>8)</v>
      </c>
      <c r="B8" s="2" t="s">
        <v>4</v>
      </c>
      <c r="C8" s="3"/>
      <c r="D8" s="3"/>
      <c r="E8" s="3"/>
      <c r="F8" s="3"/>
    </row>
    <row r="10" spans="1:5" ht="30">
      <c r="A10" s="38">
        <v>1</v>
      </c>
      <c r="B10" s="39" t="str">
        <f>"Savings Plan that compounds interest "&amp;C13&amp;" times a year, but you put money in "&amp;C18&amp;" times a year."</f>
        <v>Savings Plan that compounds interest 365 times a year, but you put money in 12 times a year.</v>
      </c>
      <c r="C10" s="40"/>
      <c r="D10" s="41"/>
      <c r="E10" s="42"/>
    </row>
    <row r="11" spans="2:3" ht="15">
      <c r="B11" s="43" t="s">
        <v>57</v>
      </c>
      <c r="C11" s="43">
        <v>-250</v>
      </c>
    </row>
    <row r="12" spans="2:3" ht="15">
      <c r="B12" s="43" t="s">
        <v>58</v>
      </c>
      <c r="C12" s="43">
        <v>25</v>
      </c>
    </row>
    <row r="13" spans="2:3" ht="15">
      <c r="B13" s="43" t="s">
        <v>59</v>
      </c>
      <c r="C13" s="43">
        <v>365</v>
      </c>
    </row>
    <row r="14" spans="2:3" ht="15">
      <c r="B14" s="43" t="s">
        <v>60</v>
      </c>
      <c r="C14" s="43">
        <v>0.08</v>
      </c>
    </row>
    <row r="15" spans="2:3" ht="15">
      <c r="B15" s="43" t="s">
        <v>61</v>
      </c>
      <c r="C15" s="43">
        <v>0</v>
      </c>
    </row>
    <row r="16" ht="15">
      <c r="F16" s="37" t="s">
        <v>22</v>
      </c>
    </row>
    <row r="17" spans="2:6" ht="15">
      <c r="B17" s="43" t="s">
        <v>62</v>
      </c>
      <c r="C17" s="89"/>
      <c r="F17" s="45">
        <f>(1+C14/C13)^C13-1</f>
        <v>0.08327757179281403</v>
      </c>
    </row>
    <row r="18" spans="2:3" ht="15">
      <c r="B18" s="43" t="s">
        <v>63</v>
      </c>
      <c r="C18" s="43">
        <v>12</v>
      </c>
    </row>
    <row r="19" spans="2:3" ht="15">
      <c r="B19" s="43" t="s">
        <v>64</v>
      </c>
      <c r="C19" s="44"/>
    </row>
    <row r="20" spans="1:3" ht="15">
      <c r="A20"/>
      <c r="B20" s="43" t="s">
        <v>65</v>
      </c>
      <c r="C20" s="44"/>
    </row>
    <row r="21" spans="1:3" ht="15">
      <c r="A21"/>
      <c r="B21" s="43" t="s">
        <v>66</v>
      </c>
      <c r="C21" s="46"/>
    </row>
    <row r="22" ht="15">
      <c r="A22"/>
    </row>
    <row r="23" spans="1:5" ht="15">
      <c r="A23"/>
      <c r="B23" s="47">
        <f>IF(C21="","","If we have a Savings Plan that compounds interest "&amp;C13&amp;" times a year, but we put "&amp;DOLLAR(-C11)&amp;" in only "&amp;C18&amp;" times a year, the Future Value would be "&amp;DOLLAR(C21)&amp;".")</f>
      </c>
      <c r="C23" s="48"/>
      <c r="D23" s="48"/>
      <c r="E23" s="49"/>
    </row>
    <row r="24" ht="15">
      <c r="A24"/>
    </row>
    <row r="26" spans="1:8" ht="15">
      <c r="A26" s="38">
        <v>2</v>
      </c>
      <c r="B26" s="50" t="s">
        <v>67</v>
      </c>
      <c r="C26" s="50"/>
      <c r="D26" s="50"/>
      <c r="E26" s="50"/>
      <c r="F26"/>
      <c r="G26"/>
      <c r="H26"/>
    </row>
    <row r="27" spans="2:8" ht="30">
      <c r="B27" s="50" t="str">
        <f>"Allow you to write a check that has a date "&amp;C29&amp;" days in the future for "&amp;DOLLAR(C30,0)&amp;" and will give you "&amp;DOLLAR(C31,0)&amp;" today (they cash check in "&amp;C29&amp;" days)."</f>
        <v>Allow you to write a check that has a date 25 days in the future for $250 and will give you $200 today (they cash check in 25 days).</v>
      </c>
      <c r="C27" s="50"/>
      <c r="D27" s="50"/>
      <c r="E27" s="50"/>
      <c r="F27"/>
      <c r="G27"/>
      <c r="H27"/>
    </row>
    <row r="28" spans="2:8" ht="15">
      <c r="B28" s="51" t="s">
        <v>68</v>
      </c>
      <c r="C28" s="51"/>
      <c r="D28" s="50"/>
      <c r="E28" s="50"/>
      <c r="F28"/>
      <c r="G28"/>
      <c r="H28"/>
    </row>
    <row r="29" spans="2:3" ht="15">
      <c r="B29" s="43" t="s">
        <v>69</v>
      </c>
      <c r="C29" s="43">
        <v>25</v>
      </c>
    </row>
    <row r="30" spans="2:5" ht="15">
      <c r="B30" s="43" t="s">
        <v>70</v>
      </c>
      <c r="C30" s="43">
        <v>250</v>
      </c>
      <c r="E30" s="37" t="s">
        <v>71</v>
      </c>
    </row>
    <row r="31" spans="2:5" ht="15">
      <c r="B31" s="43" t="s">
        <v>72</v>
      </c>
      <c r="C31" s="43">
        <v>200</v>
      </c>
      <c r="E31" s="37" t="s">
        <v>73</v>
      </c>
    </row>
    <row r="32" spans="2:3" ht="15">
      <c r="B32" s="43" t="str">
        <f>C29&amp;" day rate is ="</f>
        <v>25 day rate is =</v>
      </c>
      <c r="C32" s="44"/>
    </row>
    <row r="33" spans="2:3" ht="15">
      <c r="B33" s="43" t="s">
        <v>74</v>
      </c>
      <c r="C33" s="43">
        <v>365</v>
      </c>
    </row>
    <row r="34" spans="2:3" ht="15">
      <c r="B34" s="43" t="str">
        <f>"# of "&amp;C29&amp;" day periods in 1 year ="</f>
        <v># of 25 day periods in 1 year =</v>
      </c>
      <c r="C34" s="52"/>
    </row>
    <row r="35" spans="2:3" ht="15">
      <c r="B35" s="43" t="s">
        <v>75</v>
      </c>
      <c r="C35" s="53"/>
    </row>
    <row r="36" spans="2:4" ht="15">
      <c r="B36" s="43" t="s">
        <v>76</v>
      </c>
      <c r="C36" s="53"/>
      <c r="D36" s="37" t="s">
        <v>77</v>
      </c>
    </row>
    <row r="37" ht="15">
      <c r="C37" s="54"/>
    </row>
    <row r="38" spans="2:4" ht="15">
      <c r="B38" s="43" t="s">
        <v>76</v>
      </c>
      <c r="C38" s="55"/>
      <c r="D38" s="37" t="s">
        <v>78</v>
      </c>
    </row>
    <row r="40" ht="26.25">
      <c r="B40" s="56" t="s">
        <v>79</v>
      </c>
    </row>
    <row r="41" spans="2:6" ht="17.25">
      <c r="B41" s="57" t="s">
        <v>80</v>
      </c>
      <c r="C41" s="58"/>
      <c r="D41" s="58"/>
      <c r="E41" s="58"/>
      <c r="F41" s="58"/>
    </row>
    <row r="42" ht="17.25">
      <c r="B42" s="59" t="s">
        <v>81</v>
      </c>
    </row>
    <row r="43" spans="2:6" ht="17.25">
      <c r="B43" s="60" t="s">
        <v>82</v>
      </c>
      <c r="C43" s="61"/>
      <c r="D43" s="61"/>
      <c r="E43" s="61"/>
      <c r="F43" s="61"/>
    </row>
    <row r="44" ht="17.25">
      <c r="B44" s="59" t="s">
        <v>83</v>
      </c>
    </row>
    <row r="45" ht="17.25">
      <c r="B45" s="59"/>
    </row>
    <row r="49" ht="15"/>
    <row r="50" ht="15"/>
    <row r="51" ht="15"/>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tabColor rgb="FFFF0000"/>
  </sheetPr>
  <dimension ref="A1:H45"/>
  <sheetViews>
    <sheetView zoomScale="85" zoomScaleNormal="85" zoomScalePageLayoutView="0" workbookViewId="0" topLeftCell="A8">
      <selection activeCell="C19" sqref="C19"/>
    </sheetView>
  </sheetViews>
  <sheetFormatPr defaultColWidth="9.140625" defaultRowHeight="12.75"/>
  <cols>
    <col min="1" max="1" width="2.00390625" style="37" bestFit="1" customWidth="1"/>
    <col min="2" max="2" width="36.140625" style="37" bestFit="1" customWidth="1"/>
    <col min="3" max="3" width="12.00390625" style="37" bestFit="1" customWidth="1"/>
    <col min="4" max="4" width="10.8515625" style="37" customWidth="1"/>
    <col min="5" max="6" width="9.57421875" style="37" bestFit="1" customWidth="1"/>
    <col min="7" max="16384" width="9.140625" style="37" customWidth="1"/>
  </cols>
  <sheetData>
    <row r="1" spans="1:6" ht="26.25">
      <c r="A1" s="1" t="str">
        <f aca="true" t="shared" si="0" ref="A1:A8">ROW()&amp;")"</f>
        <v>1)</v>
      </c>
      <c r="B1" s="2" t="s">
        <v>53</v>
      </c>
      <c r="C1" s="3"/>
      <c r="D1" s="3"/>
      <c r="E1" s="3"/>
      <c r="F1" s="3"/>
    </row>
    <row r="2" spans="1:6" ht="51.75">
      <c r="A2" s="1" t="str">
        <f t="shared" si="0"/>
        <v>2)</v>
      </c>
      <c r="B2" s="2" t="s">
        <v>54</v>
      </c>
      <c r="C2" s="3"/>
      <c r="D2" s="3"/>
      <c r="E2" s="3"/>
      <c r="F2" s="3"/>
    </row>
    <row r="3" spans="1:6" ht="26.25">
      <c r="A3" s="1" t="str">
        <f t="shared" si="0"/>
        <v>3)</v>
      </c>
      <c r="B3" s="2" t="s">
        <v>55</v>
      </c>
      <c r="C3" s="3"/>
      <c r="D3" s="3"/>
      <c r="E3" s="3"/>
      <c r="F3" s="3"/>
    </row>
    <row r="4" spans="1:6" ht="26.25">
      <c r="A4" s="1" t="str">
        <f t="shared" si="0"/>
        <v>4)</v>
      </c>
      <c r="B4" s="2" t="s">
        <v>56</v>
      </c>
      <c r="C4" s="3"/>
      <c r="D4" s="3"/>
      <c r="E4" s="3"/>
      <c r="F4" s="3"/>
    </row>
    <row r="5" spans="1:6" ht="39">
      <c r="A5" s="1" t="str">
        <f t="shared" si="0"/>
        <v>5)</v>
      </c>
      <c r="B5" s="2" t="s">
        <v>6</v>
      </c>
      <c r="C5" s="3"/>
      <c r="D5" s="3"/>
      <c r="E5" s="3"/>
      <c r="F5" s="3"/>
    </row>
    <row r="6" spans="1:6" ht="25.5">
      <c r="A6" s="1" t="str">
        <f t="shared" si="0"/>
        <v>6)</v>
      </c>
      <c r="B6" s="2" t="s">
        <v>2</v>
      </c>
      <c r="C6" s="3"/>
      <c r="D6" s="3"/>
      <c r="E6" s="3"/>
      <c r="F6" s="3"/>
    </row>
    <row r="7" spans="1:6" ht="25.5">
      <c r="A7" s="1" t="str">
        <f t="shared" si="0"/>
        <v>7)</v>
      </c>
      <c r="B7" s="2" t="s">
        <v>3</v>
      </c>
      <c r="C7" s="3"/>
      <c r="D7" s="3"/>
      <c r="E7" s="3"/>
      <c r="F7" s="3"/>
    </row>
    <row r="8" spans="1:6" ht="38.25">
      <c r="A8" s="1" t="str">
        <f t="shared" si="0"/>
        <v>8)</v>
      </c>
      <c r="B8" s="2" t="s">
        <v>4</v>
      </c>
      <c r="C8" s="3"/>
      <c r="D8" s="3"/>
      <c r="E8" s="3"/>
      <c r="F8" s="3"/>
    </row>
    <row r="10" spans="1:5" ht="30">
      <c r="A10" s="38">
        <v>1</v>
      </c>
      <c r="B10" s="39" t="str">
        <f>"Savings Plan that compounds interest "&amp;C13&amp;" times a year, but you put money in "&amp;C18&amp;" times a year."</f>
        <v>Savings Plan that compounds interest 365 times a year, but you put money in 12 times a year.</v>
      </c>
      <c r="C10" s="40"/>
      <c r="D10" s="41"/>
      <c r="E10" s="42"/>
    </row>
    <row r="11" spans="2:3" ht="15">
      <c r="B11" s="43" t="s">
        <v>57</v>
      </c>
      <c r="C11" s="43">
        <v>-250</v>
      </c>
    </row>
    <row r="12" spans="2:3" ht="15">
      <c r="B12" s="43" t="s">
        <v>58</v>
      </c>
      <c r="C12" s="43">
        <v>25</v>
      </c>
    </row>
    <row r="13" spans="2:3" ht="15">
      <c r="B13" s="43" t="s">
        <v>59</v>
      </c>
      <c r="C13" s="43">
        <v>365</v>
      </c>
    </row>
    <row r="14" spans="2:3" ht="15">
      <c r="B14" s="43" t="s">
        <v>60</v>
      </c>
      <c r="C14" s="43">
        <v>0.08</v>
      </c>
    </row>
    <row r="15" spans="2:3" ht="15">
      <c r="B15" s="43" t="s">
        <v>61</v>
      </c>
      <c r="C15" s="43">
        <v>0</v>
      </c>
    </row>
    <row r="16" ht="15">
      <c r="F16" s="37" t="s">
        <v>22</v>
      </c>
    </row>
    <row r="17" spans="2:6" ht="15">
      <c r="B17" s="43" t="s">
        <v>62</v>
      </c>
      <c r="C17" s="89">
        <f>EFFECT(C14,C13)</f>
        <v>0.08327757179281403</v>
      </c>
      <c r="F17" s="45">
        <f>(1+C14/C13)^C13-1</f>
        <v>0.08327757179281403</v>
      </c>
    </row>
    <row r="18" spans="2:3" ht="15">
      <c r="B18" s="43" t="s">
        <v>63</v>
      </c>
      <c r="C18" s="43">
        <v>12</v>
      </c>
    </row>
    <row r="19" spans="2:3" ht="15">
      <c r="B19" s="43" t="s">
        <v>64</v>
      </c>
      <c r="C19" s="44">
        <f>NOMINAL(C17,C18)</f>
        <v>0.08025843577482483</v>
      </c>
    </row>
    <row r="20" spans="1:3" ht="15">
      <c r="A20"/>
      <c r="B20" s="43" t="s">
        <v>65</v>
      </c>
      <c r="C20" s="44">
        <f>C19/C18</f>
        <v>0.006688202981235403</v>
      </c>
    </row>
    <row r="21" spans="1:3" ht="15">
      <c r="A21"/>
      <c r="B21" s="43" t="s">
        <v>66</v>
      </c>
      <c r="C21" s="46">
        <f>FV(C20,C12*C18,C11)</f>
        <v>238757.5934719539</v>
      </c>
    </row>
    <row r="22" ht="15">
      <c r="A22"/>
    </row>
    <row r="23" spans="1:5" ht="45">
      <c r="A23"/>
      <c r="B23" s="47" t="str">
        <f>IF(C21="","","If we have a Savings Plan that compounds interest "&amp;C13&amp;" times a year, but we put "&amp;DOLLAR(-C11)&amp;" in only "&amp;C18&amp;" times a year, the Future Value would be "&amp;DOLLAR(C21)&amp;".")</f>
        <v>If we have a Savings Plan that compounds interest 365 times a year, but we put $250.00 in only 12 times a year, the Future Value would be $238,757.59.</v>
      </c>
      <c r="C23" s="48"/>
      <c r="D23" s="48"/>
      <c r="E23" s="49"/>
    </row>
    <row r="24" ht="15">
      <c r="A24"/>
    </row>
    <row r="26" spans="1:8" ht="15">
      <c r="A26" s="38">
        <v>2</v>
      </c>
      <c r="B26" s="50" t="s">
        <v>67</v>
      </c>
      <c r="C26" s="50"/>
      <c r="D26" s="50"/>
      <c r="E26" s="50"/>
      <c r="F26"/>
      <c r="G26"/>
      <c r="H26"/>
    </row>
    <row r="27" spans="2:8" ht="30">
      <c r="B27" s="50" t="str">
        <f>"Allow you to write a check that has a date "&amp;C29&amp;" days in the future for "&amp;DOLLAR(C30,0)&amp;" and will give you "&amp;DOLLAR(C31,0)&amp;" today (they cash check in "&amp;C29&amp;" days)."</f>
        <v>Allow you to write a check that has a date 25 days in the future for $250 and will give you $200 today (they cash check in 25 days).</v>
      </c>
      <c r="C27" s="50"/>
      <c r="D27" s="50"/>
      <c r="E27" s="50"/>
      <c r="F27"/>
      <c r="G27"/>
      <c r="H27"/>
    </row>
    <row r="28" spans="2:8" ht="15">
      <c r="B28" s="51" t="s">
        <v>68</v>
      </c>
      <c r="C28" s="51"/>
      <c r="D28" s="50"/>
      <c r="E28" s="50"/>
      <c r="F28"/>
      <c r="G28"/>
      <c r="H28"/>
    </row>
    <row r="29" spans="2:3" ht="15">
      <c r="B29" s="43" t="s">
        <v>69</v>
      </c>
      <c r="C29" s="43">
        <v>25</v>
      </c>
    </row>
    <row r="30" spans="2:5" ht="15">
      <c r="B30" s="43" t="s">
        <v>70</v>
      </c>
      <c r="C30" s="43">
        <v>250</v>
      </c>
      <c r="E30" s="37" t="s">
        <v>71</v>
      </c>
    </row>
    <row r="31" spans="2:5" ht="15">
      <c r="B31" s="43" t="s">
        <v>72</v>
      </c>
      <c r="C31" s="43">
        <v>200</v>
      </c>
      <c r="E31" s="37" t="s">
        <v>73</v>
      </c>
    </row>
    <row r="32" spans="2:3" ht="15">
      <c r="B32" s="43" t="str">
        <f>C29&amp;" day rate is ="</f>
        <v>25 day rate is =</v>
      </c>
      <c r="C32" s="44">
        <f>C30/C31-1</f>
        <v>0.25</v>
      </c>
    </row>
    <row r="33" spans="2:3" ht="15">
      <c r="B33" s="43" t="s">
        <v>74</v>
      </c>
      <c r="C33" s="43">
        <v>365</v>
      </c>
    </row>
    <row r="34" spans="2:3" ht="15">
      <c r="B34" s="43" t="str">
        <f>"# of "&amp;C29&amp;" day periods in 1 year ="</f>
        <v># of 25 day periods in 1 year =</v>
      </c>
      <c r="C34" s="52">
        <f>C33/C29</f>
        <v>14.6</v>
      </c>
    </row>
    <row r="35" spans="2:3" ht="15">
      <c r="B35" s="43" t="s">
        <v>75</v>
      </c>
      <c r="C35" s="53">
        <f>C32*C34</f>
        <v>3.65</v>
      </c>
    </row>
    <row r="36" spans="2:4" ht="15">
      <c r="B36" s="43" t="s">
        <v>76</v>
      </c>
      <c r="C36" s="53">
        <f>(1+C32)^C34-1</f>
        <v>24.994782613868573</v>
      </c>
      <c r="D36" s="37" t="s">
        <v>77</v>
      </c>
    </row>
    <row r="37" ht="15">
      <c r="C37" s="54"/>
    </row>
    <row r="38" spans="2:4" ht="15">
      <c r="B38" s="43" t="s">
        <v>76</v>
      </c>
      <c r="C38" s="55" t="e">
        <f>'Loan Analysis (an)'!b(C35,C34)</f>
        <v>#REF!</v>
      </c>
      <c r="D38" s="37" t="s">
        <v>78</v>
      </c>
    </row>
    <row r="40" ht="26.25">
      <c r="B40" s="56" t="s">
        <v>79</v>
      </c>
    </row>
    <row r="41" spans="2:6" ht="17.25">
      <c r="B41" s="57" t="s">
        <v>80</v>
      </c>
      <c r="C41" s="58"/>
      <c r="D41" s="58"/>
      <c r="E41" s="58"/>
      <c r="F41" s="58"/>
    </row>
    <row r="42" ht="17.25">
      <c r="B42" s="59" t="s">
        <v>81</v>
      </c>
    </row>
    <row r="43" spans="2:6" ht="17.25">
      <c r="B43" s="60" t="s">
        <v>82</v>
      </c>
      <c r="C43" s="61"/>
      <c r="D43" s="61"/>
      <c r="E43" s="61"/>
      <c r="F43" s="61"/>
    </row>
    <row r="44" ht="17.25">
      <c r="B44" s="59" t="s">
        <v>83</v>
      </c>
    </row>
    <row r="45" ht="17.25">
      <c r="B45" s="59"/>
    </row>
    <row r="49" ht="15"/>
    <row r="50" ht="15"/>
    <row r="51" ht="15"/>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tabColor rgb="FF002060"/>
  </sheetPr>
  <dimension ref="A1:G14"/>
  <sheetViews>
    <sheetView zoomScale="115" zoomScaleNormal="115" zoomScalePageLayoutView="0" workbookViewId="0" topLeftCell="A7">
      <selection activeCell="C12" sqref="C12"/>
    </sheetView>
  </sheetViews>
  <sheetFormatPr defaultColWidth="9.140625" defaultRowHeight="12.75"/>
  <cols>
    <col min="1" max="1" width="2.57421875" style="37" bestFit="1" customWidth="1"/>
    <col min="2" max="2" width="23.57421875" style="37" bestFit="1" customWidth="1"/>
    <col min="3" max="3" width="10.140625" style="37" bestFit="1" customWidth="1"/>
    <col min="4" max="16384" width="9.140625" style="37" customWidth="1"/>
  </cols>
  <sheetData>
    <row r="1" spans="1:6" ht="39">
      <c r="A1" s="1" t="str">
        <f>ROW()&amp;")"</f>
        <v>1)</v>
      </c>
      <c r="B1" s="2" t="s">
        <v>84</v>
      </c>
      <c r="C1" s="3"/>
      <c r="D1" s="3"/>
      <c r="E1" s="3"/>
      <c r="F1" s="3"/>
    </row>
    <row r="2" spans="1:6" ht="64.5">
      <c r="A2" s="1" t="str">
        <f>ROW()&amp;")"</f>
        <v>2)</v>
      </c>
      <c r="B2" s="2" t="s">
        <v>85</v>
      </c>
      <c r="C2" s="3"/>
      <c r="D2" s="3"/>
      <c r="E2" s="3"/>
      <c r="F2" s="3"/>
    </row>
    <row r="3" spans="1:6" ht="39">
      <c r="A3" s="1" t="str">
        <f>ROW()&amp;")"</f>
        <v>3)</v>
      </c>
      <c r="B3" s="2" t="s">
        <v>4</v>
      </c>
      <c r="C3" s="3"/>
      <c r="D3" s="3"/>
      <c r="E3" s="3"/>
      <c r="F3" s="3"/>
    </row>
    <row r="4" spans="1:6" ht="25.5">
      <c r="A4" s="1" t="str">
        <f>ROW()&amp;")"</f>
        <v>4)</v>
      </c>
      <c r="B4" s="2" t="s">
        <v>2</v>
      </c>
      <c r="C4" s="3"/>
      <c r="D4" s="3"/>
      <c r="E4" s="3"/>
      <c r="F4" s="3"/>
    </row>
    <row r="5" spans="1:6" ht="38.25">
      <c r="A5" s="1" t="str">
        <f>ROW()&amp;")"</f>
        <v>5)</v>
      </c>
      <c r="B5" s="2" t="s">
        <v>3</v>
      </c>
      <c r="C5" s="3"/>
      <c r="D5" s="3"/>
      <c r="E5" s="3"/>
      <c r="F5" s="3"/>
    </row>
    <row r="7" spans="2:6" ht="37.5">
      <c r="B7" s="62" t="s">
        <v>86</v>
      </c>
      <c r="C7" s="63"/>
      <c r="D7" s="63"/>
      <c r="E7" s="63"/>
      <c r="F7" s="64"/>
    </row>
    <row r="8" spans="2:3" ht="15">
      <c r="B8" s="43" t="s">
        <v>87</v>
      </c>
      <c r="C8" s="65">
        <v>2000</v>
      </c>
    </row>
    <row r="9" spans="2:5" ht="15">
      <c r="B9" s="43" t="s">
        <v>60</v>
      </c>
      <c r="C9" s="66">
        <v>0.18</v>
      </c>
      <c r="E9" s="43" t="s">
        <v>88</v>
      </c>
    </row>
    <row r="10" spans="2:5" ht="15">
      <c r="B10" s="43" t="s">
        <v>89</v>
      </c>
      <c r="C10" s="43">
        <v>12</v>
      </c>
      <c r="E10" s="43">
        <v>0</v>
      </c>
    </row>
    <row r="11" spans="2:3" ht="15">
      <c r="B11" s="43" t="s">
        <v>90</v>
      </c>
      <c r="C11" s="67">
        <v>41</v>
      </c>
    </row>
    <row r="12" spans="2:3" ht="15">
      <c r="B12" s="43" t="s">
        <v>91</v>
      </c>
      <c r="C12" s="44"/>
    </row>
    <row r="13" spans="2:3" ht="15">
      <c r="B13" s="43" t="s">
        <v>92</v>
      </c>
      <c r="C13" s="44"/>
    </row>
    <row r="14" spans="2:7" ht="15">
      <c r="B14" s="43" t="s">
        <v>93</v>
      </c>
      <c r="C14" s="68">
        <f>IF(C13="","","It will take "&amp;C13&amp;" years to pay off the credit card if we make only the minimum payment each period.")</f>
      </c>
      <c r="D14" s="48"/>
      <c r="E14" s="48"/>
      <c r="F14" s="48"/>
      <c r="G14" s="4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Highline 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mgirvin</dc:creator>
  <cp:keywords/>
  <dc:description/>
  <cp:lastModifiedBy>mgirvin</cp:lastModifiedBy>
  <dcterms:created xsi:type="dcterms:W3CDTF">2009-05-25T19:31:32Z</dcterms:created>
  <dcterms:modified xsi:type="dcterms:W3CDTF">2010-05-24T18:25:02Z</dcterms:modified>
  <cp:category/>
  <cp:version/>
  <cp:contentType/>
  <cp:contentStatus/>
</cp:coreProperties>
</file>