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00-455-2025\02-VideosFilesHomework\Ch11\Files\"/>
    </mc:Choice>
  </mc:AlternateContent>
  <xr:revisionPtr revIDLastSave="0" documentId="13_ncr:1_{2926427C-CBE1-466F-993A-10BBBDB5971A}" xr6:coauthVersionLast="47" xr6:coauthVersionMax="47" xr10:uidLastSave="{00000000-0000-0000-0000-000000000000}"/>
  <bookViews>
    <workbookView xWindow="-90" yWindow="-90" windowWidth="19380" windowHeight="10380" firstSheet="2" activeTab="2" xr2:uid="{1D034BA6-ED49-4FB1-9ED3-DEA0EA85D551}"/>
  </bookViews>
  <sheets>
    <sheet name="Ex(4an)" sheetId="3" state="hidden" r:id="rId1"/>
    <sheet name="Ex(1an)" sheetId="1" state="hidden" r:id="rId2"/>
    <sheet name="57" sheetId="5" r:id="rId3"/>
    <sheet name="58" sheetId="6" r:id="rId4"/>
    <sheet name="59" sheetId="7" r:id="rId5"/>
    <sheet name="Ex(2an)" sheetId="2" state="hidden" r:id="rId6"/>
    <sheet name="Ex(5an)" sheetId="4" state="hidden" r:id="rId7"/>
  </sheets>
  <externalReferences>
    <externalReference r:id="rId8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7" l="1" a="1"/>
  <c r="E14" i="7" s="1"/>
  <c r="D21" i="6" a="1"/>
  <c r="D21" i="6" s="1"/>
  <c r="I29" i="5" a="1"/>
  <c r="I29" i="5" s="1"/>
  <c r="F29" i="5" a="1"/>
  <c r="F29" i="5" s="1"/>
  <c r="I16" i="5" a="1"/>
  <c r="I16" i="5" s="1"/>
  <c r="F16" i="5" a="1"/>
  <c r="F16" i="5" s="1"/>
  <c r="C14" i="7" a="1"/>
  <c r="C14" i="7" s="1"/>
  <c r="B15" i="7" a="1"/>
  <c r="B15" i="7" s="1"/>
  <c r="B14" i="7" a="1"/>
  <c r="B14" i="7" s="1"/>
  <c r="D17" i="6" a="1"/>
  <c r="D17" i="6" s="1"/>
  <c r="C17" i="6" a="1"/>
  <c r="C17" i="6" s="1"/>
  <c r="B7" i="7"/>
  <c r="E6" i="7"/>
  <c r="E5" i="7"/>
  <c r="E4" i="7"/>
  <c r="E3" i="7"/>
  <c r="D9" i="6"/>
  <c r="C9" i="6"/>
  <c r="B9" i="6"/>
  <c r="D8" i="6"/>
  <c r="C8" i="6"/>
  <c r="B8" i="6"/>
  <c r="D7" i="6"/>
  <c r="C7" i="6"/>
  <c r="B7" i="6"/>
  <c r="D4" i="6"/>
  <c r="C4" i="6"/>
  <c r="D20" i="5" a="1"/>
  <c r="D20" i="5" s="1"/>
  <c r="D23" i="5" s="1"/>
  <c r="D26" i="5" s="1"/>
  <c r="B2" i="5"/>
  <c r="J10" i="4" a="1"/>
  <c r="J10" i="4" s="1"/>
  <c r="B10" i="4"/>
  <c r="J9" i="4" a="1"/>
  <c r="J9" i="4" s="1"/>
  <c r="B9" i="4"/>
  <c r="B7" i="4"/>
  <c r="E6" i="4"/>
  <c r="E5" i="4"/>
  <c r="E4" i="4"/>
  <c r="I3" i="4" a="1"/>
  <c r="I3" i="4" s="1"/>
  <c r="J3" i="4" s="1" a="1"/>
  <c r="J3" i="4" s="1"/>
  <c r="E3" i="4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G6" i="3"/>
  <c r="E6" i="3"/>
  <c r="D6" i="3"/>
  <c r="E5" i="3"/>
  <c r="D5" i="3"/>
  <c r="G4" i="3"/>
  <c r="E4" i="3"/>
  <c r="D4" i="3"/>
  <c r="D9" i="2"/>
  <c r="D13" i="2" s="1"/>
  <c r="C9" i="2"/>
  <c r="B9" i="2"/>
  <c r="D8" i="2"/>
  <c r="D12" i="2" s="1"/>
  <c r="C8" i="2"/>
  <c r="B8" i="2"/>
  <c r="D7" i="2"/>
  <c r="D11" i="2" s="1"/>
  <c r="C7" i="2"/>
  <c r="B7" i="2"/>
  <c r="E20" i="2" s="1"/>
  <c r="D4" i="2"/>
  <c r="C4" i="2"/>
  <c r="D11" i="1"/>
  <c r="C11" i="1"/>
  <c r="D10" i="1"/>
  <c r="C10" i="1"/>
  <c r="B3" i="1"/>
  <c r="F9" i="6" l="1"/>
  <c r="F8" i="6"/>
  <c r="F7" i="6"/>
  <c r="G6" i="7"/>
  <c r="F6" i="7"/>
  <c r="F5" i="7"/>
  <c r="G5" i="7"/>
  <c r="G4" i="7"/>
  <c r="F4" i="7"/>
  <c r="G3" i="7"/>
  <c r="G7" i="7" s="1"/>
  <c r="F3" i="7"/>
  <c r="F7" i="7" s="1"/>
  <c r="C8" i="5" a="1"/>
  <c r="G6" i="4"/>
  <c r="F6" i="4"/>
  <c r="G5" i="4"/>
  <c r="F5" i="4"/>
  <c r="G4" i="4"/>
  <c r="F4" i="4"/>
  <c r="G3" i="4"/>
  <c r="G7" i="4" s="1"/>
  <c r="F3" i="4"/>
  <c r="F7" i="4" s="1"/>
  <c r="K3" i="4" a="1"/>
  <c r="K3" i="4" s="1"/>
  <c r="E9" i="2"/>
  <c r="C13" i="2"/>
  <c r="E8" i="2"/>
  <c r="C12" i="2"/>
  <c r="I20" i="2" a="1"/>
  <c r="I20" i="2" s="1"/>
  <c r="H7" i="2" a="1"/>
  <c r="H7" i="2" s="1"/>
  <c r="F20" i="2"/>
  <c r="C11" i="2"/>
  <c r="C14" i="2" s="1"/>
  <c r="H20" i="2" a="1"/>
  <c r="H20" i="2" s="1"/>
  <c r="E7" i="2"/>
  <c r="E16" i="2"/>
  <c r="F16" i="2" s="1"/>
  <c r="F9" i="1" a="1"/>
  <c r="F9" i="1" s="1"/>
  <c r="D16" i="1"/>
  <c r="C9" i="1"/>
  <c r="C13" i="1" s="1"/>
  <c r="J16" i="1" a="1"/>
  <c r="J16" i="1" s="1"/>
  <c r="C16" i="1"/>
  <c r="D9" i="1"/>
  <c r="D13" i="1" s="1"/>
  <c r="F12" i="6" l="1"/>
  <c r="G7" i="6" s="1"/>
  <c r="G8" i="6"/>
  <c r="G9" i="6"/>
  <c r="C20" i="5" a="1"/>
  <c r="D13" i="5"/>
  <c r="C8" i="5"/>
  <c r="C13" i="5" s="1"/>
  <c r="E11" i="2"/>
  <c r="F7" i="2" s="1"/>
  <c r="D28" i="1"/>
  <c r="D20" i="1"/>
  <c r="D22" i="1"/>
  <c r="D21" i="1"/>
  <c r="C20" i="1"/>
  <c r="C21" i="1"/>
  <c r="C28" i="1"/>
  <c r="J28" i="1" a="1"/>
  <c r="J28" i="1" s="1"/>
  <c r="C22" i="1"/>
  <c r="F20" i="1" a="1"/>
  <c r="F20" i="1" s="1"/>
  <c r="G12" i="6" l="1"/>
  <c r="G14" i="6" s="1"/>
  <c r="C20" i="5"/>
  <c r="C23" i="5" s="1"/>
  <c r="C26" i="5" s="1"/>
  <c r="F8" i="2"/>
  <c r="F11" i="2" s="1"/>
  <c r="F13" i="2" s="1"/>
  <c r="I7" i="2" a="1"/>
  <c r="I7" i="2" s="1"/>
  <c r="F9" i="2"/>
  <c r="C23" i="1"/>
  <c r="D23" i="1"/>
  <c r="D25" i="1" s="1"/>
  <c r="M25" i="1" l="1" a="1"/>
  <c r="M25" i="1" s="1"/>
  <c r="C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Girvin, Michael</author>
  </authors>
  <commentList>
    <comment ref="D12" authorId="0" shapeId="0" xr:uid="{AF0B3B00-0C63-4CD7-B71C-3CDFF5D636D3}">
      <text>
        <r>
          <rPr>
            <b/>
            <sz val="9"/>
            <color indexed="81"/>
            <rFont val="Tahoma"/>
            <family val="2"/>
          </rPr>
          <t>Expected Return based on Estimations both from past stock data and estimates of future economic states</t>
        </r>
      </text>
    </comment>
    <comment ref="D25" authorId="0" shapeId="0" xr:uid="{E6EFF2D3-E11A-441A-8224-49522DDE3C84}">
      <text>
        <r>
          <rPr>
            <b/>
            <sz val="9"/>
            <color indexed="81"/>
            <rFont val="Tahoma"/>
            <family val="2"/>
          </rPr>
          <t>Stadard Deviation (Measure of total risk) based on Estimations both from past stock data and estimates of future economic states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<sst xmlns="http://schemas.openxmlformats.org/spreadsheetml/2006/main" count="190" uniqueCount="72">
  <si>
    <t>Expected Return and SD for 1 stock</t>
  </si>
  <si>
    <t>State of economy</t>
  </si>
  <si>
    <t>Prob of State</t>
  </si>
  <si>
    <t>Estimated Stock A Return if State Occurs</t>
  </si>
  <si>
    <t>Estimated Stock B Return if State Occurs</t>
  </si>
  <si>
    <t>Recession</t>
  </si>
  <si>
    <t>Normal</t>
  </si>
  <si>
    <t>Irrational Exuberance</t>
  </si>
  <si>
    <t>MS 365 Excel:</t>
  </si>
  <si>
    <t>Individual Expected Return (Type of Average)</t>
  </si>
  <si>
    <t>R*Prob</t>
  </si>
  <si>
    <r>
      <t>E(R</t>
    </r>
    <r>
      <rPr>
        <b/>
        <vertAlign val="subscript"/>
        <sz val="11"/>
        <color indexed="8"/>
        <rFont val="Calibri"/>
        <family val="2"/>
      </rPr>
      <t>A</t>
    </r>
    <r>
      <rPr>
        <b/>
        <sz val="11"/>
        <color indexed="8"/>
        <rFont val="Calibri"/>
        <family val="2"/>
      </rPr>
      <t>)</t>
    </r>
  </si>
  <si>
    <r>
      <t>E(R</t>
    </r>
    <r>
      <rPr>
        <b/>
        <vertAlign val="subscript"/>
        <sz val="11"/>
        <color indexed="8"/>
        <rFont val="Calibri"/>
        <family val="2"/>
      </rPr>
      <t>B</t>
    </r>
    <r>
      <rPr>
        <b/>
        <sz val="11"/>
        <color indexed="8"/>
        <rFont val="Calibri"/>
        <family val="2"/>
      </rPr>
      <t>)</t>
    </r>
  </si>
  <si>
    <t>Add</t>
  </si>
  <si>
    <t>Expected Return based on Estimations both from past stock data and estimates of future economic states</t>
  </si>
  <si>
    <t>Individual Standard Deviation (Measure of Volitility or Risk of Stock)</t>
  </si>
  <si>
    <r>
      <t>(R-E(R</t>
    </r>
    <r>
      <rPr>
        <vertAlign val="subscript"/>
        <sz val="11"/>
        <color theme="0"/>
        <rFont val="Aptos Narrow"/>
        <family val="2"/>
        <scheme val="minor"/>
      </rPr>
      <t>A</t>
    </r>
    <r>
      <rPr>
        <sz val="11"/>
        <color theme="0"/>
        <rFont val="Aptos Narrow"/>
        <family val="2"/>
        <scheme val="minor"/>
      </rPr>
      <t>))^2*Prob</t>
    </r>
  </si>
  <si>
    <r>
      <t>(R-E(R</t>
    </r>
    <r>
      <rPr>
        <vertAlign val="subscript"/>
        <sz val="11"/>
        <color theme="0"/>
        <rFont val="Aptos Narrow"/>
        <family val="2"/>
        <scheme val="minor"/>
      </rPr>
      <t>B</t>
    </r>
    <r>
      <rPr>
        <sz val="11"/>
        <color theme="0"/>
        <rFont val="Aptos Narrow"/>
        <family val="2"/>
        <scheme val="minor"/>
      </rPr>
      <t>))^2*Prob</t>
    </r>
  </si>
  <si>
    <t>Variance</t>
  </si>
  <si>
    <r>
      <t>SD</t>
    </r>
    <r>
      <rPr>
        <b/>
        <vertAlign val="subscript"/>
        <sz val="11"/>
        <color indexed="8"/>
        <rFont val="Calibri"/>
        <family val="2"/>
      </rPr>
      <t>A</t>
    </r>
  </si>
  <si>
    <r>
      <t>SD</t>
    </r>
    <r>
      <rPr>
        <b/>
        <vertAlign val="subscript"/>
        <sz val="11"/>
        <color indexed="8"/>
        <rFont val="Calibri"/>
        <family val="2"/>
      </rPr>
      <t>B</t>
    </r>
  </si>
  <si>
    <t>SQRT</t>
  </si>
  <si>
    <t>Total Risk</t>
  </si>
  <si>
    <t>Stadard Deviation (Measure of total risk) based on Estimations both from past stock data and estimates of future economic states</t>
  </si>
  <si>
    <t>Expected Return and SD for portfolio</t>
  </si>
  <si>
    <t>Stock</t>
  </si>
  <si>
    <t>A</t>
  </si>
  <si>
    <t>B</t>
  </si>
  <si>
    <t>Invested</t>
  </si>
  <si>
    <t>Weight</t>
  </si>
  <si>
    <r>
      <t>Estimated Return for Portfolio if State Occurs = R</t>
    </r>
    <r>
      <rPr>
        <vertAlign val="subscript"/>
        <sz val="11"/>
        <color theme="0"/>
        <rFont val="Aptos Narrow"/>
        <family val="2"/>
        <scheme val="minor"/>
      </rPr>
      <t>A</t>
    </r>
    <r>
      <rPr>
        <sz val="11"/>
        <color theme="0"/>
        <rFont val="Aptos Narrow"/>
        <family val="2"/>
        <scheme val="minor"/>
      </rPr>
      <t>*W</t>
    </r>
    <r>
      <rPr>
        <vertAlign val="subscript"/>
        <sz val="11"/>
        <color theme="0"/>
        <rFont val="Aptos Narrow"/>
        <family val="2"/>
        <scheme val="minor"/>
      </rPr>
      <t>A</t>
    </r>
    <r>
      <rPr>
        <sz val="11"/>
        <color theme="0"/>
        <rFont val="Aptos Narrow"/>
        <family val="2"/>
        <scheme val="minor"/>
      </rPr>
      <t>+R</t>
    </r>
    <r>
      <rPr>
        <vertAlign val="subscript"/>
        <sz val="11"/>
        <color theme="0"/>
        <rFont val="Aptos Narrow"/>
        <family val="2"/>
        <scheme val="minor"/>
      </rPr>
      <t>B</t>
    </r>
    <r>
      <rPr>
        <sz val="11"/>
        <color theme="0"/>
        <rFont val="Aptos Narrow"/>
        <family val="2"/>
        <scheme val="minor"/>
      </rPr>
      <t>*W</t>
    </r>
    <r>
      <rPr>
        <vertAlign val="subscript"/>
        <sz val="11"/>
        <color theme="0"/>
        <rFont val="Aptos Narrow"/>
        <family val="2"/>
        <scheme val="minor"/>
      </rPr>
      <t>B</t>
    </r>
  </si>
  <si>
    <r>
      <t>(R</t>
    </r>
    <r>
      <rPr>
        <vertAlign val="subscript"/>
        <sz val="11"/>
        <color indexed="9"/>
        <rFont val="Calibri"/>
        <family val="2"/>
      </rPr>
      <t>IfStaeOccurs</t>
    </r>
    <r>
      <rPr>
        <sz val="11"/>
        <color indexed="9"/>
        <rFont val="Calibri"/>
        <family val="2"/>
      </rPr>
      <t xml:space="preserve"> - E(R</t>
    </r>
    <r>
      <rPr>
        <vertAlign val="subscript"/>
        <sz val="11"/>
        <color indexed="9"/>
        <rFont val="Calibri"/>
        <family val="2"/>
      </rPr>
      <t>P</t>
    </r>
    <r>
      <rPr>
        <sz val="11"/>
        <color indexed="9"/>
        <rFont val="Calibri"/>
        <family val="2"/>
      </rPr>
      <t>))^2*Prob</t>
    </r>
  </si>
  <si>
    <t>Boom</t>
  </si>
  <si>
    <t>E(RP)</t>
  </si>
  <si>
    <t>Variance of P</t>
  </si>
  <si>
    <t>Standard Deviation of P</t>
  </si>
  <si>
    <t>Beta</t>
  </si>
  <si>
    <t>Date</t>
  </si>
  <si>
    <t>S&amp;P 500 Adj</t>
  </si>
  <si>
    <t>WFMI Close Adj</t>
  </si>
  <si>
    <t>S &amp; P Weely Returns for Lat 4 Years</t>
  </si>
  <si>
    <t>WFMI Weely Returns for Lat 4 Years</t>
  </si>
  <si>
    <t>Weekly Return S &amp; P</t>
  </si>
  <si>
    <t>Weekly Return WFMI</t>
  </si>
  <si>
    <t>Slope</t>
  </si>
  <si>
    <t>Amount of systematic risk</t>
  </si>
  <si>
    <r>
      <t>Correllation*SD</t>
    </r>
    <r>
      <rPr>
        <vertAlign val="subscript"/>
        <sz val="11"/>
        <color theme="1"/>
        <rFont val="Aptos Narrow"/>
        <family val="2"/>
        <scheme val="minor"/>
      </rPr>
      <t>WFMI</t>
    </r>
    <r>
      <rPr>
        <sz val="11"/>
        <color theme="1"/>
        <rFont val="Aptos Narrow"/>
        <family val="2"/>
        <scheme val="minor"/>
      </rPr>
      <t>/SD</t>
    </r>
    <r>
      <rPr>
        <vertAlign val="subscript"/>
        <sz val="11"/>
        <color theme="1"/>
        <rFont val="Aptos Narrow"/>
        <family val="2"/>
        <scheme val="minor"/>
      </rPr>
      <t>M</t>
    </r>
  </si>
  <si>
    <t>Correlation tells us the strength and direction of the line (between -1 and 1)</t>
  </si>
  <si>
    <r>
      <t>S</t>
    </r>
    <r>
      <rPr>
        <vertAlign val="subscript"/>
        <sz val="11"/>
        <color theme="1"/>
        <rFont val="Aptos Narrow"/>
        <family val="2"/>
        <scheme val="minor"/>
      </rPr>
      <t>DWFMI</t>
    </r>
    <r>
      <rPr>
        <sz val="11"/>
        <color theme="1"/>
        <rFont val="Aptos Narrow"/>
        <family val="2"/>
        <scheme val="minor"/>
      </rPr>
      <t>/SD</t>
    </r>
    <r>
      <rPr>
        <vertAlign val="subscript"/>
        <sz val="11"/>
        <color theme="1"/>
        <rFont val="Aptos Narrow"/>
        <family val="2"/>
        <scheme val="minor"/>
      </rPr>
      <t xml:space="preserve">M </t>
    </r>
    <r>
      <rPr>
        <sz val="11"/>
        <color theme="1"/>
        <rFont val="Aptos Narrow"/>
        <family val="2"/>
        <scheme val="minor"/>
      </rPr>
      <t xml:space="preserve"> = Amount of Standard Deviation of WFMI per 1 unit of Market Standard Deviation</t>
    </r>
  </si>
  <si>
    <t>Together they say direction and strength of Systematic Risk for WMFI</t>
  </si>
  <si>
    <t>Beta For Porfolio</t>
  </si>
  <si>
    <t>Amount Invetsed</t>
  </si>
  <si>
    <t>Expected Return</t>
  </si>
  <si>
    <t>Weights = Invested/(Total Invested)</t>
  </si>
  <si>
    <t>Expected Return
E(R)*W</t>
  </si>
  <si>
    <t>Beta
B*W</t>
  </si>
  <si>
    <t>W</t>
  </si>
  <si>
    <t>X</t>
  </si>
  <si>
    <t>Y</t>
  </si>
  <si>
    <t>Z</t>
  </si>
  <si>
    <t>Total</t>
  </si>
  <si>
    <t>Expected Return for P</t>
  </si>
  <si>
    <t>Portfolio Beta</t>
  </si>
  <si>
    <t>Bust</t>
  </si>
  <si>
    <r>
      <t>E(R</t>
    </r>
    <r>
      <rPr>
        <b/>
        <vertAlign val="subscript"/>
        <sz val="11"/>
        <color theme="0"/>
        <rFont val="Calibri"/>
        <family val="2"/>
      </rPr>
      <t>A</t>
    </r>
    <r>
      <rPr>
        <b/>
        <sz val="11"/>
        <color theme="0"/>
        <rFont val="Calibri"/>
        <family val="2"/>
      </rPr>
      <t>)</t>
    </r>
  </si>
  <si>
    <r>
      <t>E(R</t>
    </r>
    <r>
      <rPr>
        <b/>
        <vertAlign val="subscript"/>
        <sz val="11"/>
        <color theme="0"/>
        <rFont val="Calibri"/>
        <family val="2"/>
      </rPr>
      <t>B</t>
    </r>
    <r>
      <rPr>
        <b/>
        <sz val="11"/>
        <color theme="0"/>
        <rFont val="Calibri"/>
        <family val="2"/>
      </rPr>
      <t>)</t>
    </r>
  </si>
  <si>
    <r>
      <t>SD</t>
    </r>
    <r>
      <rPr>
        <b/>
        <vertAlign val="subscript"/>
        <sz val="11"/>
        <color theme="0"/>
        <rFont val="Calibri"/>
        <family val="2"/>
      </rPr>
      <t>A</t>
    </r>
  </si>
  <si>
    <r>
      <t>SD</t>
    </r>
    <r>
      <rPr>
        <b/>
        <vertAlign val="subscript"/>
        <sz val="11"/>
        <color theme="0"/>
        <rFont val="Calibri"/>
        <family val="2"/>
      </rPr>
      <t>B</t>
    </r>
  </si>
  <si>
    <t>Standard Deviation = Total Risk</t>
  </si>
  <si>
    <t>Solution:</t>
  </si>
  <si>
    <t>Single Cell:</t>
  </si>
  <si>
    <t>With no eta Lambdas: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</si>
</sst>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00"/>
    <numFmt numFmtId="165" formatCode="0.0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vertAlign val="subscript"/>
      <sz val="11"/>
      <color indexed="8"/>
      <name val="Calibri"/>
      <family val="2"/>
    </font>
    <font>
      <b/>
      <sz val="11"/>
      <color indexed="8"/>
      <name val="Calibri"/>
      <family val="2"/>
    </font>
    <font>
      <vertAlign val="subscript"/>
      <sz val="11"/>
      <color theme="0"/>
      <name val="Aptos Narrow"/>
      <family val="2"/>
      <scheme val="minor"/>
    </font>
    <font>
      <vertAlign val="subscript"/>
      <sz val="11"/>
      <color indexed="9"/>
      <name val="Calibri"/>
      <family val="2"/>
    </font>
    <font>
      <sz val="11"/>
      <color indexed="9"/>
      <name val="Calibri"/>
      <family val="2"/>
    </font>
    <font>
      <sz val="22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b/>
      <vertAlign val="subscript"/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EE0000"/>
      <name val="Aptos Narrow"/>
      <family val="2"/>
      <scheme val="minor"/>
    </font>
    <font>
      <b/>
      <sz val="11"/>
      <color rgb="FF0000FF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3" fillId="3" borderId="4" xfId="0" applyFont="1" applyFill="1" applyBorder="1" applyAlignment="1">
      <alignment wrapText="1"/>
    </xf>
    <xf numFmtId="0" fontId="0" fillId="0" borderId="5" xfId="0" applyBorder="1"/>
    <xf numFmtId="0" fontId="2" fillId="0" borderId="0" xfId="0" applyFont="1"/>
    <xf numFmtId="0" fontId="3" fillId="4" borderId="5" xfId="0" applyFont="1" applyFill="1" applyBorder="1" applyAlignment="1">
      <alignment horizontal="centerContinuous" wrapText="1"/>
    </xf>
    <xf numFmtId="0" fontId="3" fillId="5" borderId="5" xfId="0" applyFont="1" applyFill="1" applyBorder="1" applyAlignment="1">
      <alignment wrapText="1"/>
    </xf>
    <xf numFmtId="0" fontId="0" fillId="6" borderId="5" xfId="0" applyFill="1" applyBorder="1"/>
    <xf numFmtId="0" fontId="2" fillId="0" borderId="4" xfId="0" applyFont="1" applyBorder="1"/>
    <xf numFmtId="0" fontId="2" fillId="0" borderId="5" xfId="0" applyFont="1" applyBorder="1"/>
    <xf numFmtId="0" fontId="0" fillId="0" borderId="1" xfId="0" applyBorder="1" applyAlignment="1">
      <alignment horizontal="centerContinuous" wrapText="1"/>
    </xf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3" fillId="5" borderId="5" xfId="0" applyFont="1" applyFill="1" applyBorder="1"/>
    <xf numFmtId="0" fontId="3" fillId="3" borderId="4" xfId="0" applyFont="1" applyFill="1" applyBorder="1"/>
    <xf numFmtId="0" fontId="0" fillId="0" borderId="4" xfId="0" applyBorder="1"/>
    <xf numFmtId="0" fontId="3" fillId="3" borderId="5" xfId="0" applyFont="1" applyFill="1" applyBorder="1"/>
    <xf numFmtId="8" fontId="0" fillId="0" borderId="5" xfId="0" applyNumberFormat="1" applyBorder="1"/>
    <xf numFmtId="0" fontId="3" fillId="3" borderId="5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2" fillId="0" borderId="1" xfId="0" applyFont="1" applyBorder="1"/>
    <xf numFmtId="0" fontId="0" fillId="6" borderId="1" xfId="0" applyFill="1" applyBorder="1"/>
    <xf numFmtId="0" fontId="10" fillId="2" borderId="5" xfId="0" applyFont="1" applyFill="1" applyBorder="1"/>
    <xf numFmtId="0" fontId="0" fillId="0" borderId="0" xfId="0" applyAlignment="1">
      <alignment wrapText="1"/>
    </xf>
    <xf numFmtId="14" fontId="0" fillId="0" borderId="5" xfId="0" applyNumberFormat="1" applyBorder="1"/>
    <xf numFmtId="0" fontId="10" fillId="0" borderId="0" xfId="0" applyFont="1"/>
    <xf numFmtId="0" fontId="3" fillId="3" borderId="6" xfId="0" applyFont="1" applyFill="1" applyBorder="1" applyAlignment="1">
      <alignment wrapText="1"/>
    </xf>
    <xf numFmtId="10" fontId="0" fillId="0" borderId="5" xfId="1" applyNumberFormat="1" applyFont="1" applyBorder="1"/>
    <xf numFmtId="2" fontId="0" fillId="0" borderId="5" xfId="0" applyNumberFormat="1" applyBorder="1"/>
    <xf numFmtId="10" fontId="0" fillId="6" borderId="5" xfId="1" applyNumberFormat="1" applyFont="1" applyFill="1" applyBorder="1"/>
    <xf numFmtId="10" fontId="0" fillId="6" borderId="7" xfId="1" applyNumberFormat="1" applyFont="1" applyFill="1" applyBorder="1"/>
    <xf numFmtId="0" fontId="0" fillId="6" borderId="7" xfId="0" applyFill="1" applyBorder="1"/>
    <xf numFmtId="8" fontId="0" fillId="6" borderId="5" xfId="0" applyNumberFormat="1" applyFill="1" applyBorder="1"/>
    <xf numFmtId="2" fontId="0" fillId="0" borderId="0" xfId="0" applyNumberFormat="1"/>
    <xf numFmtId="10" fontId="0" fillId="6" borderId="8" xfId="1" applyNumberFormat="1" applyFont="1" applyFill="1" applyBorder="1"/>
    <xf numFmtId="0" fontId="0" fillId="6" borderId="8" xfId="0" applyFill="1" applyBorder="1"/>
    <xf numFmtId="164" fontId="0" fillId="6" borderId="5" xfId="0" applyNumberFormat="1" applyFill="1" applyBorder="1"/>
    <xf numFmtId="165" fontId="0" fillId="6" borderId="5" xfId="0" applyNumberFormat="1" applyFill="1" applyBorder="1"/>
    <xf numFmtId="0" fontId="10" fillId="2" borderId="0" xfId="0" applyFont="1" applyFill="1"/>
    <xf numFmtId="0" fontId="0" fillId="2" borderId="0" xfId="0" applyFill="1"/>
    <xf numFmtId="0" fontId="15" fillId="0" borderId="0" xfId="0" applyFont="1"/>
    <xf numFmtId="0" fontId="1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Beta For WFMI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'[1]Ex(4)'!$E$3</c:f>
              <c:strCache>
                <c:ptCount val="1"/>
                <c:pt idx="0">
                  <c:v>Weekly Return WFMI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9.2080927384076985E-2"/>
                  <c:y val="-0.3511111111111111"/>
                </c:manualLayout>
              </c:layout>
              <c:numFmt formatCode="General" sourceLinked="0"/>
            </c:trendlineLbl>
          </c:trendline>
          <c:xVal>
            <c:numRef>
              <c:f>'[1]Ex(4)'!$D$4:$D$162</c:f>
              <c:numCache>
                <c:formatCode>General</c:formatCode>
                <c:ptCount val="159"/>
              </c:numCache>
            </c:numRef>
          </c:xVal>
          <c:yVal>
            <c:numRef>
              <c:f>'[1]Ex(4)'!$E$4:$E$162</c:f>
              <c:numCache>
                <c:formatCode>General</c:formatCode>
                <c:ptCount val="1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A0-4743-BA29-0834251AA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840320"/>
        <c:axId val="262840896"/>
      </c:scatterChart>
      <c:valAx>
        <c:axId val="262840320"/>
        <c:scaling>
          <c:orientation val="minMax"/>
        </c:scaling>
        <c:delete val="0"/>
        <c:axPos val="b"/>
        <c:title>
          <c:tx>
            <c:strRef>
              <c:f>'[1]Ex(4)'!$D$2</c:f>
              <c:strCache>
                <c:ptCount val="1"/>
                <c:pt idx="0">
                  <c:v>S &amp; P Weely Returns for Lat 4 Years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crossAx val="262840896"/>
        <c:crosses val="autoZero"/>
        <c:crossBetween val="midCat"/>
      </c:valAx>
      <c:valAx>
        <c:axId val="262840896"/>
        <c:scaling>
          <c:orientation val="minMax"/>
        </c:scaling>
        <c:delete val="0"/>
        <c:axPos val="l"/>
        <c:majorGridlines/>
        <c:title>
          <c:tx>
            <c:strRef>
              <c:f>'[1]Ex(4)'!$E$2</c:f>
              <c:strCache>
                <c:ptCount val="1"/>
                <c:pt idx="0">
                  <c:v>WFMI Weely Returns for Lat 4 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62840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284871</xdr:colOff>
      <xdr:row>10</xdr:row>
      <xdr:rowOff>137746</xdr:rowOff>
    </xdr:from>
    <xdr:to>
      <xdr:col>12</xdr:col>
      <xdr:colOff>261425</xdr:colOff>
      <xdr:row>25</xdr:row>
      <xdr:rowOff>152986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D102C3-03C9-456D-9729-6E5644A99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girvin\Desktop\00-455-2025\02-VideosFilesHomework\Ch11\Files\ACCTG455-Ch11.xlsx" TargetMode="External"/><Relationship Id="rId1" Type="http://schemas.openxmlformats.org/officeDocument/2006/relationships/externalLinkPath" Target="ACCTG455-Ch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(0.5)"/>
      <sheetName val="Ex(0.5an)"/>
      <sheetName val="Ex(1)"/>
      <sheetName val="Ex(1an)"/>
      <sheetName val="Ex(2)"/>
      <sheetName val="Ex(2an)"/>
      <sheetName val="Ex(3)"/>
      <sheetName val="Ex(3an)"/>
      <sheetName val="Ex(4)"/>
      <sheetName val="Ex(4an)"/>
      <sheetName val="Ex(5)"/>
      <sheetName val="Ex(5an)"/>
      <sheetName val="Ex(6)"/>
      <sheetName val="Ex(6an)"/>
      <sheetName val="Ex(7)"/>
      <sheetName val="Ex(7an)"/>
      <sheetName val="Ex(8)"/>
      <sheetName val="Ex(8an)"/>
      <sheetName val="WFMI"/>
      <sheetName val="Web(3)"/>
      <sheetName val="zzzz"/>
      <sheetName val="zzz"/>
    </sheetNames>
    <sheetDataSet>
      <sheetData sheetId="0"/>
      <sheetData sheetId="1"/>
      <sheetData sheetId="2">
        <row r="3">
          <cell r="B3">
            <v>0.45</v>
          </cell>
          <cell r="C3">
            <v>-0.05</v>
          </cell>
          <cell r="D3">
            <v>-0.2</v>
          </cell>
        </row>
        <row r="4">
          <cell r="B4">
            <v>0.5</v>
          </cell>
          <cell r="C4">
            <v>0.12</v>
          </cell>
          <cell r="D4">
            <v>0.22</v>
          </cell>
        </row>
        <row r="5">
          <cell r="B5">
            <v>0.05</v>
          </cell>
          <cell r="C5">
            <v>0.15</v>
          </cell>
          <cell r="D5">
            <v>0.28000000000000003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D2" t="str">
            <v>S &amp; P Weely Returns for Lat 4 Years</v>
          </cell>
          <cell r="E2" t="str">
            <v>WFMI Weely Returns for Lat 4 Years</v>
          </cell>
        </row>
        <row r="3">
          <cell r="E3" t="str">
            <v>Weekly Return WFMI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8C2CB-DF37-4265-93DE-54B85F667FF9}">
  <sheetPr>
    <tabColor rgb="FFFF0000"/>
  </sheetPr>
  <dimension ref="A1:H162"/>
  <sheetViews>
    <sheetView topLeftCell="A5" zoomScaleNormal="100" workbookViewId="0">
      <selection activeCell="E6" sqref="E6:G13"/>
    </sheetView>
  </sheetViews>
  <sheetFormatPr defaultRowHeight="14.75" x14ac:dyDescent="0.75"/>
  <cols>
    <col min="1" max="1" width="10.86328125" bestFit="1" customWidth="1"/>
    <col min="2" max="2" width="11.08984375" bestFit="1" customWidth="1"/>
    <col min="3" max="3" width="14" bestFit="1" customWidth="1"/>
    <col min="4" max="4" width="18.08984375" bestFit="1" customWidth="1"/>
    <col min="5" max="5" width="18.76953125" bestFit="1" customWidth="1"/>
    <col min="6" max="6" width="2" customWidth="1"/>
    <col min="7" max="7" width="22.54296875" customWidth="1"/>
  </cols>
  <sheetData>
    <row r="1" spans="1:8" ht="29.25" x14ac:dyDescent="1.4">
      <c r="A1" s="24" t="s">
        <v>36</v>
      </c>
    </row>
    <row r="2" spans="1:8" ht="29.5" x14ac:dyDescent="0.75">
      <c r="A2" s="18" t="s">
        <v>37</v>
      </c>
      <c r="B2" s="18" t="s">
        <v>38</v>
      </c>
      <c r="C2" s="18" t="s">
        <v>39</v>
      </c>
      <c r="D2" s="25" t="s">
        <v>40</v>
      </c>
      <c r="E2" s="25" t="s">
        <v>41</v>
      </c>
    </row>
    <row r="3" spans="1:8" x14ac:dyDescent="0.75">
      <c r="A3" s="26">
        <v>39395</v>
      </c>
      <c r="B3" s="5">
        <v>1453.7</v>
      </c>
      <c r="C3" s="5">
        <v>42.51</v>
      </c>
      <c r="D3" s="18" t="s">
        <v>42</v>
      </c>
      <c r="E3" s="18" t="s">
        <v>43</v>
      </c>
      <c r="G3" t="s">
        <v>44</v>
      </c>
    </row>
    <row r="4" spans="1:8" x14ac:dyDescent="0.75">
      <c r="A4" s="26">
        <v>39398</v>
      </c>
      <c r="B4" s="5">
        <v>1458.74</v>
      </c>
      <c r="C4" s="5">
        <v>44.4</v>
      </c>
      <c r="D4" s="9">
        <f>B4/B3-1</f>
        <v>3.4670152025864098E-3</v>
      </c>
      <c r="E4" s="9">
        <f>C4/C3-1</f>
        <v>4.4460127028934426E-2</v>
      </c>
      <c r="G4" s="9">
        <f>SLOPE($E$4:$E$162,$D$4:$D$162)</f>
        <v>1.1061218376037838</v>
      </c>
      <c r="H4" t="s">
        <v>45</v>
      </c>
    </row>
    <row r="5" spans="1:8" ht="16.75" x14ac:dyDescent="0.95">
      <c r="A5" s="26">
        <v>39405</v>
      </c>
      <c r="B5" s="5">
        <v>1440.7</v>
      </c>
      <c r="C5" s="5">
        <v>39.94</v>
      </c>
      <c r="D5" s="9">
        <f t="shared" ref="D5:E68" si="0">B5/B4-1</f>
        <v>-1.2366837133416464E-2</v>
      </c>
      <c r="E5" s="9">
        <f t="shared" si="0"/>
        <v>-0.10045045045045042</v>
      </c>
      <c r="G5" t="s">
        <v>46</v>
      </c>
    </row>
    <row r="6" spans="1:8" x14ac:dyDescent="0.75">
      <c r="A6" s="26">
        <v>39412</v>
      </c>
      <c r="B6" s="5">
        <v>1481.14</v>
      </c>
      <c r="C6" s="5">
        <v>42.15</v>
      </c>
      <c r="D6" s="9">
        <f t="shared" si="0"/>
        <v>2.8069688345943034E-2</v>
      </c>
      <c r="E6" s="9">
        <f t="shared" si="0"/>
        <v>5.5332999499248858E-2</v>
      </c>
      <c r="G6" s="9">
        <f>CORREL($E$4:$E$162,$D$4:$D$162)*STDEV($E$4:$E$162)/STDEV($D$4:$D$162)</f>
        <v>1.1061218376037834</v>
      </c>
    </row>
    <row r="7" spans="1:8" x14ac:dyDescent="0.75">
      <c r="A7" s="26">
        <v>39419</v>
      </c>
      <c r="B7" s="5">
        <v>1504.66</v>
      </c>
      <c r="C7" s="5">
        <v>42.19</v>
      </c>
      <c r="D7" s="9">
        <f t="shared" si="0"/>
        <v>1.5879660261690409E-2</v>
      </c>
      <c r="E7" s="9">
        <f t="shared" si="0"/>
        <v>9.489916963225653E-4</v>
      </c>
    </row>
    <row r="8" spans="1:8" x14ac:dyDescent="0.75">
      <c r="A8" s="26">
        <v>39426</v>
      </c>
      <c r="B8" s="5">
        <v>1467.95</v>
      </c>
      <c r="C8" s="5">
        <v>39.770000000000003</v>
      </c>
      <c r="D8" s="9">
        <f t="shared" si="0"/>
        <v>-2.439753831430358E-2</v>
      </c>
      <c r="E8" s="9">
        <f t="shared" si="0"/>
        <v>-5.7359563877696029E-2</v>
      </c>
      <c r="G8" t="s">
        <v>47</v>
      </c>
    </row>
    <row r="9" spans="1:8" ht="16.75" x14ac:dyDescent="0.95">
      <c r="A9" s="26">
        <v>39433</v>
      </c>
      <c r="B9" s="5">
        <v>1484.46</v>
      </c>
      <c r="C9" s="5">
        <v>41.73</v>
      </c>
      <c r="D9" s="9">
        <f t="shared" si="0"/>
        <v>1.1246977076875941E-2</v>
      </c>
      <c r="E9" s="9">
        <f t="shared" si="0"/>
        <v>4.9283379431732222E-2</v>
      </c>
      <c r="G9" t="s">
        <v>48</v>
      </c>
    </row>
    <row r="10" spans="1:8" x14ac:dyDescent="0.75">
      <c r="A10" s="26">
        <v>39440</v>
      </c>
      <c r="B10" s="5">
        <v>1478.49</v>
      </c>
      <c r="C10" s="5">
        <v>40.770000000000003</v>
      </c>
      <c r="D10" s="9">
        <f t="shared" si="0"/>
        <v>-4.0216644436360527E-3</v>
      </c>
      <c r="E10" s="9">
        <f t="shared" si="0"/>
        <v>-2.3005032350826626E-2</v>
      </c>
      <c r="G10" t="s">
        <v>49</v>
      </c>
    </row>
    <row r="11" spans="1:8" x14ac:dyDescent="0.75">
      <c r="A11" s="26">
        <v>39447</v>
      </c>
      <c r="B11" s="5">
        <v>1411.63</v>
      </c>
      <c r="C11" s="5">
        <v>37.159999999999997</v>
      </c>
      <c r="D11" s="9">
        <f t="shared" si="0"/>
        <v>-4.5221814148218686E-2</v>
      </c>
      <c r="E11" s="9">
        <f t="shared" si="0"/>
        <v>-8.8545499141525763E-2</v>
      </c>
    </row>
    <row r="12" spans="1:8" x14ac:dyDescent="0.75">
      <c r="A12" s="26">
        <v>39454</v>
      </c>
      <c r="B12" s="5">
        <v>1401.02</v>
      </c>
      <c r="C12" s="5">
        <v>36.96</v>
      </c>
      <c r="D12" s="9">
        <f t="shared" si="0"/>
        <v>-7.5161338311031667E-3</v>
      </c>
      <c r="E12" s="9">
        <f t="shared" si="0"/>
        <v>-5.3821313240042246E-3</v>
      </c>
    </row>
    <row r="13" spans="1:8" x14ac:dyDescent="0.75">
      <c r="A13" s="26">
        <v>39461</v>
      </c>
      <c r="B13" s="5">
        <v>1325.19</v>
      </c>
      <c r="C13" s="5">
        <v>34.57</v>
      </c>
      <c r="D13" s="9">
        <f t="shared" si="0"/>
        <v>-5.4124851893620263E-2</v>
      </c>
      <c r="E13" s="9">
        <f t="shared" si="0"/>
        <v>-6.4664502164502147E-2</v>
      </c>
    </row>
    <row r="14" spans="1:8" x14ac:dyDescent="0.75">
      <c r="A14" s="26">
        <v>39469</v>
      </c>
      <c r="B14" s="5">
        <v>1330.61</v>
      </c>
      <c r="C14" s="5">
        <v>37.01</v>
      </c>
      <c r="D14" s="9">
        <f t="shared" si="0"/>
        <v>4.0899795501021519E-3</v>
      </c>
      <c r="E14" s="9">
        <f t="shared" si="0"/>
        <v>7.0581428984668682E-2</v>
      </c>
    </row>
    <row r="15" spans="1:8" x14ac:dyDescent="0.75">
      <c r="A15" s="26">
        <v>39475</v>
      </c>
      <c r="B15" s="5">
        <v>1395.42</v>
      </c>
      <c r="C15" s="5">
        <v>40.17</v>
      </c>
      <c r="D15" s="9">
        <f t="shared" si="0"/>
        <v>4.8706984014850407E-2</v>
      </c>
      <c r="E15" s="9">
        <f t="shared" si="0"/>
        <v>8.5382329100243348E-2</v>
      </c>
    </row>
    <row r="16" spans="1:8" x14ac:dyDescent="0.75">
      <c r="A16" s="26">
        <v>39482</v>
      </c>
      <c r="B16" s="5">
        <v>1331.29</v>
      </c>
      <c r="C16" s="5">
        <v>38.81</v>
      </c>
      <c r="D16" s="9">
        <f t="shared" si="0"/>
        <v>-4.5957489501368798E-2</v>
      </c>
      <c r="E16" s="9">
        <f t="shared" si="0"/>
        <v>-3.3856111526014421E-2</v>
      </c>
    </row>
    <row r="17" spans="1:5" x14ac:dyDescent="0.75">
      <c r="A17" s="26">
        <v>39489</v>
      </c>
      <c r="B17" s="5">
        <v>1349.99</v>
      </c>
      <c r="C17" s="5">
        <v>38.549999999999997</v>
      </c>
      <c r="D17" s="9">
        <f t="shared" si="0"/>
        <v>1.4046526301557227E-2</v>
      </c>
      <c r="E17" s="9">
        <f t="shared" si="0"/>
        <v>-6.699304303014797E-3</v>
      </c>
    </row>
    <row r="18" spans="1:5" x14ac:dyDescent="0.75">
      <c r="A18" s="26">
        <v>39497</v>
      </c>
      <c r="B18" s="5">
        <v>1353.11</v>
      </c>
      <c r="C18" s="5">
        <v>36.229999999999997</v>
      </c>
      <c r="D18" s="9">
        <f t="shared" si="0"/>
        <v>2.3111282305794401E-3</v>
      </c>
      <c r="E18" s="9">
        <f t="shared" si="0"/>
        <v>-6.0181582360570696E-2</v>
      </c>
    </row>
    <row r="19" spans="1:5" x14ac:dyDescent="0.75">
      <c r="A19" s="26">
        <v>39503</v>
      </c>
      <c r="B19" s="5">
        <v>1330.63</v>
      </c>
      <c r="C19" s="5">
        <v>34.64</v>
      </c>
      <c r="D19" s="9">
        <f t="shared" si="0"/>
        <v>-1.6613579088174513E-2</v>
      </c>
      <c r="E19" s="9">
        <f t="shared" si="0"/>
        <v>-4.3886282086668449E-2</v>
      </c>
    </row>
    <row r="20" spans="1:5" x14ac:dyDescent="0.75">
      <c r="A20" s="26">
        <v>39510</v>
      </c>
      <c r="B20" s="5">
        <v>1293.3699999999999</v>
      </c>
      <c r="C20" s="5">
        <v>33.58</v>
      </c>
      <c r="D20" s="9">
        <f t="shared" si="0"/>
        <v>-2.8001773595966006E-2</v>
      </c>
      <c r="E20" s="9">
        <f t="shared" si="0"/>
        <v>-3.060046189376453E-2</v>
      </c>
    </row>
    <row r="21" spans="1:5" x14ac:dyDescent="0.75">
      <c r="A21" s="26">
        <v>39517</v>
      </c>
      <c r="B21" s="5">
        <v>1288.1400000000001</v>
      </c>
      <c r="C21" s="5">
        <v>30.72</v>
      </c>
      <c r="D21" s="9">
        <f t="shared" si="0"/>
        <v>-4.04369979201602E-3</v>
      </c>
      <c r="E21" s="9">
        <f t="shared" si="0"/>
        <v>-8.5169743895175731E-2</v>
      </c>
    </row>
    <row r="22" spans="1:5" x14ac:dyDescent="0.75">
      <c r="A22" s="26">
        <v>39524</v>
      </c>
      <c r="B22" s="5">
        <v>1329.51</v>
      </c>
      <c r="C22" s="5">
        <v>32.18</v>
      </c>
      <c r="D22" s="9">
        <f t="shared" si="0"/>
        <v>3.2116074339745504E-2</v>
      </c>
      <c r="E22" s="9">
        <f t="shared" si="0"/>
        <v>4.7526041666666741E-2</v>
      </c>
    </row>
    <row r="23" spans="1:5" x14ac:dyDescent="0.75">
      <c r="A23" s="26">
        <v>39531</v>
      </c>
      <c r="B23" s="5">
        <v>1315.22</v>
      </c>
      <c r="C23" s="5">
        <v>32.01</v>
      </c>
      <c r="D23" s="9">
        <f t="shared" si="0"/>
        <v>-1.0748320809922385E-2</v>
      </c>
      <c r="E23" s="9">
        <f t="shared" si="0"/>
        <v>-5.2827843380982564E-3</v>
      </c>
    </row>
    <row r="24" spans="1:5" x14ac:dyDescent="0.75">
      <c r="A24" s="26">
        <v>39538</v>
      </c>
      <c r="B24" s="5">
        <v>1370.4</v>
      </c>
      <c r="C24" s="5">
        <v>33.4</v>
      </c>
      <c r="D24" s="9">
        <f t="shared" si="0"/>
        <v>4.1954958105868245E-2</v>
      </c>
      <c r="E24" s="9">
        <f t="shared" si="0"/>
        <v>4.3423930021868173E-2</v>
      </c>
    </row>
    <row r="25" spans="1:5" x14ac:dyDescent="0.75">
      <c r="A25" s="26">
        <v>39545</v>
      </c>
      <c r="B25" s="5">
        <v>1332.83</v>
      </c>
      <c r="C25" s="5">
        <v>31.76</v>
      </c>
      <c r="D25" s="9">
        <f t="shared" si="0"/>
        <v>-2.7415353181552971E-2</v>
      </c>
      <c r="E25" s="9">
        <f t="shared" si="0"/>
        <v>-4.9101796407185594E-2</v>
      </c>
    </row>
    <row r="26" spans="1:5" x14ac:dyDescent="0.75">
      <c r="A26" s="26">
        <v>39552</v>
      </c>
      <c r="B26" s="5">
        <v>1390.33</v>
      </c>
      <c r="C26" s="5">
        <v>32.67</v>
      </c>
      <c r="D26" s="9">
        <f t="shared" si="0"/>
        <v>4.3141285835402776E-2</v>
      </c>
      <c r="E26" s="9">
        <f t="shared" si="0"/>
        <v>2.86523929471032E-2</v>
      </c>
    </row>
    <row r="27" spans="1:5" x14ac:dyDescent="0.75">
      <c r="A27" s="26">
        <v>39559</v>
      </c>
      <c r="B27" s="5">
        <v>1397.84</v>
      </c>
      <c r="C27" s="5">
        <v>30.92</v>
      </c>
      <c r="D27" s="9">
        <f t="shared" si="0"/>
        <v>5.4015953047117371E-3</v>
      </c>
      <c r="E27" s="9">
        <f t="shared" si="0"/>
        <v>-5.3565962656871746E-2</v>
      </c>
    </row>
    <row r="28" spans="1:5" x14ac:dyDescent="0.75">
      <c r="A28" s="26">
        <v>39566</v>
      </c>
      <c r="B28" s="5">
        <v>1413.9</v>
      </c>
      <c r="C28" s="5">
        <v>34.68</v>
      </c>
      <c r="D28" s="9">
        <f t="shared" si="0"/>
        <v>1.1489154695816461E-2</v>
      </c>
      <c r="E28" s="9">
        <f t="shared" si="0"/>
        <v>0.12160413971539441</v>
      </c>
    </row>
    <row r="29" spans="1:5" x14ac:dyDescent="0.75">
      <c r="A29" s="26">
        <v>39573</v>
      </c>
      <c r="B29" s="5">
        <v>1388.28</v>
      </c>
      <c r="C29" s="5">
        <v>32.5</v>
      </c>
      <c r="D29" s="9">
        <f t="shared" si="0"/>
        <v>-1.8120093358794942E-2</v>
      </c>
      <c r="E29" s="9">
        <f t="shared" si="0"/>
        <v>-6.2860438292964282E-2</v>
      </c>
    </row>
    <row r="30" spans="1:5" x14ac:dyDescent="0.75">
      <c r="A30" s="26">
        <v>39580</v>
      </c>
      <c r="B30" s="5">
        <v>1425.35</v>
      </c>
      <c r="C30" s="5">
        <v>28.81</v>
      </c>
      <c r="D30" s="9">
        <f t="shared" si="0"/>
        <v>2.6702106203359444E-2</v>
      </c>
      <c r="E30" s="9">
        <f t="shared" si="0"/>
        <v>-0.11353846153846159</v>
      </c>
    </row>
    <row r="31" spans="1:5" x14ac:dyDescent="0.75">
      <c r="A31" s="26">
        <v>39587</v>
      </c>
      <c r="B31" s="5">
        <v>1375.93</v>
      </c>
      <c r="C31" s="5">
        <v>27.38</v>
      </c>
      <c r="D31" s="9">
        <f t="shared" si="0"/>
        <v>-3.4672185778931386E-2</v>
      </c>
      <c r="E31" s="9">
        <f t="shared" si="0"/>
        <v>-4.9635543214161748E-2</v>
      </c>
    </row>
    <row r="32" spans="1:5" x14ac:dyDescent="0.75">
      <c r="A32" s="26">
        <v>39595</v>
      </c>
      <c r="B32" s="5">
        <v>1400.38</v>
      </c>
      <c r="C32" s="5">
        <v>28.75</v>
      </c>
      <c r="D32" s="9">
        <f t="shared" si="0"/>
        <v>1.7769799335721981E-2</v>
      </c>
      <c r="E32" s="9">
        <f t="shared" si="0"/>
        <v>5.0036523009496126E-2</v>
      </c>
    </row>
    <row r="33" spans="1:5" x14ac:dyDescent="0.75">
      <c r="A33" s="26">
        <v>39601</v>
      </c>
      <c r="B33" s="5">
        <v>1360.68</v>
      </c>
      <c r="C33" s="5">
        <v>28.25</v>
      </c>
      <c r="D33" s="9">
        <f t="shared" si="0"/>
        <v>-2.8349448006969591E-2</v>
      </c>
      <c r="E33" s="9">
        <f t="shared" si="0"/>
        <v>-1.7391304347826098E-2</v>
      </c>
    </row>
    <row r="34" spans="1:5" x14ac:dyDescent="0.75">
      <c r="A34" s="26">
        <v>39608</v>
      </c>
      <c r="B34" s="5">
        <v>1360.03</v>
      </c>
      <c r="C34" s="5">
        <v>26.93</v>
      </c>
      <c r="D34" s="9">
        <f t="shared" si="0"/>
        <v>-4.7770232530797152E-4</v>
      </c>
      <c r="E34" s="9">
        <f t="shared" si="0"/>
        <v>-4.6725663716814192E-2</v>
      </c>
    </row>
    <row r="35" spans="1:5" x14ac:dyDescent="0.75">
      <c r="A35" s="26">
        <v>39615</v>
      </c>
      <c r="B35" s="5">
        <v>1317.93</v>
      </c>
      <c r="C35" s="5">
        <v>26.09</v>
      </c>
      <c r="D35" s="9">
        <f t="shared" si="0"/>
        <v>-3.0955199517657683E-2</v>
      </c>
      <c r="E35" s="9">
        <f t="shared" si="0"/>
        <v>-3.119197920534722E-2</v>
      </c>
    </row>
    <row r="36" spans="1:5" x14ac:dyDescent="0.75">
      <c r="A36" s="26">
        <v>39622</v>
      </c>
      <c r="B36" s="5">
        <v>1278.3800000000001</v>
      </c>
      <c r="C36" s="5">
        <v>24.44</v>
      </c>
      <c r="D36" s="9">
        <f t="shared" si="0"/>
        <v>-3.0009181064244661E-2</v>
      </c>
      <c r="E36" s="9">
        <f t="shared" si="0"/>
        <v>-6.3242621694135637E-2</v>
      </c>
    </row>
    <row r="37" spans="1:5" x14ac:dyDescent="0.75">
      <c r="A37" s="26">
        <v>39629</v>
      </c>
      <c r="B37" s="5">
        <v>1262.9000000000001</v>
      </c>
      <c r="C37" s="5">
        <v>22.51</v>
      </c>
      <c r="D37" s="9">
        <f t="shared" si="0"/>
        <v>-1.210907554874141E-2</v>
      </c>
      <c r="E37" s="9">
        <f t="shared" si="0"/>
        <v>-7.896890343698848E-2</v>
      </c>
    </row>
    <row r="38" spans="1:5" x14ac:dyDescent="0.75">
      <c r="A38" s="26">
        <v>39636</v>
      </c>
      <c r="B38" s="5">
        <v>1239.49</v>
      </c>
      <c r="C38" s="5">
        <v>21.04</v>
      </c>
      <c r="D38" s="9">
        <f t="shared" si="0"/>
        <v>-1.8536701243170528E-2</v>
      </c>
      <c r="E38" s="9">
        <f t="shared" si="0"/>
        <v>-6.5304309195913013E-2</v>
      </c>
    </row>
    <row r="39" spans="1:5" x14ac:dyDescent="0.75">
      <c r="A39" s="26">
        <v>39643</v>
      </c>
      <c r="B39" s="5">
        <v>1260.68</v>
      </c>
      <c r="C39" s="5">
        <v>21.38</v>
      </c>
      <c r="D39" s="9">
        <f t="shared" si="0"/>
        <v>1.7095740990246133E-2</v>
      </c>
      <c r="E39" s="9">
        <f t="shared" si="0"/>
        <v>1.6159695817490549E-2</v>
      </c>
    </row>
    <row r="40" spans="1:5" x14ac:dyDescent="0.75">
      <c r="A40" s="26">
        <v>39650</v>
      </c>
      <c r="B40" s="5">
        <v>1257.76</v>
      </c>
      <c r="C40" s="5">
        <v>22.52</v>
      </c>
      <c r="D40" s="9">
        <f t="shared" si="0"/>
        <v>-2.3162102992037026E-3</v>
      </c>
      <c r="E40" s="9">
        <f t="shared" si="0"/>
        <v>5.3320860617399379E-2</v>
      </c>
    </row>
    <row r="41" spans="1:5" x14ac:dyDescent="0.75">
      <c r="A41" s="26">
        <v>39657</v>
      </c>
      <c r="B41" s="5">
        <v>1260.31</v>
      </c>
      <c r="C41" s="5">
        <v>21.42</v>
      </c>
      <c r="D41" s="9">
        <f t="shared" si="0"/>
        <v>2.0274138150362386E-3</v>
      </c>
      <c r="E41" s="9">
        <f t="shared" si="0"/>
        <v>-4.8845470692717496E-2</v>
      </c>
    </row>
    <row r="42" spans="1:5" x14ac:dyDescent="0.75">
      <c r="A42" s="26">
        <v>39664</v>
      </c>
      <c r="B42" s="5">
        <v>1296.32</v>
      </c>
      <c r="C42" s="5">
        <v>18.649999999999999</v>
      </c>
      <c r="D42" s="9">
        <f t="shared" si="0"/>
        <v>2.8572335377803793E-2</v>
      </c>
      <c r="E42" s="9">
        <f t="shared" si="0"/>
        <v>-0.12931839402427647</v>
      </c>
    </row>
    <row r="43" spans="1:5" x14ac:dyDescent="0.75">
      <c r="A43" s="26">
        <v>39671</v>
      </c>
      <c r="B43" s="5">
        <v>1298.2</v>
      </c>
      <c r="C43" s="5">
        <v>19.690000000000001</v>
      </c>
      <c r="D43" s="9">
        <f t="shared" si="0"/>
        <v>1.4502591952605393E-3</v>
      </c>
      <c r="E43" s="9">
        <f t="shared" si="0"/>
        <v>5.5764075067024299E-2</v>
      </c>
    </row>
    <row r="44" spans="1:5" x14ac:dyDescent="0.75">
      <c r="A44" s="26">
        <v>39678</v>
      </c>
      <c r="B44" s="5">
        <v>1292.2</v>
      </c>
      <c r="C44" s="5">
        <v>18.440000000000001</v>
      </c>
      <c r="D44" s="9">
        <f t="shared" si="0"/>
        <v>-4.6217840086273387E-3</v>
      </c>
      <c r="E44" s="9">
        <f t="shared" si="0"/>
        <v>-6.3484002031488074E-2</v>
      </c>
    </row>
    <row r="45" spans="1:5" x14ac:dyDescent="0.75">
      <c r="A45" s="26">
        <v>39685</v>
      </c>
      <c r="B45" s="5">
        <v>1282.83</v>
      </c>
      <c r="C45" s="5">
        <v>18.309999999999999</v>
      </c>
      <c r="D45" s="9">
        <f t="shared" si="0"/>
        <v>-7.2511995047207511E-3</v>
      </c>
      <c r="E45" s="9">
        <f t="shared" si="0"/>
        <v>-7.0498915401302487E-3</v>
      </c>
    </row>
    <row r="46" spans="1:5" x14ac:dyDescent="0.75">
      <c r="A46" s="26">
        <v>39693</v>
      </c>
      <c r="B46" s="5">
        <v>1242.31</v>
      </c>
      <c r="C46" s="5">
        <v>18.12</v>
      </c>
      <c r="D46" s="9">
        <f t="shared" si="0"/>
        <v>-3.1586414411886254E-2</v>
      </c>
      <c r="E46" s="9">
        <f t="shared" si="0"/>
        <v>-1.0376843255051726E-2</v>
      </c>
    </row>
    <row r="47" spans="1:5" x14ac:dyDescent="0.75">
      <c r="A47" s="26">
        <v>39699</v>
      </c>
      <c r="B47" s="5">
        <v>1251.7</v>
      </c>
      <c r="C47" s="5">
        <v>18.43</v>
      </c>
      <c r="D47" s="9">
        <f t="shared" si="0"/>
        <v>7.5584998913316159E-3</v>
      </c>
      <c r="E47" s="9">
        <f t="shared" si="0"/>
        <v>1.7108167770419458E-2</v>
      </c>
    </row>
    <row r="48" spans="1:5" x14ac:dyDescent="0.75">
      <c r="A48" s="26">
        <v>39706</v>
      </c>
      <c r="B48" s="5">
        <v>1255.08</v>
      </c>
      <c r="C48" s="5">
        <v>20.79</v>
      </c>
      <c r="D48" s="9">
        <f t="shared" si="0"/>
        <v>2.70032755452565E-3</v>
      </c>
      <c r="E48" s="9">
        <f t="shared" si="0"/>
        <v>0.12805208898535003</v>
      </c>
    </row>
    <row r="49" spans="1:5" x14ac:dyDescent="0.75">
      <c r="A49" s="26">
        <v>39713</v>
      </c>
      <c r="B49" s="5">
        <v>1213.27</v>
      </c>
      <c r="C49" s="5">
        <v>20.64</v>
      </c>
      <c r="D49" s="9">
        <f t="shared" si="0"/>
        <v>-3.331261752238901E-2</v>
      </c>
      <c r="E49" s="9">
        <f t="shared" si="0"/>
        <v>-7.2150072150071187E-3</v>
      </c>
    </row>
    <row r="50" spans="1:5" x14ac:dyDescent="0.75">
      <c r="A50" s="26">
        <v>39720</v>
      </c>
      <c r="B50" s="5">
        <v>1099.23</v>
      </c>
      <c r="C50" s="5">
        <v>18</v>
      </c>
      <c r="D50" s="9">
        <f t="shared" si="0"/>
        <v>-9.399391726491213E-2</v>
      </c>
      <c r="E50" s="9">
        <f t="shared" si="0"/>
        <v>-0.12790697674418605</v>
      </c>
    </row>
    <row r="51" spans="1:5" x14ac:dyDescent="0.75">
      <c r="A51" s="26">
        <v>39727</v>
      </c>
      <c r="B51" s="5">
        <v>899.22</v>
      </c>
      <c r="C51" s="5">
        <v>14.83</v>
      </c>
      <c r="D51" s="9">
        <f t="shared" si="0"/>
        <v>-0.18195464097595593</v>
      </c>
      <c r="E51" s="9">
        <f t="shared" si="0"/>
        <v>-0.17611111111111111</v>
      </c>
    </row>
    <row r="52" spans="1:5" x14ac:dyDescent="0.75">
      <c r="A52" s="26">
        <v>39734</v>
      </c>
      <c r="B52" s="5">
        <v>940.55</v>
      </c>
      <c r="C52" s="5">
        <v>13.98</v>
      </c>
      <c r="D52" s="9">
        <f t="shared" si="0"/>
        <v>4.5962056004092311E-2</v>
      </c>
      <c r="E52" s="9">
        <f t="shared" si="0"/>
        <v>-5.7316250842886052E-2</v>
      </c>
    </row>
    <row r="53" spans="1:5" x14ac:dyDescent="0.75">
      <c r="A53" s="26">
        <v>39741</v>
      </c>
      <c r="B53" s="5">
        <v>876.77</v>
      </c>
      <c r="C53" s="5">
        <v>10.74</v>
      </c>
      <c r="D53" s="9">
        <f t="shared" si="0"/>
        <v>-6.7811386954441555E-2</v>
      </c>
      <c r="E53" s="9">
        <f t="shared" si="0"/>
        <v>-0.23175965665236054</v>
      </c>
    </row>
    <row r="54" spans="1:5" x14ac:dyDescent="0.75">
      <c r="A54" s="26">
        <v>39748</v>
      </c>
      <c r="B54" s="5">
        <v>968.75</v>
      </c>
      <c r="C54" s="5">
        <v>10.72</v>
      </c>
      <c r="D54" s="9">
        <f t="shared" si="0"/>
        <v>0.10490778653466704</v>
      </c>
      <c r="E54" s="9">
        <f t="shared" si="0"/>
        <v>-1.8621973929235924E-3</v>
      </c>
    </row>
    <row r="55" spans="1:5" x14ac:dyDescent="0.75">
      <c r="A55" s="26">
        <v>39755</v>
      </c>
      <c r="B55" s="5">
        <v>930.99</v>
      </c>
      <c r="C55" s="5">
        <v>10.050000000000001</v>
      </c>
      <c r="D55" s="9">
        <f t="shared" si="0"/>
        <v>-3.8978064516129063E-2</v>
      </c>
      <c r="E55" s="9">
        <f t="shared" si="0"/>
        <v>-6.25E-2</v>
      </c>
    </row>
    <row r="56" spans="1:5" x14ac:dyDescent="0.75">
      <c r="A56" s="26">
        <v>39762</v>
      </c>
      <c r="B56" s="5">
        <v>873.29</v>
      </c>
      <c r="C56" s="5">
        <v>9.3800000000000008</v>
      </c>
      <c r="D56" s="9">
        <f t="shared" si="0"/>
        <v>-6.1977035199089148E-2</v>
      </c>
      <c r="E56" s="9">
        <f t="shared" si="0"/>
        <v>-6.6666666666666652E-2</v>
      </c>
    </row>
    <row r="57" spans="1:5" x14ac:dyDescent="0.75">
      <c r="A57" s="26">
        <v>39769</v>
      </c>
      <c r="B57" s="5">
        <v>800.03</v>
      </c>
      <c r="C57" s="5">
        <v>8.19</v>
      </c>
      <c r="D57" s="9">
        <f t="shared" si="0"/>
        <v>-8.3889658647184784E-2</v>
      </c>
      <c r="E57" s="9">
        <f t="shared" si="0"/>
        <v>-0.12686567164179119</v>
      </c>
    </row>
    <row r="58" spans="1:5" x14ac:dyDescent="0.75">
      <c r="A58" s="26">
        <v>39776</v>
      </c>
      <c r="B58" s="5">
        <v>896.24</v>
      </c>
      <c r="C58" s="5">
        <v>10.58</v>
      </c>
      <c r="D58" s="9">
        <f t="shared" si="0"/>
        <v>0.12025799032536288</v>
      </c>
      <c r="E58" s="9">
        <f t="shared" si="0"/>
        <v>0.29181929181929189</v>
      </c>
    </row>
    <row r="59" spans="1:5" x14ac:dyDescent="0.75">
      <c r="A59" s="26">
        <v>39783</v>
      </c>
      <c r="B59" s="5">
        <v>876.07</v>
      </c>
      <c r="C59" s="5">
        <v>10.6</v>
      </c>
      <c r="D59" s="9">
        <f t="shared" si="0"/>
        <v>-2.2505132553780172E-2</v>
      </c>
      <c r="E59" s="9">
        <f t="shared" si="0"/>
        <v>1.890359168241984E-3</v>
      </c>
    </row>
    <row r="60" spans="1:5" x14ac:dyDescent="0.75">
      <c r="A60" s="26">
        <v>39790</v>
      </c>
      <c r="B60" s="5">
        <v>879.73</v>
      </c>
      <c r="C60" s="5">
        <v>10.35</v>
      </c>
      <c r="D60" s="9">
        <f t="shared" si="0"/>
        <v>4.177748353441979E-3</v>
      </c>
      <c r="E60" s="9">
        <f t="shared" si="0"/>
        <v>-2.3584905660377409E-2</v>
      </c>
    </row>
    <row r="61" spans="1:5" x14ac:dyDescent="0.75">
      <c r="A61" s="26">
        <v>39797</v>
      </c>
      <c r="B61" s="5">
        <v>887.88</v>
      </c>
      <c r="C61" s="5">
        <v>9.9600000000000009</v>
      </c>
      <c r="D61" s="9">
        <f t="shared" si="0"/>
        <v>9.2642060632239787E-3</v>
      </c>
      <c r="E61" s="9">
        <f t="shared" si="0"/>
        <v>-3.7681159420289712E-2</v>
      </c>
    </row>
    <row r="62" spans="1:5" x14ac:dyDescent="0.75">
      <c r="A62" s="26">
        <v>39804</v>
      </c>
      <c r="B62" s="5">
        <v>872.8</v>
      </c>
      <c r="C62" s="5">
        <v>8.89</v>
      </c>
      <c r="D62" s="9">
        <f t="shared" si="0"/>
        <v>-1.6984277154570515E-2</v>
      </c>
      <c r="E62" s="9">
        <f t="shared" si="0"/>
        <v>-0.10742971887550201</v>
      </c>
    </row>
    <row r="63" spans="1:5" x14ac:dyDescent="0.75">
      <c r="A63" s="26">
        <v>39811</v>
      </c>
      <c r="B63" s="5">
        <v>931.8</v>
      </c>
      <c r="C63" s="5">
        <v>9.89</v>
      </c>
      <c r="D63" s="9">
        <f t="shared" si="0"/>
        <v>6.759853345554534E-2</v>
      </c>
      <c r="E63" s="9">
        <f t="shared" si="0"/>
        <v>0.11248593925759276</v>
      </c>
    </row>
    <row r="64" spans="1:5" x14ac:dyDescent="0.75">
      <c r="A64" s="26">
        <v>39818</v>
      </c>
      <c r="B64" s="5">
        <v>890.35</v>
      </c>
      <c r="C64" s="5">
        <v>12.57</v>
      </c>
      <c r="D64" s="9">
        <f t="shared" si="0"/>
        <v>-4.4483794805752264E-2</v>
      </c>
      <c r="E64" s="9">
        <f t="shared" si="0"/>
        <v>0.27098078867542963</v>
      </c>
    </row>
    <row r="65" spans="1:5" x14ac:dyDescent="0.75">
      <c r="A65" s="26">
        <v>39825</v>
      </c>
      <c r="B65" s="5">
        <v>850.12</v>
      </c>
      <c r="C65" s="5">
        <v>12.16</v>
      </c>
      <c r="D65" s="9">
        <f t="shared" si="0"/>
        <v>-4.5184478014264062E-2</v>
      </c>
      <c r="E65" s="9">
        <f t="shared" si="0"/>
        <v>-3.2617342879872724E-2</v>
      </c>
    </row>
    <row r="66" spans="1:5" x14ac:dyDescent="0.75">
      <c r="A66" s="26">
        <v>39833</v>
      </c>
      <c r="B66" s="5">
        <v>831.95</v>
      </c>
      <c r="C66" s="5">
        <v>11.37</v>
      </c>
      <c r="D66" s="9">
        <f t="shared" si="0"/>
        <v>-2.1373453159553857E-2</v>
      </c>
      <c r="E66" s="9">
        <f t="shared" si="0"/>
        <v>-6.4967105263157965E-2</v>
      </c>
    </row>
    <row r="67" spans="1:5" x14ac:dyDescent="0.75">
      <c r="A67" s="26">
        <v>39839</v>
      </c>
      <c r="B67" s="5">
        <v>825.88</v>
      </c>
      <c r="C67" s="5">
        <v>10.25</v>
      </c>
      <c r="D67" s="9">
        <f t="shared" si="0"/>
        <v>-7.2961115451650738E-3</v>
      </c>
      <c r="E67" s="9">
        <f t="shared" si="0"/>
        <v>-9.850483729111692E-2</v>
      </c>
    </row>
    <row r="68" spans="1:5" x14ac:dyDescent="0.75">
      <c r="A68" s="26">
        <v>39846</v>
      </c>
      <c r="B68" s="5">
        <v>868.6</v>
      </c>
      <c r="C68" s="5">
        <v>10.88</v>
      </c>
      <c r="D68" s="9">
        <f t="shared" si="0"/>
        <v>5.1726643095849401E-2</v>
      </c>
      <c r="E68" s="9">
        <f t="shared" si="0"/>
        <v>6.1463414634146396E-2</v>
      </c>
    </row>
    <row r="69" spans="1:5" x14ac:dyDescent="0.75">
      <c r="A69" s="26">
        <v>39853</v>
      </c>
      <c r="B69" s="5">
        <v>826.84</v>
      </c>
      <c r="C69" s="5">
        <v>9.9700000000000006</v>
      </c>
      <c r="D69" s="9">
        <f t="shared" ref="D69:E132" si="1">B69/B68-1</f>
        <v>-4.8077365876122435E-2</v>
      </c>
      <c r="E69" s="9">
        <f t="shared" si="1"/>
        <v>-8.3639705882352922E-2</v>
      </c>
    </row>
    <row r="70" spans="1:5" x14ac:dyDescent="0.75">
      <c r="A70" s="26">
        <v>39861</v>
      </c>
      <c r="B70" s="5">
        <v>770.05</v>
      </c>
      <c r="C70" s="5">
        <v>12.84</v>
      </c>
      <c r="D70" s="9">
        <f t="shared" si="1"/>
        <v>-6.8683179333365652E-2</v>
      </c>
      <c r="E70" s="9">
        <f t="shared" si="1"/>
        <v>0.28786359077231682</v>
      </c>
    </row>
    <row r="71" spans="1:5" x14ac:dyDescent="0.75">
      <c r="A71" s="26">
        <v>39867</v>
      </c>
      <c r="B71" s="5">
        <v>735.09</v>
      </c>
      <c r="C71" s="5">
        <v>12.15</v>
      </c>
      <c r="D71" s="9">
        <f t="shared" si="1"/>
        <v>-4.5399649373417228E-2</v>
      </c>
      <c r="E71" s="9">
        <f t="shared" si="1"/>
        <v>-5.3738317757009324E-2</v>
      </c>
    </row>
    <row r="72" spans="1:5" x14ac:dyDescent="0.75">
      <c r="A72" s="26">
        <v>39874</v>
      </c>
      <c r="B72" s="5">
        <v>683.38</v>
      </c>
      <c r="C72" s="5">
        <v>12.08</v>
      </c>
      <c r="D72" s="9">
        <f t="shared" si="1"/>
        <v>-7.0345127807479368E-2</v>
      </c>
      <c r="E72" s="9">
        <f t="shared" si="1"/>
        <v>-5.7613168724279795E-3</v>
      </c>
    </row>
    <row r="73" spans="1:5" x14ac:dyDescent="0.75">
      <c r="A73" s="26">
        <v>39881</v>
      </c>
      <c r="B73" s="5">
        <v>756.55</v>
      </c>
      <c r="C73" s="5">
        <v>14.38</v>
      </c>
      <c r="D73" s="9">
        <f t="shared" si="1"/>
        <v>0.10707073663262023</v>
      </c>
      <c r="E73" s="9">
        <f t="shared" si="1"/>
        <v>0.19039735099337762</v>
      </c>
    </row>
    <row r="74" spans="1:5" x14ac:dyDescent="0.75">
      <c r="A74" s="26">
        <v>39888</v>
      </c>
      <c r="B74" s="5">
        <v>768.54</v>
      </c>
      <c r="C74" s="5">
        <v>15.37</v>
      </c>
      <c r="D74" s="9">
        <f t="shared" si="1"/>
        <v>1.5848258542066063E-2</v>
      </c>
      <c r="E74" s="9">
        <f t="shared" si="1"/>
        <v>6.8845618915159834E-2</v>
      </c>
    </row>
    <row r="75" spans="1:5" x14ac:dyDescent="0.75">
      <c r="A75" s="26">
        <v>39895</v>
      </c>
      <c r="B75" s="5">
        <v>815.94</v>
      </c>
      <c r="C75" s="5">
        <v>17.97</v>
      </c>
      <c r="D75" s="9">
        <f t="shared" si="1"/>
        <v>6.1675384495276875E-2</v>
      </c>
      <c r="E75" s="9">
        <f t="shared" si="1"/>
        <v>0.16916070266753414</v>
      </c>
    </row>
    <row r="76" spans="1:5" x14ac:dyDescent="0.75">
      <c r="A76" s="26">
        <v>39902</v>
      </c>
      <c r="B76" s="5">
        <v>842.5</v>
      </c>
      <c r="C76" s="5">
        <v>18.64</v>
      </c>
      <c r="D76" s="9">
        <f t="shared" si="1"/>
        <v>3.2551413094100035E-2</v>
      </c>
      <c r="E76" s="9">
        <f t="shared" si="1"/>
        <v>3.7284362826933926E-2</v>
      </c>
    </row>
    <row r="77" spans="1:5" x14ac:dyDescent="0.75">
      <c r="A77" s="26">
        <v>39909</v>
      </c>
      <c r="B77" s="5">
        <v>856.56</v>
      </c>
      <c r="C77" s="5">
        <v>18.36</v>
      </c>
      <c r="D77" s="9">
        <f t="shared" si="1"/>
        <v>1.6688427299703212E-2</v>
      </c>
      <c r="E77" s="9">
        <f t="shared" si="1"/>
        <v>-1.5021459227467893E-2</v>
      </c>
    </row>
    <row r="78" spans="1:5" x14ac:dyDescent="0.75">
      <c r="A78" s="26">
        <v>39916</v>
      </c>
      <c r="B78" s="5">
        <v>869.6</v>
      </c>
      <c r="C78" s="5">
        <v>18.48</v>
      </c>
      <c r="D78" s="9">
        <f t="shared" si="1"/>
        <v>1.5223685439432311E-2</v>
      </c>
      <c r="E78" s="9">
        <f t="shared" si="1"/>
        <v>6.5359477124182774E-3</v>
      </c>
    </row>
    <row r="79" spans="1:5" x14ac:dyDescent="0.75">
      <c r="A79" s="26">
        <v>39923</v>
      </c>
      <c r="B79" s="5">
        <v>866.23</v>
      </c>
      <c r="C79" s="5">
        <v>19.739999999999998</v>
      </c>
      <c r="D79" s="9">
        <f t="shared" si="1"/>
        <v>-3.8753449862005684E-3</v>
      </c>
      <c r="E79" s="9">
        <f t="shared" si="1"/>
        <v>6.8181818181818121E-2</v>
      </c>
    </row>
    <row r="80" spans="1:5" x14ac:dyDescent="0.75">
      <c r="A80" s="26">
        <v>39930</v>
      </c>
      <c r="B80" s="5">
        <v>877.52</v>
      </c>
      <c r="C80" s="5">
        <v>20.93</v>
      </c>
      <c r="D80" s="9">
        <f t="shared" si="1"/>
        <v>1.3033489950705857E-2</v>
      </c>
      <c r="E80" s="9">
        <f t="shared" si="1"/>
        <v>6.0283687943262443E-2</v>
      </c>
    </row>
    <row r="81" spans="1:5" x14ac:dyDescent="0.75">
      <c r="A81" s="26">
        <v>39937</v>
      </c>
      <c r="B81" s="5">
        <v>929.23</v>
      </c>
      <c r="C81" s="5">
        <v>22.17</v>
      </c>
      <c r="D81" s="9">
        <f t="shared" si="1"/>
        <v>5.8927431853404988E-2</v>
      </c>
      <c r="E81" s="9">
        <f t="shared" si="1"/>
        <v>5.9245102723363585E-2</v>
      </c>
    </row>
    <row r="82" spans="1:5" x14ac:dyDescent="0.75">
      <c r="A82" s="26">
        <v>39944</v>
      </c>
      <c r="B82" s="5">
        <v>882.88</v>
      </c>
      <c r="C82" s="5">
        <v>19.61</v>
      </c>
      <c r="D82" s="9">
        <f t="shared" si="1"/>
        <v>-4.9880008178814772E-2</v>
      </c>
      <c r="E82" s="9">
        <f t="shared" si="1"/>
        <v>-0.11547135769057293</v>
      </c>
    </row>
    <row r="83" spans="1:5" x14ac:dyDescent="0.75">
      <c r="A83" s="26">
        <v>39951</v>
      </c>
      <c r="B83" s="5">
        <v>887</v>
      </c>
      <c r="C83" s="5">
        <v>18.899999999999999</v>
      </c>
      <c r="D83" s="9">
        <f t="shared" si="1"/>
        <v>4.6665458499457468E-3</v>
      </c>
      <c r="E83" s="9">
        <f t="shared" si="1"/>
        <v>-3.6206017338092811E-2</v>
      </c>
    </row>
    <row r="84" spans="1:5" x14ac:dyDescent="0.75">
      <c r="A84" s="26">
        <v>39959</v>
      </c>
      <c r="B84" s="5">
        <v>919.14</v>
      </c>
      <c r="C84" s="5">
        <v>18.87</v>
      </c>
      <c r="D84" s="9">
        <f t="shared" si="1"/>
        <v>3.623449830890646E-2</v>
      </c>
      <c r="E84" s="9">
        <f t="shared" si="1"/>
        <v>-1.5873015873014706E-3</v>
      </c>
    </row>
    <row r="85" spans="1:5" x14ac:dyDescent="0.75">
      <c r="A85" s="26">
        <v>39965</v>
      </c>
      <c r="B85" s="5">
        <v>940.09</v>
      </c>
      <c r="C85" s="5">
        <v>21.16</v>
      </c>
      <c r="D85" s="9">
        <f t="shared" si="1"/>
        <v>2.2793045673129342E-2</v>
      </c>
      <c r="E85" s="9">
        <f t="shared" si="1"/>
        <v>0.1213566507684154</v>
      </c>
    </row>
    <row r="86" spans="1:5" x14ac:dyDescent="0.75">
      <c r="A86" s="26">
        <v>39972</v>
      </c>
      <c r="B86" s="5">
        <v>946.21</v>
      </c>
      <c r="C86" s="5">
        <v>20.440000000000001</v>
      </c>
      <c r="D86" s="9">
        <f t="shared" si="1"/>
        <v>6.5100149985639622E-3</v>
      </c>
      <c r="E86" s="9">
        <f t="shared" si="1"/>
        <v>-3.4026465028355379E-2</v>
      </c>
    </row>
    <row r="87" spans="1:5" x14ac:dyDescent="0.75">
      <c r="A87" s="26">
        <v>39979</v>
      </c>
      <c r="B87" s="5">
        <v>921.23</v>
      </c>
      <c r="C87" s="5">
        <v>19.27</v>
      </c>
      <c r="D87" s="9">
        <f t="shared" si="1"/>
        <v>-2.6400059183479319E-2</v>
      </c>
      <c r="E87" s="9">
        <f t="shared" si="1"/>
        <v>-5.7240704500978512E-2</v>
      </c>
    </row>
    <row r="88" spans="1:5" x14ac:dyDescent="0.75">
      <c r="A88" s="26">
        <v>39986</v>
      </c>
      <c r="B88" s="5">
        <v>918.9</v>
      </c>
      <c r="C88" s="5">
        <v>19.2</v>
      </c>
      <c r="D88" s="9">
        <f t="shared" si="1"/>
        <v>-2.5292272288136575E-3</v>
      </c>
      <c r="E88" s="9">
        <f t="shared" si="1"/>
        <v>-3.6325895173845435E-3</v>
      </c>
    </row>
    <row r="89" spans="1:5" x14ac:dyDescent="0.75">
      <c r="A89" s="26">
        <v>39993</v>
      </c>
      <c r="B89" s="5">
        <v>896.42</v>
      </c>
      <c r="C89" s="5">
        <v>17.97</v>
      </c>
      <c r="D89" s="9">
        <f t="shared" si="1"/>
        <v>-2.4464033083034131E-2</v>
      </c>
      <c r="E89" s="9">
        <f t="shared" si="1"/>
        <v>-6.4062500000000022E-2</v>
      </c>
    </row>
    <row r="90" spans="1:5" x14ac:dyDescent="0.75">
      <c r="A90" s="26">
        <v>40000</v>
      </c>
      <c r="B90" s="5">
        <v>879.13</v>
      </c>
      <c r="C90" s="5">
        <v>19.25</v>
      </c>
      <c r="D90" s="9">
        <f t="shared" si="1"/>
        <v>-1.9287833827893119E-2</v>
      </c>
      <c r="E90" s="9">
        <f t="shared" si="1"/>
        <v>7.1229827490261632E-2</v>
      </c>
    </row>
    <row r="91" spans="1:5" x14ac:dyDescent="0.75">
      <c r="A91" s="26">
        <v>40007</v>
      </c>
      <c r="B91" s="5">
        <v>940.38</v>
      </c>
      <c r="C91" s="5">
        <v>21.87</v>
      </c>
      <c r="D91" s="9">
        <f t="shared" si="1"/>
        <v>6.9671152161796313E-2</v>
      </c>
      <c r="E91" s="9">
        <f t="shared" si="1"/>
        <v>0.13610389610389606</v>
      </c>
    </row>
    <row r="92" spans="1:5" x14ac:dyDescent="0.75">
      <c r="A92" s="26">
        <v>40014</v>
      </c>
      <c r="B92" s="5">
        <v>979.26</v>
      </c>
      <c r="C92" s="5">
        <v>23.73</v>
      </c>
      <c r="D92" s="9">
        <f t="shared" si="1"/>
        <v>4.134498819626109E-2</v>
      </c>
      <c r="E92" s="9">
        <f t="shared" si="1"/>
        <v>8.5048010973936883E-2</v>
      </c>
    </row>
    <row r="93" spans="1:5" x14ac:dyDescent="0.75">
      <c r="A93" s="26">
        <v>40021</v>
      </c>
      <c r="B93" s="5">
        <v>987.48</v>
      </c>
      <c r="C93" s="5">
        <v>24.19</v>
      </c>
      <c r="D93" s="9">
        <f t="shared" si="1"/>
        <v>8.3940934991728611E-3</v>
      </c>
      <c r="E93" s="9">
        <f t="shared" si="1"/>
        <v>1.9384745048461882E-2</v>
      </c>
    </row>
    <row r="94" spans="1:5" x14ac:dyDescent="0.75">
      <c r="A94" s="26">
        <v>40028</v>
      </c>
      <c r="B94" s="5">
        <v>1010.48</v>
      </c>
      <c r="C94" s="5">
        <v>28.42</v>
      </c>
      <c r="D94" s="9">
        <f t="shared" si="1"/>
        <v>2.3291610969336185E-2</v>
      </c>
      <c r="E94" s="9">
        <f t="shared" si="1"/>
        <v>0.17486564696155438</v>
      </c>
    </row>
    <row r="95" spans="1:5" x14ac:dyDescent="0.75">
      <c r="A95" s="26">
        <v>40035</v>
      </c>
      <c r="B95" s="5">
        <v>1004.09</v>
      </c>
      <c r="C95" s="5">
        <v>28.1</v>
      </c>
      <c r="D95" s="9">
        <f t="shared" si="1"/>
        <v>-6.3237273375029712E-3</v>
      </c>
      <c r="E95" s="9">
        <f t="shared" si="1"/>
        <v>-1.1259676284306797E-2</v>
      </c>
    </row>
    <row r="96" spans="1:5" x14ac:dyDescent="0.75">
      <c r="A96" s="26">
        <v>40042</v>
      </c>
      <c r="B96" s="5">
        <v>1026.1300000000001</v>
      </c>
      <c r="C96" s="5">
        <v>28.78</v>
      </c>
      <c r="D96" s="9">
        <f t="shared" si="1"/>
        <v>2.1950223585535333E-2</v>
      </c>
      <c r="E96" s="9">
        <f t="shared" si="1"/>
        <v>2.4199288256227636E-2</v>
      </c>
    </row>
    <row r="97" spans="1:5" x14ac:dyDescent="0.75">
      <c r="A97" s="26">
        <v>40049</v>
      </c>
      <c r="B97" s="5">
        <v>1028.93</v>
      </c>
      <c r="C97" s="5">
        <v>29.11</v>
      </c>
      <c r="D97" s="9">
        <f t="shared" si="1"/>
        <v>2.7286990927075649E-3</v>
      </c>
      <c r="E97" s="9">
        <f t="shared" si="1"/>
        <v>1.1466296038915802E-2</v>
      </c>
    </row>
    <row r="98" spans="1:5" x14ac:dyDescent="0.75">
      <c r="A98" s="26">
        <v>40056</v>
      </c>
      <c r="B98" s="5">
        <v>1016.4</v>
      </c>
      <c r="C98" s="5">
        <v>27.65</v>
      </c>
      <c r="D98" s="9">
        <f t="shared" si="1"/>
        <v>-1.2177699163208433E-2</v>
      </c>
      <c r="E98" s="9">
        <f t="shared" si="1"/>
        <v>-5.0154586052902794E-2</v>
      </c>
    </row>
    <row r="99" spans="1:5" x14ac:dyDescent="0.75">
      <c r="A99" s="26">
        <v>40064</v>
      </c>
      <c r="B99" s="5">
        <v>1042.73</v>
      </c>
      <c r="C99" s="5">
        <v>28.43</v>
      </c>
      <c r="D99" s="9">
        <f t="shared" si="1"/>
        <v>2.5905155450610007E-2</v>
      </c>
      <c r="E99" s="9">
        <f t="shared" si="1"/>
        <v>2.8209764918625702E-2</v>
      </c>
    </row>
    <row r="100" spans="1:5" x14ac:dyDescent="0.75">
      <c r="A100" s="26">
        <v>40070</v>
      </c>
      <c r="B100" s="5">
        <v>1068.3</v>
      </c>
      <c r="C100" s="5">
        <v>28.6</v>
      </c>
      <c r="D100" s="9">
        <f t="shared" si="1"/>
        <v>2.4522167771139136E-2</v>
      </c>
      <c r="E100" s="9">
        <f t="shared" si="1"/>
        <v>5.9795990151250145E-3</v>
      </c>
    </row>
    <row r="101" spans="1:5" x14ac:dyDescent="0.75">
      <c r="A101" s="26">
        <v>40077</v>
      </c>
      <c r="B101" s="5">
        <v>1044.3800000000001</v>
      </c>
      <c r="C101" s="5">
        <v>28.77</v>
      </c>
      <c r="D101" s="9">
        <f t="shared" si="1"/>
        <v>-2.2390714218852192E-2</v>
      </c>
      <c r="E101" s="9">
        <f t="shared" si="1"/>
        <v>5.9440559440557816E-3</v>
      </c>
    </row>
    <row r="102" spans="1:5" x14ac:dyDescent="0.75">
      <c r="A102" s="26">
        <v>40084</v>
      </c>
      <c r="B102" s="5">
        <v>1025.21</v>
      </c>
      <c r="C102" s="5">
        <v>29.21</v>
      </c>
      <c r="D102" s="9">
        <f t="shared" si="1"/>
        <v>-1.835538788563551E-2</v>
      </c>
      <c r="E102" s="9">
        <f t="shared" si="1"/>
        <v>1.529370872436564E-2</v>
      </c>
    </row>
    <row r="103" spans="1:5" x14ac:dyDescent="0.75">
      <c r="A103" s="26">
        <v>40091</v>
      </c>
      <c r="B103" s="5">
        <v>1071.49</v>
      </c>
      <c r="C103" s="5">
        <v>31.67</v>
      </c>
      <c r="D103" s="9">
        <f t="shared" si="1"/>
        <v>4.5141970913276319E-2</v>
      </c>
      <c r="E103" s="9">
        <f t="shared" si="1"/>
        <v>8.4217733652858673E-2</v>
      </c>
    </row>
    <row r="104" spans="1:5" x14ac:dyDescent="0.75">
      <c r="A104" s="26">
        <v>40098</v>
      </c>
      <c r="B104" s="5">
        <v>1087.68</v>
      </c>
      <c r="C104" s="5">
        <v>33.74</v>
      </c>
      <c r="D104" s="9">
        <f t="shared" si="1"/>
        <v>1.5109800371445381E-2</v>
      </c>
      <c r="E104" s="9">
        <f t="shared" si="1"/>
        <v>6.5361540890432668E-2</v>
      </c>
    </row>
    <row r="105" spans="1:5" x14ac:dyDescent="0.75">
      <c r="A105" s="26">
        <v>40105</v>
      </c>
      <c r="B105" s="5">
        <v>1079.5999999999999</v>
      </c>
      <c r="C105" s="5">
        <v>33.36</v>
      </c>
      <c r="D105" s="9">
        <f t="shared" si="1"/>
        <v>-7.4286554869080756E-3</v>
      </c>
      <c r="E105" s="9">
        <f t="shared" si="1"/>
        <v>-1.126259632483706E-2</v>
      </c>
    </row>
    <row r="106" spans="1:5" x14ac:dyDescent="0.75">
      <c r="A106" s="26">
        <v>40112</v>
      </c>
      <c r="B106" s="5">
        <v>1036.19</v>
      </c>
      <c r="C106" s="5">
        <v>32.06</v>
      </c>
      <c r="D106" s="9">
        <f t="shared" si="1"/>
        <v>-4.0209336791404038E-2</v>
      </c>
      <c r="E106" s="9">
        <f t="shared" si="1"/>
        <v>-3.896882494004783E-2</v>
      </c>
    </row>
    <row r="107" spans="1:5" x14ac:dyDescent="0.75">
      <c r="A107" s="26">
        <v>40119</v>
      </c>
      <c r="B107" s="5">
        <v>1069.3</v>
      </c>
      <c r="C107" s="5">
        <v>28.25</v>
      </c>
      <c r="D107" s="9">
        <f t="shared" si="1"/>
        <v>3.1953599243381925E-2</v>
      </c>
      <c r="E107" s="9">
        <f t="shared" si="1"/>
        <v>-0.11883967560823461</v>
      </c>
    </row>
    <row r="108" spans="1:5" x14ac:dyDescent="0.75">
      <c r="A108" s="26">
        <v>40126</v>
      </c>
      <c r="B108" s="5">
        <v>1093.48</v>
      </c>
      <c r="C108" s="5">
        <v>27.49</v>
      </c>
      <c r="D108" s="9">
        <f t="shared" si="1"/>
        <v>2.2612924343028196E-2</v>
      </c>
      <c r="E108" s="9">
        <f t="shared" si="1"/>
        <v>-2.6902654867256737E-2</v>
      </c>
    </row>
    <row r="109" spans="1:5" x14ac:dyDescent="0.75">
      <c r="A109" s="26">
        <v>40133</v>
      </c>
      <c r="B109" s="5">
        <v>1091.3800000000001</v>
      </c>
      <c r="C109" s="5">
        <v>26.36</v>
      </c>
      <c r="D109" s="9">
        <f t="shared" si="1"/>
        <v>-1.9204740827448719E-3</v>
      </c>
      <c r="E109" s="9">
        <f t="shared" si="1"/>
        <v>-4.110585667515454E-2</v>
      </c>
    </row>
    <row r="110" spans="1:5" x14ac:dyDescent="0.75">
      <c r="A110" s="26">
        <v>40140</v>
      </c>
      <c r="B110" s="5">
        <v>1091.49</v>
      </c>
      <c r="C110" s="5">
        <v>25.9</v>
      </c>
      <c r="D110" s="9">
        <f t="shared" si="1"/>
        <v>1.0078982572503392E-4</v>
      </c>
      <c r="E110" s="9">
        <f t="shared" si="1"/>
        <v>-1.7450682852807264E-2</v>
      </c>
    </row>
    <row r="111" spans="1:5" x14ac:dyDescent="0.75">
      <c r="A111" s="26">
        <v>40147</v>
      </c>
      <c r="B111" s="5">
        <v>1105.98</v>
      </c>
      <c r="C111" s="5">
        <v>26.2</v>
      </c>
      <c r="D111" s="9">
        <f t="shared" si="1"/>
        <v>1.3275430833081359E-2</v>
      </c>
      <c r="E111" s="9">
        <f t="shared" si="1"/>
        <v>1.158301158301156E-2</v>
      </c>
    </row>
    <row r="112" spans="1:5" x14ac:dyDescent="0.75">
      <c r="A112" s="26">
        <v>40154</v>
      </c>
      <c r="B112" s="5">
        <v>1106.4100000000001</v>
      </c>
      <c r="C112" s="5">
        <v>26.67</v>
      </c>
      <c r="D112" s="9">
        <f t="shared" si="1"/>
        <v>3.887954574224306E-4</v>
      </c>
      <c r="E112" s="9">
        <f t="shared" si="1"/>
        <v>1.793893129771007E-2</v>
      </c>
    </row>
    <row r="113" spans="1:5" x14ac:dyDescent="0.75">
      <c r="A113" s="26">
        <v>40161</v>
      </c>
      <c r="B113" s="5">
        <v>1102.47</v>
      </c>
      <c r="C113" s="5">
        <v>26.99</v>
      </c>
      <c r="D113" s="9">
        <f t="shared" si="1"/>
        <v>-3.5610668739437523E-3</v>
      </c>
      <c r="E113" s="9">
        <f t="shared" si="1"/>
        <v>1.1998500187476502E-2</v>
      </c>
    </row>
    <row r="114" spans="1:5" x14ac:dyDescent="0.75">
      <c r="A114" s="26">
        <v>40168</v>
      </c>
      <c r="B114" s="5">
        <v>1126.48</v>
      </c>
      <c r="C114" s="5">
        <v>28.41</v>
      </c>
      <c r="D114" s="9">
        <f t="shared" si="1"/>
        <v>2.1778370386495771E-2</v>
      </c>
      <c r="E114" s="9">
        <f t="shared" si="1"/>
        <v>5.2612078547610297E-2</v>
      </c>
    </row>
    <row r="115" spans="1:5" x14ac:dyDescent="0.75">
      <c r="A115" s="26">
        <v>40175</v>
      </c>
      <c r="B115" s="5">
        <v>1115.0999999999999</v>
      </c>
      <c r="C115" s="5">
        <v>27.45</v>
      </c>
      <c r="D115" s="9">
        <f t="shared" si="1"/>
        <v>-1.0102265464100646E-2</v>
      </c>
      <c r="E115" s="9">
        <f t="shared" si="1"/>
        <v>-3.3790918690601912E-2</v>
      </c>
    </row>
    <row r="116" spans="1:5" x14ac:dyDescent="0.75">
      <c r="A116" s="26">
        <v>40182</v>
      </c>
      <c r="B116" s="5">
        <v>1144.98</v>
      </c>
      <c r="C116" s="5">
        <v>27.96</v>
      </c>
      <c r="D116" s="9">
        <f t="shared" si="1"/>
        <v>2.6795803066989698E-2</v>
      </c>
      <c r="E116" s="9">
        <f t="shared" si="1"/>
        <v>1.8579234972677661E-2</v>
      </c>
    </row>
    <row r="117" spans="1:5" x14ac:dyDescent="0.75">
      <c r="A117" s="26">
        <v>40189</v>
      </c>
      <c r="B117" s="5">
        <v>1136.03</v>
      </c>
      <c r="C117" s="5">
        <v>27.95</v>
      </c>
      <c r="D117" s="9">
        <f t="shared" si="1"/>
        <v>-7.8167304232388268E-3</v>
      </c>
      <c r="E117" s="9">
        <f t="shared" si="1"/>
        <v>-3.5765379113028573E-4</v>
      </c>
    </row>
    <row r="118" spans="1:5" x14ac:dyDescent="0.75">
      <c r="A118" s="26">
        <v>40197</v>
      </c>
      <c r="B118" s="5">
        <v>1091.76</v>
      </c>
      <c r="C118" s="5">
        <v>28.45</v>
      </c>
      <c r="D118" s="9">
        <f t="shared" si="1"/>
        <v>-3.8969041310528807E-2</v>
      </c>
      <c r="E118" s="9">
        <f t="shared" si="1"/>
        <v>1.7889087656529412E-2</v>
      </c>
    </row>
    <row r="119" spans="1:5" x14ac:dyDescent="0.75">
      <c r="A119" s="26">
        <v>40203</v>
      </c>
      <c r="B119" s="5">
        <v>1073.8699999999999</v>
      </c>
      <c r="C119" s="5">
        <v>27.22</v>
      </c>
      <c r="D119" s="9">
        <f t="shared" si="1"/>
        <v>-1.6386385286143557E-2</v>
      </c>
      <c r="E119" s="9">
        <f t="shared" si="1"/>
        <v>-4.3233743409490377E-2</v>
      </c>
    </row>
    <row r="120" spans="1:5" x14ac:dyDescent="0.75">
      <c r="A120" s="26">
        <v>40210</v>
      </c>
      <c r="B120" s="5">
        <v>1066.19</v>
      </c>
      <c r="C120" s="5">
        <v>27.38</v>
      </c>
      <c r="D120" s="9">
        <f t="shared" si="1"/>
        <v>-7.1517036512798171E-3</v>
      </c>
      <c r="E120" s="9">
        <f t="shared" si="1"/>
        <v>5.8780308596619868E-3</v>
      </c>
    </row>
    <row r="121" spans="1:5" x14ac:dyDescent="0.75">
      <c r="A121" s="26">
        <v>40217</v>
      </c>
      <c r="B121" s="5">
        <v>1075.51</v>
      </c>
      <c r="C121" s="5">
        <v>29.75</v>
      </c>
      <c r="D121" s="9">
        <f t="shared" si="1"/>
        <v>8.741406315947442E-3</v>
      </c>
      <c r="E121" s="9">
        <f t="shared" si="1"/>
        <v>8.6559532505478431E-2</v>
      </c>
    </row>
    <row r="122" spans="1:5" x14ac:dyDescent="0.75">
      <c r="A122" s="26">
        <v>40225</v>
      </c>
      <c r="B122" s="5">
        <v>1109.17</v>
      </c>
      <c r="C122" s="5">
        <v>33.659999999999997</v>
      </c>
      <c r="D122" s="9">
        <f t="shared" si="1"/>
        <v>3.1296780132216373E-2</v>
      </c>
      <c r="E122" s="9">
        <f t="shared" si="1"/>
        <v>0.13142857142857123</v>
      </c>
    </row>
    <row r="123" spans="1:5" x14ac:dyDescent="0.75">
      <c r="A123" s="26">
        <v>40231</v>
      </c>
      <c r="B123" s="5">
        <v>1104.49</v>
      </c>
      <c r="C123" s="5">
        <v>35.49</v>
      </c>
      <c r="D123" s="9">
        <f t="shared" si="1"/>
        <v>-4.2193712415590223E-3</v>
      </c>
      <c r="E123" s="9">
        <f t="shared" si="1"/>
        <v>5.4367201426025025E-2</v>
      </c>
    </row>
    <row r="124" spans="1:5" x14ac:dyDescent="0.75">
      <c r="A124" s="26">
        <v>40238</v>
      </c>
      <c r="B124" s="5">
        <v>1138.7</v>
      </c>
      <c r="C124" s="5">
        <v>36.11</v>
      </c>
      <c r="D124" s="9">
        <f t="shared" si="1"/>
        <v>3.0973571512643794E-2</v>
      </c>
      <c r="E124" s="9">
        <f t="shared" si="1"/>
        <v>1.7469709777401921E-2</v>
      </c>
    </row>
    <row r="125" spans="1:5" x14ac:dyDescent="0.75">
      <c r="A125" s="26">
        <v>40245</v>
      </c>
      <c r="B125" s="5">
        <v>1149.99</v>
      </c>
      <c r="C125" s="5">
        <v>36.299999999999997</v>
      </c>
      <c r="D125" s="9">
        <f t="shared" si="1"/>
        <v>9.9148151400720863E-3</v>
      </c>
      <c r="E125" s="9">
        <f t="shared" si="1"/>
        <v>5.2617003600110568E-3</v>
      </c>
    </row>
    <row r="126" spans="1:5" x14ac:dyDescent="0.75">
      <c r="A126" s="26">
        <v>40252</v>
      </c>
      <c r="B126" s="5">
        <v>1159.9000000000001</v>
      </c>
      <c r="C126" s="5">
        <v>35.83</v>
      </c>
      <c r="D126" s="9">
        <f t="shared" si="1"/>
        <v>8.6174662388369683E-3</v>
      </c>
      <c r="E126" s="9">
        <f t="shared" si="1"/>
        <v>-1.2947658402203799E-2</v>
      </c>
    </row>
    <row r="127" spans="1:5" x14ac:dyDescent="0.75">
      <c r="A127" s="26">
        <v>40259</v>
      </c>
      <c r="B127" s="5">
        <v>1166.5899999999999</v>
      </c>
      <c r="C127" s="5">
        <v>35.409999999999997</v>
      </c>
      <c r="D127" s="9">
        <f t="shared" si="1"/>
        <v>5.7677385981549367E-3</v>
      </c>
      <c r="E127" s="9">
        <f t="shared" si="1"/>
        <v>-1.1722020653084031E-2</v>
      </c>
    </row>
    <row r="128" spans="1:5" x14ac:dyDescent="0.75">
      <c r="A128" s="26">
        <v>40266</v>
      </c>
      <c r="B128" s="5">
        <v>1178.0999999999999</v>
      </c>
      <c r="C128" s="5">
        <v>36.909999999999997</v>
      </c>
      <c r="D128" s="9">
        <f t="shared" si="1"/>
        <v>9.8663626466881649E-3</v>
      </c>
      <c r="E128" s="9">
        <f t="shared" si="1"/>
        <v>4.2360914995763999E-2</v>
      </c>
    </row>
    <row r="129" spans="1:5" x14ac:dyDescent="0.75">
      <c r="A129" s="26">
        <v>40273</v>
      </c>
      <c r="B129" s="5">
        <v>1194.3699999999999</v>
      </c>
      <c r="C129" s="5">
        <v>38.799999999999997</v>
      </c>
      <c r="D129" s="9">
        <f t="shared" si="1"/>
        <v>1.3810372633902057E-2</v>
      </c>
      <c r="E129" s="9">
        <f t="shared" si="1"/>
        <v>5.1205635329179211E-2</v>
      </c>
    </row>
    <row r="130" spans="1:5" x14ac:dyDescent="0.75">
      <c r="A130" s="26">
        <v>40280</v>
      </c>
      <c r="B130" s="5">
        <v>1192.1300000000001</v>
      </c>
      <c r="C130" s="5">
        <v>39.11</v>
      </c>
      <c r="D130" s="9">
        <f t="shared" si="1"/>
        <v>-1.8754657267009422E-3</v>
      </c>
      <c r="E130" s="9">
        <f t="shared" si="1"/>
        <v>7.9896907216494562E-3</v>
      </c>
    </row>
    <row r="131" spans="1:5" x14ac:dyDescent="0.75">
      <c r="A131" s="26">
        <v>40287</v>
      </c>
      <c r="B131" s="5">
        <v>1217.28</v>
      </c>
      <c r="C131" s="5">
        <v>40.200000000000003</v>
      </c>
      <c r="D131" s="9">
        <f t="shared" si="1"/>
        <v>2.1096692474813938E-2</v>
      </c>
      <c r="E131" s="9">
        <f t="shared" si="1"/>
        <v>2.7870109946305455E-2</v>
      </c>
    </row>
    <row r="132" spans="1:5" x14ac:dyDescent="0.75">
      <c r="A132" s="26">
        <v>40294</v>
      </c>
      <c r="B132" s="5">
        <v>1186.69</v>
      </c>
      <c r="C132" s="5">
        <v>39.020000000000003</v>
      </c>
      <c r="D132" s="9">
        <f t="shared" si="1"/>
        <v>-2.5129797581493141E-2</v>
      </c>
      <c r="E132" s="9">
        <f t="shared" si="1"/>
        <v>-2.935323383084576E-2</v>
      </c>
    </row>
    <row r="133" spans="1:5" x14ac:dyDescent="0.75">
      <c r="A133" s="26">
        <v>40301</v>
      </c>
      <c r="B133" s="5">
        <v>1110.8800000000001</v>
      </c>
      <c r="C133" s="5">
        <v>36.68</v>
      </c>
      <c r="D133" s="9">
        <f t="shared" ref="D133:E162" si="2">B133/B132-1</f>
        <v>-6.3883575322957076E-2</v>
      </c>
      <c r="E133" s="9">
        <f t="shared" si="2"/>
        <v>-5.9969246540235832E-2</v>
      </c>
    </row>
    <row r="134" spans="1:5" x14ac:dyDescent="0.75">
      <c r="A134" s="26">
        <v>40308</v>
      </c>
      <c r="B134" s="5">
        <v>1135.68</v>
      </c>
      <c r="C134" s="5">
        <v>40.83</v>
      </c>
      <c r="D134" s="9">
        <f t="shared" si="2"/>
        <v>2.2324643525853283E-2</v>
      </c>
      <c r="E134" s="9">
        <f t="shared" si="2"/>
        <v>0.11314067611777534</v>
      </c>
    </row>
    <row r="135" spans="1:5" x14ac:dyDescent="0.75">
      <c r="A135" s="26">
        <v>40315</v>
      </c>
      <c r="B135" s="5">
        <v>1087.69</v>
      </c>
      <c r="C135" s="5">
        <v>39.24</v>
      </c>
      <c r="D135" s="9">
        <f t="shared" si="2"/>
        <v>-4.2256621583544707E-2</v>
      </c>
      <c r="E135" s="9">
        <f t="shared" si="2"/>
        <v>-3.8941954445260718E-2</v>
      </c>
    </row>
    <row r="136" spans="1:5" x14ac:dyDescent="0.75">
      <c r="A136" s="26">
        <v>40322</v>
      </c>
      <c r="B136" s="5">
        <v>1089.4100000000001</v>
      </c>
      <c r="C136" s="5">
        <v>40.43</v>
      </c>
      <c r="D136" s="9">
        <f t="shared" si="2"/>
        <v>1.5813329165479395E-3</v>
      </c>
      <c r="E136" s="9">
        <f t="shared" si="2"/>
        <v>3.0326197757390316E-2</v>
      </c>
    </row>
    <row r="137" spans="1:5" x14ac:dyDescent="0.75">
      <c r="A137" s="26">
        <v>40330</v>
      </c>
      <c r="B137" s="5">
        <v>1064.8800000000001</v>
      </c>
      <c r="C137" s="5">
        <v>38.61</v>
      </c>
      <c r="D137" s="9">
        <f t="shared" si="2"/>
        <v>-2.2516775135164924E-2</v>
      </c>
      <c r="E137" s="9">
        <f t="shared" si="2"/>
        <v>-4.5016077170418001E-2</v>
      </c>
    </row>
    <row r="138" spans="1:5" x14ac:dyDescent="0.75">
      <c r="A138" s="26">
        <v>40336</v>
      </c>
      <c r="B138" s="5">
        <v>1091.5999999999999</v>
      </c>
      <c r="C138" s="5">
        <v>39.380000000000003</v>
      </c>
      <c r="D138" s="9">
        <f t="shared" si="2"/>
        <v>2.5092029148824135E-2</v>
      </c>
      <c r="E138" s="9">
        <f t="shared" si="2"/>
        <v>1.9943019943019946E-2</v>
      </c>
    </row>
    <row r="139" spans="1:5" x14ac:dyDescent="0.75">
      <c r="A139" s="26">
        <v>40343</v>
      </c>
      <c r="B139" s="5">
        <v>1117.51</v>
      </c>
      <c r="C139" s="5">
        <v>40.36</v>
      </c>
      <c r="D139" s="9">
        <f t="shared" si="2"/>
        <v>2.3735800659582251E-2</v>
      </c>
      <c r="E139" s="9">
        <f t="shared" si="2"/>
        <v>2.488572879634332E-2</v>
      </c>
    </row>
    <row r="140" spans="1:5" x14ac:dyDescent="0.75">
      <c r="A140" s="26">
        <v>40350</v>
      </c>
      <c r="B140" s="5">
        <v>1076.76</v>
      </c>
      <c r="C140" s="5">
        <v>38.69</v>
      </c>
      <c r="D140" s="9">
        <f t="shared" si="2"/>
        <v>-3.6464998076079835E-2</v>
      </c>
      <c r="E140" s="9">
        <f t="shared" si="2"/>
        <v>-4.1377601585728452E-2</v>
      </c>
    </row>
    <row r="141" spans="1:5" x14ac:dyDescent="0.75">
      <c r="A141" s="26">
        <v>40357</v>
      </c>
      <c r="B141" s="5">
        <v>1022.58</v>
      </c>
      <c r="C141" s="5">
        <v>35.020000000000003</v>
      </c>
      <c r="D141" s="9">
        <f t="shared" si="2"/>
        <v>-5.0317619525242385E-2</v>
      </c>
      <c r="E141" s="9">
        <f t="shared" si="2"/>
        <v>-9.485655208064081E-2</v>
      </c>
    </row>
    <row r="142" spans="1:5" x14ac:dyDescent="0.75">
      <c r="A142" s="26">
        <v>40365</v>
      </c>
      <c r="B142" s="5">
        <v>1077.96</v>
      </c>
      <c r="C142" s="5">
        <v>36.659999999999997</v>
      </c>
      <c r="D142" s="9">
        <f t="shared" si="2"/>
        <v>5.4157131960335558E-2</v>
      </c>
      <c r="E142" s="9">
        <f t="shared" si="2"/>
        <v>4.6830382638492152E-2</v>
      </c>
    </row>
    <row r="143" spans="1:5" x14ac:dyDescent="0.75">
      <c r="A143" s="26">
        <v>40371</v>
      </c>
      <c r="B143" s="5">
        <v>1064.8800000000001</v>
      </c>
      <c r="C143" s="5">
        <v>37.21</v>
      </c>
      <c r="D143" s="9">
        <f t="shared" si="2"/>
        <v>-1.2134030947344887E-2</v>
      </c>
      <c r="E143" s="9">
        <f t="shared" si="2"/>
        <v>1.5002727768685276E-2</v>
      </c>
    </row>
    <row r="144" spans="1:5" x14ac:dyDescent="0.75">
      <c r="A144" s="26">
        <v>40378</v>
      </c>
      <c r="B144" s="5">
        <v>1102.6600000000001</v>
      </c>
      <c r="C144" s="5">
        <v>38.770000000000003</v>
      </c>
      <c r="D144" s="9">
        <f t="shared" si="2"/>
        <v>3.5478175944707369E-2</v>
      </c>
      <c r="E144" s="9">
        <f t="shared" si="2"/>
        <v>4.1924213920988995E-2</v>
      </c>
    </row>
    <row r="145" spans="1:5" x14ac:dyDescent="0.75">
      <c r="A145" s="26">
        <v>40385</v>
      </c>
      <c r="B145" s="5">
        <v>1101.5999999999999</v>
      </c>
      <c r="C145" s="5">
        <v>37.97</v>
      </c>
      <c r="D145" s="9">
        <f t="shared" si="2"/>
        <v>-9.6131173707236783E-4</v>
      </c>
      <c r="E145" s="9">
        <f t="shared" si="2"/>
        <v>-2.0634511220015583E-2</v>
      </c>
    </row>
    <row r="146" spans="1:5" x14ac:dyDescent="0.75">
      <c r="A146" s="26">
        <v>40392</v>
      </c>
      <c r="B146" s="5">
        <v>1121.6400000000001</v>
      </c>
      <c r="C146" s="5">
        <v>36.479999999999997</v>
      </c>
      <c r="D146" s="9">
        <f t="shared" si="2"/>
        <v>1.8191721132897687E-2</v>
      </c>
      <c r="E146" s="9">
        <f t="shared" si="2"/>
        <v>-3.9241506452462493E-2</v>
      </c>
    </row>
    <row r="147" spans="1:5" x14ac:dyDescent="0.75">
      <c r="A147" s="26">
        <v>40399</v>
      </c>
      <c r="B147" s="5">
        <v>1079.25</v>
      </c>
      <c r="C147" s="5">
        <v>36.42</v>
      </c>
      <c r="D147" s="9">
        <f t="shared" si="2"/>
        <v>-3.7792874719161262E-2</v>
      </c>
      <c r="E147" s="9">
        <f t="shared" si="2"/>
        <v>-1.6447368421050879E-3</v>
      </c>
    </row>
    <row r="148" spans="1:5" x14ac:dyDescent="0.75">
      <c r="A148" s="26">
        <v>40406</v>
      </c>
      <c r="B148" s="5">
        <v>1071.69</v>
      </c>
      <c r="C148" s="5">
        <v>36.72</v>
      </c>
      <c r="D148" s="9">
        <f t="shared" si="2"/>
        <v>-7.0048644892285461E-3</v>
      </c>
      <c r="E148" s="9">
        <f t="shared" si="2"/>
        <v>8.2372322899504358E-3</v>
      </c>
    </row>
    <row r="149" spans="1:5" x14ac:dyDescent="0.75">
      <c r="A149" s="26">
        <v>40413</v>
      </c>
      <c r="B149" s="5">
        <v>1064.5899999999999</v>
      </c>
      <c r="C149" s="5">
        <v>35.700000000000003</v>
      </c>
      <c r="D149" s="9">
        <f t="shared" si="2"/>
        <v>-6.6250501544291573E-3</v>
      </c>
      <c r="E149" s="9">
        <f t="shared" si="2"/>
        <v>-2.7777777777777679E-2</v>
      </c>
    </row>
    <row r="150" spans="1:5" x14ac:dyDescent="0.75">
      <c r="A150" s="26">
        <v>40420</v>
      </c>
      <c r="B150" s="5">
        <v>1104.51</v>
      </c>
      <c r="C150" s="5">
        <v>36.659999999999997</v>
      </c>
      <c r="D150" s="9">
        <f t="shared" si="2"/>
        <v>3.7498003926394352E-2</v>
      </c>
      <c r="E150" s="9">
        <f t="shared" si="2"/>
        <v>2.6890756302520913E-2</v>
      </c>
    </row>
    <row r="151" spans="1:5" x14ac:dyDescent="0.75">
      <c r="A151" s="26">
        <v>40428</v>
      </c>
      <c r="B151" s="5">
        <v>1109.55</v>
      </c>
      <c r="C151" s="5">
        <v>35.47</v>
      </c>
      <c r="D151" s="9">
        <f t="shared" si="2"/>
        <v>4.5631094331421984E-3</v>
      </c>
      <c r="E151" s="9">
        <f t="shared" si="2"/>
        <v>-3.2460447354064281E-2</v>
      </c>
    </row>
    <row r="152" spans="1:5" x14ac:dyDescent="0.75">
      <c r="A152" s="26">
        <v>40434</v>
      </c>
      <c r="B152" s="5">
        <v>1125.5899999999999</v>
      </c>
      <c r="C152" s="5">
        <v>37.090000000000003</v>
      </c>
      <c r="D152" s="9">
        <f t="shared" si="2"/>
        <v>1.4456311117119425E-2</v>
      </c>
      <c r="E152" s="9">
        <f t="shared" si="2"/>
        <v>4.5672399210600734E-2</v>
      </c>
    </row>
    <row r="153" spans="1:5" x14ac:dyDescent="0.75">
      <c r="A153" s="26">
        <v>40441</v>
      </c>
      <c r="B153" s="5">
        <v>1148.67</v>
      </c>
      <c r="C153" s="5">
        <v>37.07</v>
      </c>
      <c r="D153" s="9">
        <f t="shared" si="2"/>
        <v>2.0504801926101157E-2</v>
      </c>
      <c r="E153" s="9">
        <f t="shared" si="2"/>
        <v>-5.3922890266921986E-4</v>
      </c>
    </row>
    <row r="154" spans="1:5" x14ac:dyDescent="0.75">
      <c r="A154" s="26">
        <v>40448</v>
      </c>
      <c r="B154" s="5">
        <v>1146.24</v>
      </c>
      <c r="C154" s="5">
        <v>37.07</v>
      </c>
      <c r="D154" s="9">
        <f t="shared" si="2"/>
        <v>-2.1154900885372863E-3</v>
      </c>
      <c r="E154" s="9">
        <f t="shared" si="2"/>
        <v>0</v>
      </c>
    </row>
    <row r="155" spans="1:5" x14ac:dyDescent="0.75">
      <c r="A155" s="26">
        <v>40455</v>
      </c>
      <c r="B155" s="5">
        <v>1165.1500000000001</v>
      </c>
      <c r="C155" s="5">
        <v>34.57</v>
      </c>
      <c r="D155" s="9">
        <f t="shared" si="2"/>
        <v>1.6497417643774437E-2</v>
      </c>
      <c r="E155" s="9">
        <f t="shared" si="2"/>
        <v>-6.7439978419206903E-2</v>
      </c>
    </row>
    <row r="156" spans="1:5" x14ac:dyDescent="0.75">
      <c r="A156" s="26">
        <v>40462</v>
      </c>
      <c r="B156" s="5">
        <v>1176.19</v>
      </c>
      <c r="C156" s="5">
        <v>38.299999999999997</v>
      </c>
      <c r="D156" s="9">
        <f t="shared" si="2"/>
        <v>9.4751748701884519E-3</v>
      </c>
      <c r="E156" s="9">
        <f t="shared" si="2"/>
        <v>0.10789702053803873</v>
      </c>
    </row>
    <row r="157" spans="1:5" x14ac:dyDescent="0.75">
      <c r="A157" s="26">
        <v>40469</v>
      </c>
      <c r="B157" s="5">
        <v>1183.08</v>
      </c>
      <c r="C157" s="5">
        <v>39.89</v>
      </c>
      <c r="D157" s="9">
        <f t="shared" si="2"/>
        <v>5.8578971084601861E-3</v>
      </c>
      <c r="E157" s="9">
        <f t="shared" si="2"/>
        <v>4.1514360313316123E-2</v>
      </c>
    </row>
    <row r="158" spans="1:5" x14ac:dyDescent="0.75">
      <c r="A158" s="26">
        <v>40476</v>
      </c>
      <c r="B158" s="5">
        <v>1183.26</v>
      </c>
      <c r="C158" s="5">
        <v>39.75</v>
      </c>
      <c r="D158" s="9">
        <f t="shared" si="2"/>
        <v>1.5214524799689322E-4</v>
      </c>
      <c r="E158" s="9">
        <f t="shared" si="2"/>
        <v>-3.5096515417397667E-3</v>
      </c>
    </row>
    <row r="159" spans="1:5" x14ac:dyDescent="0.75">
      <c r="A159" s="26">
        <v>40483</v>
      </c>
      <c r="B159" s="5">
        <v>1225.8499999999999</v>
      </c>
      <c r="C159" s="5">
        <v>45.49</v>
      </c>
      <c r="D159" s="9">
        <f t="shared" si="2"/>
        <v>3.599377989621888E-2</v>
      </c>
      <c r="E159" s="9">
        <f t="shared" si="2"/>
        <v>0.14440251572327045</v>
      </c>
    </row>
    <row r="160" spans="1:5" x14ac:dyDescent="0.75">
      <c r="A160" s="26">
        <v>40490</v>
      </c>
      <c r="B160" s="5">
        <v>1199.21</v>
      </c>
      <c r="C160" s="5">
        <v>46.86</v>
      </c>
      <c r="D160" s="9">
        <f t="shared" si="2"/>
        <v>-2.1731859526043062E-2</v>
      </c>
      <c r="E160" s="9">
        <f t="shared" si="2"/>
        <v>3.0116509122884105E-2</v>
      </c>
    </row>
    <row r="161" spans="1:5" x14ac:dyDescent="0.75">
      <c r="A161" s="26">
        <v>40497</v>
      </c>
      <c r="B161" s="5">
        <v>1199.73</v>
      </c>
      <c r="C161" s="5">
        <v>45.71</v>
      </c>
      <c r="D161" s="9">
        <f t="shared" si="2"/>
        <v>4.3361879904257883E-4</v>
      </c>
      <c r="E161" s="9">
        <f t="shared" si="2"/>
        <v>-2.454118651301751E-2</v>
      </c>
    </row>
    <row r="162" spans="1:5" x14ac:dyDescent="0.75">
      <c r="A162" s="26">
        <v>40504</v>
      </c>
      <c r="B162" s="5">
        <v>1189.4000000000001</v>
      </c>
      <c r="C162" s="5">
        <v>47.01</v>
      </c>
      <c r="D162" s="9">
        <f t="shared" si="2"/>
        <v>-8.6102706442282573E-3</v>
      </c>
      <c r="E162" s="9">
        <f t="shared" si="2"/>
        <v>2.8440166265587319E-2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FB3E-191F-47FD-B6ED-1953624159DC}">
  <sheetPr>
    <tabColor rgb="FFFF0000"/>
  </sheetPr>
  <dimension ref="A1:N28"/>
  <sheetViews>
    <sheetView zoomScaleNormal="100" workbookViewId="0">
      <selection activeCell="E6" sqref="E6:G13"/>
    </sheetView>
  </sheetViews>
  <sheetFormatPr defaultRowHeight="14.75" x14ac:dyDescent="0.75"/>
  <cols>
    <col min="1" max="1" width="19.2265625" customWidth="1"/>
    <col min="2" max="2" width="8.86328125" customWidth="1"/>
    <col min="3" max="3" width="15.08984375" customWidth="1"/>
    <col min="4" max="4" width="15.08984375" bestFit="1" customWidth="1"/>
    <col min="6" max="7" width="16.08984375" customWidth="1"/>
    <col min="8" max="8" width="15.08984375" bestFit="1" customWidth="1"/>
    <col min="9" max="9" width="2.31640625" customWidth="1"/>
    <col min="10" max="11" width="10.2265625" customWidth="1"/>
  </cols>
  <sheetData>
    <row r="1" spans="1:11" ht="26.75" x14ac:dyDescent="1.3">
      <c r="A1" s="1" t="s">
        <v>0</v>
      </c>
      <c r="B1" s="2"/>
      <c r="C1" s="2"/>
      <c r="D1" s="2"/>
      <c r="E1" s="3"/>
    </row>
    <row r="2" spans="1:11" ht="44.25" x14ac:dyDescent="0.75">
      <c r="A2" s="4" t="s">
        <v>1</v>
      </c>
      <c r="B2" s="4" t="s">
        <v>2</v>
      </c>
      <c r="C2" s="4" t="s">
        <v>3</v>
      </c>
      <c r="D2" s="4" t="s">
        <v>4</v>
      </c>
    </row>
    <row r="3" spans="1:11" x14ac:dyDescent="0.75">
      <c r="A3" s="5" t="s">
        <v>5</v>
      </c>
      <c r="B3" s="5">
        <f>1-B4-B5</f>
        <v>0.45</v>
      </c>
      <c r="C3" s="5">
        <v>-0.05</v>
      </c>
      <c r="D3" s="5">
        <v>-0.2</v>
      </c>
    </row>
    <row r="4" spans="1:11" x14ac:dyDescent="0.75">
      <c r="A4" s="5" t="s">
        <v>6</v>
      </c>
      <c r="B4" s="5">
        <v>0.5</v>
      </c>
      <c r="C4" s="5">
        <v>0.12</v>
      </c>
      <c r="D4" s="5">
        <v>0.22</v>
      </c>
    </row>
    <row r="5" spans="1:11" x14ac:dyDescent="0.75">
      <c r="A5" s="5" t="s">
        <v>7</v>
      </c>
      <c r="B5" s="5">
        <v>0.05</v>
      </c>
      <c r="C5" s="5">
        <v>0.15</v>
      </c>
      <c r="D5" s="5">
        <v>0.28000000000000003</v>
      </c>
    </row>
    <row r="6" spans="1:11" x14ac:dyDescent="0.75">
      <c r="F6" s="6" t="s">
        <v>8</v>
      </c>
    </row>
    <row r="7" spans="1:11" ht="29.5" x14ac:dyDescent="0.75">
      <c r="C7" s="7" t="s">
        <v>9</v>
      </c>
      <c r="D7" s="7"/>
    </row>
    <row r="8" spans="1:11" x14ac:dyDescent="0.75">
      <c r="C8" s="8" t="s">
        <v>10</v>
      </c>
      <c r="D8" s="8" t="s">
        <v>10</v>
      </c>
      <c r="F8" s="8" t="s">
        <v>10</v>
      </c>
      <c r="G8" s="8" t="s">
        <v>10</v>
      </c>
    </row>
    <row r="9" spans="1:11" x14ac:dyDescent="0.75">
      <c r="C9" s="9">
        <f>B3*C3</f>
        <v>-2.2500000000000003E-2</v>
      </c>
      <c r="D9" s="9">
        <f>B3*D3</f>
        <v>-9.0000000000000011E-2</v>
      </c>
      <c r="F9" s="9" cm="1">
        <f t="array" ref="F9:G11">B3:B5*C3:D5</f>
        <v>-2.2500000000000003E-2</v>
      </c>
      <c r="G9" s="9">
        <v>-9.0000000000000011E-2</v>
      </c>
    </row>
    <row r="10" spans="1:11" x14ac:dyDescent="0.75">
      <c r="C10" s="9">
        <f t="shared" ref="C10:C11" si="0">B4*C4</f>
        <v>0.06</v>
      </c>
      <c r="D10" s="9">
        <f t="shared" ref="D10:D11" si="1">B4*D4</f>
        <v>0.11</v>
      </c>
      <c r="F10" s="9">
        <v>0.06</v>
      </c>
      <c r="G10" s="9">
        <v>0.11</v>
      </c>
    </row>
    <row r="11" spans="1:11" x14ac:dyDescent="0.75">
      <c r="C11" s="9">
        <f t="shared" si="0"/>
        <v>7.4999999999999997E-3</v>
      </c>
      <c r="D11" s="9">
        <f t="shared" si="1"/>
        <v>1.4000000000000002E-2</v>
      </c>
      <c r="F11" s="9">
        <v>7.4999999999999997E-3</v>
      </c>
      <c r="G11" s="9">
        <v>1.4000000000000002E-2</v>
      </c>
    </row>
    <row r="12" spans="1:11" ht="16.75" x14ac:dyDescent="0.95">
      <c r="C12" s="10" t="s">
        <v>11</v>
      </c>
      <c r="D12" s="10" t="s">
        <v>12</v>
      </c>
    </row>
    <row r="13" spans="1:11" x14ac:dyDescent="0.75">
      <c r="B13" s="8" t="s">
        <v>13</v>
      </c>
      <c r="C13" s="9">
        <f>SUM(C9:C11)</f>
        <v>4.4999999999999991E-2</v>
      </c>
      <c r="D13" s="9">
        <f>SUM(D9:D11)</f>
        <v>3.3999999999999989E-2</v>
      </c>
      <c r="J13" s="6" t="s">
        <v>8</v>
      </c>
    </row>
    <row r="15" spans="1:11" ht="16.75" x14ac:dyDescent="0.95">
      <c r="C15" s="11" t="s">
        <v>11</v>
      </c>
      <c r="D15" s="11" t="s">
        <v>12</v>
      </c>
      <c r="J15" s="11" t="s">
        <v>11</v>
      </c>
      <c r="K15" s="11" t="s">
        <v>12</v>
      </c>
    </row>
    <row r="16" spans="1:11" ht="29.5" x14ac:dyDescent="0.75">
      <c r="C16" s="9">
        <f>SUMPRODUCT($B$3:$B$5,C3:C5)</f>
        <v>4.4999999999999991E-2</v>
      </c>
      <c r="D16" s="9">
        <f>SUMPRODUCT($B$3:$B$5,D3:D5)</f>
        <v>3.3999999999999989E-2</v>
      </c>
      <c r="E16" s="12" t="s">
        <v>14</v>
      </c>
      <c r="F16" s="13"/>
      <c r="G16" s="13"/>
      <c r="H16" s="14"/>
      <c r="J16" s="9" cm="1">
        <f t="array" ref="J16:K16">_xlfn.BYCOL(B3:B5*C3:D5,_xleta.SUM)</f>
        <v>4.4999999999999991E-2</v>
      </c>
      <c r="K16" s="9">
        <v>3.3999999999999989E-2</v>
      </c>
    </row>
    <row r="18" spans="2:14" ht="44.25" x14ac:dyDescent="0.75">
      <c r="C18" s="7" t="s">
        <v>15</v>
      </c>
      <c r="D18" s="7"/>
      <c r="F18" s="6" t="s">
        <v>8</v>
      </c>
    </row>
    <row r="19" spans="2:14" ht="16.75" x14ac:dyDescent="0.95">
      <c r="C19" s="15" t="s">
        <v>16</v>
      </c>
      <c r="D19" s="15" t="s">
        <v>17</v>
      </c>
      <c r="F19" s="15" t="s">
        <v>16</v>
      </c>
      <c r="G19" s="15" t="s">
        <v>17</v>
      </c>
    </row>
    <row r="20" spans="2:14" x14ac:dyDescent="0.75">
      <c r="C20" s="9">
        <f>(C3-$C$16)^2*B3</f>
        <v>4.0612499999999998E-3</v>
      </c>
      <c r="D20" s="9">
        <f>(D3-$D$16)^2*B3</f>
        <v>2.4640199999999998E-2</v>
      </c>
      <c r="F20" s="9" cm="1">
        <f t="array" ref="F20:G22">(C3:D5-C16:D16)^2*B3:B5</f>
        <v>4.0612499999999998E-3</v>
      </c>
      <c r="G20" s="9">
        <v>2.4640199999999998E-2</v>
      </c>
    </row>
    <row r="21" spans="2:14" x14ac:dyDescent="0.75">
      <c r="C21" s="9">
        <f>(C4-$C$16)^2*B4</f>
        <v>2.8125000000000008E-3</v>
      </c>
      <c r="D21" s="9">
        <f t="shared" ref="D21:D22" si="2">(D4-$D$16)^2*B4</f>
        <v>1.7298000000000001E-2</v>
      </c>
      <c r="F21" s="9">
        <v>2.8125000000000008E-3</v>
      </c>
      <c r="G21" s="9">
        <v>1.7298000000000001E-2</v>
      </c>
    </row>
    <row r="22" spans="2:14" x14ac:dyDescent="0.75">
      <c r="C22" s="9">
        <f t="shared" ref="C22" si="3">(C5-$C$16)^2*B5</f>
        <v>5.5125000000000009E-4</v>
      </c>
      <c r="D22" s="9">
        <f t="shared" si="2"/>
        <v>3.0258000000000017E-3</v>
      </c>
      <c r="F22" s="9">
        <v>5.5125000000000009E-4</v>
      </c>
      <c r="G22" s="9">
        <v>3.0258000000000017E-3</v>
      </c>
    </row>
    <row r="23" spans="2:14" x14ac:dyDescent="0.75">
      <c r="B23" t="s">
        <v>13</v>
      </c>
      <c r="C23" s="9">
        <f>SUM(C20:C22)</f>
        <v>7.425000000000001E-3</v>
      </c>
      <c r="D23" s="9">
        <f>SUM(D20:D22)</f>
        <v>4.4963999999999997E-2</v>
      </c>
      <c r="E23" t="s">
        <v>18</v>
      </c>
    </row>
    <row r="24" spans="2:14" ht="16.75" x14ac:dyDescent="0.95">
      <c r="C24" s="10" t="s">
        <v>19</v>
      </c>
      <c r="D24" s="10" t="s">
        <v>20</v>
      </c>
    </row>
    <row r="25" spans="2:14" x14ac:dyDescent="0.75">
      <c r="B25" t="s">
        <v>21</v>
      </c>
      <c r="C25" s="9">
        <f>SQRT(C23)</f>
        <v>8.6168439698070434E-2</v>
      </c>
      <c r="D25" s="9">
        <f>SQRT(D23)</f>
        <v>0.2120471645648675</v>
      </c>
      <c r="E25" t="s">
        <v>22</v>
      </c>
      <c r="J25" s="6" t="s">
        <v>8</v>
      </c>
      <c r="M25" cm="1">
        <f t="array" ref="M25:N25">_xlfn.BYCOL(C23:D23,_xleta.SQRT)</f>
        <v>8.6168439698070434E-2</v>
      </c>
      <c r="N25">
        <v>0.2120471645648675</v>
      </c>
    </row>
    <row r="27" spans="2:14" ht="16.75" x14ac:dyDescent="0.95">
      <c r="C27" s="11" t="s">
        <v>19</v>
      </c>
      <c r="D27" s="11" t="s">
        <v>20</v>
      </c>
      <c r="J27" s="11" t="s">
        <v>19</v>
      </c>
      <c r="K27" s="11" t="s">
        <v>20</v>
      </c>
    </row>
    <row r="28" spans="2:14" ht="29.5" x14ac:dyDescent="0.75">
      <c r="C28" s="9">
        <f>SQRT(SUMPRODUCT((C3:C5-C16)^2,$B$3:$B$5))</f>
        <v>8.6168439698070434E-2</v>
      </c>
      <c r="D28" s="9">
        <f>SQRT(SUMPRODUCT((D3:D5-D16)^2,$B$3:$B$5))</f>
        <v>0.2120471645648675</v>
      </c>
      <c r="E28" s="12" t="s">
        <v>23</v>
      </c>
      <c r="F28" s="13"/>
      <c r="G28" s="13"/>
      <c r="H28" s="14"/>
      <c r="J28" s="9" cm="1">
        <f t="array" ref="J28:K28">_xlfn.BYCOL(_xlfn.BYCOL((C3:D5-C16:D16)^2*B3:B5,_xleta.SUM),_xleta.SQRT)</f>
        <v>8.6168439698070434E-2</v>
      </c>
      <c r="K28" s="9">
        <v>0.2120471645648675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0E06-9CF5-4968-BB16-95E031820AE9}">
  <sheetPr>
    <tabColor rgb="FFFF0000"/>
  </sheetPr>
  <dimension ref="A1:J29"/>
  <sheetViews>
    <sheetView tabSelected="1" workbookViewId="0">
      <selection activeCell="C16" sqref="C16"/>
    </sheetView>
  </sheetViews>
  <sheetFormatPr defaultRowHeight="14.75" outlineLevelRow="1" x14ac:dyDescent="0.75"/>
  <cols>
    <col min="1" max="1" width="9.453125" customWidth="1"/>
    <col min="2" max="2" width="6.2265625" customWidth="1"/>
    <col min="3" max="4" width="14.6796875" customWidth="1"/>
    <col min="5" max="5" width="21.6796875" customWidth="1"/>
  </cols>
  <sheetData>
    <row r="1" spans="1:10" ht="44.25" x14ac:dyDescent="0.75">
      <c r="A1" s="4" t="s">
        <v>1</v>
      </c>
      <c r="B1" s="4" t="s">
        <v>2</v>
      </c>
      <c r="C1" s="4" t="s">
        <v>3</v>
      </c>
      <c r="D1" s="4" t="s">
        <v>4</v>
      </c>
    </row>
    <row r="2" spans="1:10" x14ac:dyDescent="0.75">
      <c r="A2" s="5" t="s">
        <v>5</v>
      </c>
      <c r="B2" s="5">
        <f>1-B3-B4</f>
        <v>0.45</v>
      </c>
      <c r="C2" s="5">
        <v>-0.05</v>
      </c>
      <c r="D2" s="5">
        <v>-0.2</v>
      </c>
    </row>
    <row r="3" spans="1:10" x14ac:dyDescent="0.75">
      <c r="A3" s="5" t="s">
        <v>6</v>
      </c>
      <c r="B3" s="5">
        <v>0.5</v>
      </c>
      <c r="C3" s="5">
        <v>0.12</v>
      </c>
      <c r="D3" s="5">
        <v>0.22</v>
      </c>
      <c r="I3" s="43" t="s">
        <v>71</v>
      </c>
    </row>
    <row r="4" spans="1:10" x14ac:dyDescent="0.75">
      <c r="A4" s="5" t="s">
        <v>63</v>
      </c>
      <c r="B4" s="5">
        <v>0.05</v>
      </c>
      <c r="C4" s="5">
        <v>0.15</v>
      </c>
      <c r="D4" s="5">
        <v>0.28000000000000003</v>
      </c>
    </row>
    <row r="5" spans="1:10" hidden="1" outlineLevel="1" x14ac:dyDescent="0.75"/>
    <row r="6" spans="1:10" ht="29.5" hidden="1" outlineLevel="1" x14ac:dyDescent="0.75">
      <c r="C6" s="7" t="s">
        <v>9</v>
      </c>
      <c r="D6" s="7"/>
    </row>
    <row r="7" spans="1:10" hidden="1" outlineLevel="1" x14ac:dyDescent="0.75">
      <c r="C7" s="20" t="s">
        <v>10</v>
      </c>
      <c r="D7" s="20" t="s">
        <v>10</v>
      </c>
    </row>
    <row r="8" spans="1:10" hidden="1" outlineLevel="1" x14ac:dyDescent="0.75">
      <c r="C8" s="9" cm="1">
        <f t="array" ref="C8:D10">B2:B4*C2:D4</f>
        <v>-2.2500000000000003E-2</v>
      </c>
      <c r="D8" s="9">
        <v>-9.0000000000000011E-2</v>
      </c>
    </row>
    <row r="9" spans="1:10" hidden="1" outlineLevel="1" x14ac:dyDescent="0.75">
      <c r="C9" s="9">
        <v>0.06</v>
      </c>
      <c r="D9" s="9">
        <v>0.11</v>
      </c>
    </row>
    <row r="10" spans="1:10" hidden="1" outlineLevel="1" x14ac:dyDescent="0.75">
      <c r="C10" s="9">
        <v>7.4999999999999997E-3</v>
      </c>
      <c r="D10" s="9">
        <v>1.4000000000000002E-2</v>
      </c>
    </row>
    <row r="11" spans="1:10" hidden="1" outlineLevel="1" x14ac:dyDescent="0.75"/>
    <row r="12" spans="1:10" ht="16.75" hidden="1" outlineLevel="1" x14ac:dyDescent="0.95">
      <c r="C12" s="20" t="s">
        <v>64</v>
      </c>
      <c r="D12" s="20" t="s">
        <v>65</v>
      </c>
    </row>
    <row r="13" spans="1:10" hidden="1" outlineLevel="1" x14ac:dyDescent="0.75">
      <c r="B13" s="20" t="s">
        <v>13</v>
      </c>
      <c r="C13" s="9">
        <f>SUM(C8:C10)</f>
        <v>4.4999999999999991E-2</v>
      </c>
      <c r="D13" s="9">
        <f>SUM(D8:D10)</f>
        <v>3.3999999999999989E-2</v>
      </c>
    </row>
    <row r="14" spans="1:10" collapsed="1" x14ac:dyDescent="0.75">
      <c r="F14" s="42" t="s">
        <v>69</v>
      </c>
      <c r="I14" s="42" t="s">
        <v>69</v>
      </c>
    </row>
    <row r="15" spans="1:10" ht="16.75" x14ac:dyDescent="0.95">
      <c r="C15" s="20" t="s">
        <v>64</v>
      </c>
      <c r="D15" s="20" t="s">
        <v>65</v>
      </c>
      <c r="F15" s="20" t="s">
        <v>64</v>
      </c>
      <c r="G15" s="20" t="s">
        <v>65</v>
      </c>
      <c r="I15" s="20" t="s">
        <v>64</v>
      </c>
      <c r="J15" s="20" t="s">
        <v>65</v>
      </c>
    </row>
    <row r="16" spans="1:10" x14ac:dyDescent="0.75">
      <c r="C16" s="9"/>
      <c r="D16" s="9"/>
      <c r="F16" s="9" cm="1">
        <f t="array" ref="F16:G16">_xlfn.BYCOL(C2:D4*B2:B4,_xleta.SUM)</f>
        <v>4.4999999999999991E-2</v>
      </c>
      <c r="G16" s="9">
        <v>3.3999999999999989E-2</v>
      </c>
      <c r="I16" s="9" cm="1">
        <f t="array" ref="I16:J16">_xlfn.BYCOL(C2:D4*B2:B4,_xlfn.LAMBDA(_xlpm.r,SUM(_xlpm.r)))</f>
        <v>4.4999999999999991E-2</v>
      </c>
      <c r="J16" s="9">
        <v>3.3999999999999989E-2</v>
      </c>
    </row>
    <row r="17" spans="2:10" hidden="1" outlineLevel="1" x14ac:dyDescent="0.75"/>
    <row r="18" spans="2:10" ht="44.25" hidden="1" outlineLevel="1" x14ac:dyDescent="0.75">
      <c r="C18" s="7" t="s">
        <v>15</v>
      </c>
      <c r="D18" s="7"/>
    </row>
    <row r="19" spans="2:10" ht="16.75" hidden="1" outlineLevel="1" x14ac:dyDescent="0.95">
      <c r="C19" s="18" t="s">
        <v>16</v>
      </c>
      <c r="D19" s="18" t="s">
        <v>17</v>
      </c>
    </row>
    <row r="20" spans="2:10" hidden="1" outlineLevel="1" x14ac:dyDescent="0.75">
      <c r="C20" s="9" cm="1">
        <f t="array" ref="C20:C22">(C2:C4-C16)^2*B2:B4</f>
        <v>1.1250000000000003E-3</v>
      </c>
      <c r="D20" s="9" cm="1">
        <f t="array" ref="D20:D22">(D2:D4-D16)^2*B2:B4</f>
        <v>1.8000000000000006E-2</v>
      </c>
    </row>
    <row r="21" spans="2:10" hidden="1" outlineLevel="1" x14ac:dyDescent="0.75">
      <c r="C21" s="9">
        <v>7.1999999999999998E-3</v>
      </c>
      <c r="D21" s="9">
        <v>2.4199999999999999E-2</v>
      </c>
    </row>
    <row r="22" spans="2:10" ht="15.5" hidden="1" outlineLevel="1" thickBot="1" x14ac:dyDescent="0.9">
      <c r="C22" s="33">
        <v>1.1249999999999999E-3</v>
      </c>
      <c r="D22" s="33">
        <v>3.9200000000000007E-3</v>
      </c>
    </row>
    <row r="23" spans="2:10" ht="15.5" hidden="1" outlineLevel="1" thickBot="1" x14ac:dyDescent="0.9">
      <c r="B23" s="20" t="s">
        <v>13</v>
      </c>
      <c r="C23" s="37">
        <f>SUM(_xlfn.ANCHORARRAY(C20))</f>
        <v>9.4500000000000001E-3</v>
      </c>
      <c r="D23" s="37">
        <f>SUM(_xlfn.ANCHORARRAY(D20))</f>
        <v>4.6120000000000001E-2</v>
      </c>
      <c r="E23" t="s">
        <v>18</v>
      </c>
    </row>
    <row r="24" spans="2:10" ht="15.5" hidden="1" outlineLevel="1" thickTop="1" x14ac:dyDescent="0.75"/>
    <row r="25" spans="2:10" ht="16.75" hidden="1" outlineLevel="1" x14ac:dyDescent="0.95">
      <c r="C25" s="20" t="s">
        <v>66</v>
      </c>
      <c r="D25" s="20" t="s">
        <v>67</v>
      </c>
    </row>
    <row r="26" spans="2:10" hidden="1" outlineLevel="1" x14ac:dyDescent="0.75">
      <c r="B26" s="20" t="s">
        <v>21</v>
      </c>
      <c r="C26" s="9">
        <f t="shared" ref="C26:D26" si="0">SQRT(C23)</f>
        <v>9.7211110476117898E-2</v>
      </c>
      <c r="D26" s="9">
        <f t="shared" si="0"/>
        <v>0.21475567512873786</v>
      </c>
      <c r="E26" t="s">
        <v>68</v>
      </c>
    </row>
    <row r="27" spans="2:10" collapsed="1" x14ac:dyDescent="0.75">
      <c r="F27" s="42" t="s">
        <v>69</v>
      </c>
      <c r="I27" s="42" t="s">
        <v>69</v>
      </c>
    </row>
    <row r="28" spans="2:10" ht="16.75" x14ac:dyDescent="0.95">
      <c r="C28" s="20" t="s">
        <v>66</v>
      </c>
      <c r="D28" s="20" t="s">
        <v>67</v>
      </c>
      <c r="F28" s="20" t="s">
        <v>66</v>
      </c>
      <c r="G28" s="20" t="s">
        <v>67</v>
      </c>
      <c r="I28" s="20" t="s">
        <v>66</v>
      </c>
      <c r="J28" s="20" t="s">
        <v>67</v>
      </c>
    </row>
    <row r="29" spans="2:10" x14ac:dyDescent="0.75">
      <c r="C29" s="9"/>
      <c r="D29" s="9"/>
      <c r="F29" s="9" cm="1">
        <f t="array" ref="F29:G29">_xlfn.BYCOL(_xlfn.BYCOL((C2:D4-_xlfn.ANCHORARRAY(F16))^2*B2:B4,_xleta.SUM),_xleta.SQRT)</f>
        <v>8.6168439698070434E-2</v>
      </c>
      <c r="G29" s="9">
        <v>0.2120471645648675</v>
      </c>
      <c r="I29" s="9" cm="1">
        <f t="array" ref="I29:J29">_xlfn.BYCOL(_xlfn.BYCOL((C2:D4-_xlfn.ANCHORARRAY(F16))^2*B2:B4,_xlfn.LAMBDA(_xlpm.r,SUM(_xlpm.r))),_xlfn.LAMBDA(_xlpm.rr,SQRT(_xlpm.rr)))</f>
        <v>8.6168439698070434E-2</v>
      </c>
      <c r="J29" s="9">
        <v>0.2120471645648675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9517-5033-432E-9975-871F86346F9B}">
  <sheetPr>
    <tabColor rgb="FFFF0000"/>
  </sheetPr>
  <dimension ref="A1:H21"/>
  <sheetViews>
    <sheetView zoomScale="85" zoomScaleNormal="85" workbookViewId="0">
      <selection activeCell="C12" sqref="C12"/>
    </sheetView>
  </sheetViews>
  <sheetFormatPr defaultRowHeight="14.75" x14ac:dyDescent="0.75"/>
  <cols>
    <col min="1" max="1" width="10.54296875" customWidth="1"/>
    <col min="3" max="3" width="15.08984375" bestFit="1" customWidth="1"/>
    <col min="4" max="4" width="21.54296875" customWidth="1"/>
    <col min="5" max="5" width="6.54296875" customWidth="1"/>
    <col min="6" max="6" width="17.86328125" customWidth="1"/>
    <col min="7" max="7" width="22.08984375" bestFit="1" customWidth="1"/>
    <col min="8" max="8" width="16.08984375" customWidth="1"/>
  </cols>
  <sheetData>
    <row r="1" spans="1:8" ht="26.75" x14ac:dyDescent="1.3">
      <c r="A1" s="1" t="s">
        <v>24</v>
      </c>
      <c r="B1" s="2"/>
      <c r="C1" s="2"/>
      <c r="D1" s="3"/>
    </row>
    <row r="2" spans="1:8" x14ac:dyDescent="0.75">
      <c r="B2" s="16" t="s">
        <v>25</v>
      </c>
      <c r="C2" s="17" t="s">
        <v>26</v>
      </c>
      <c r="D2" s="17" t="s">
        <v>27</v>
      </c>
    </row>
    <row r="3" spans="1:8" x14ac:dyDescent="0.75">
      <c r="B3" s="18" t="s">
        <v>28</v>
      </c>
      <c r="C3" s="19">
        <v>10000</v>
      </c>
      <c r="D3" s="19">
        <v>15000</v>
      </c>
    </row>
    <row r="4" spans="1:8" x14ac:dyDescent="0.75">
      <c r="B4" s="18" t="s">
        <v>29</v>
      </c>
      <c r="C4" s="9">
        <f>C3/SUM($C$3:$D$3)</f>
        <v>0.4</v>
      </c>
      <c r="D4" s="9">
        <f>D3/SUM($C$3:$D$3)</f>
        <v>0.6</v>
      </c>
    </row>
    <row r="6" spans="1:8" ht="61" x14ac:dyDescent="0.95">
      <c r="A6" s="20" t="s">
        <v>1</v>
      </c>
      <c r="B6" s="20" t="s">
        <v>2</v>
      </c>
      <c r="C6" s="20" t="s">
        <v>3</v>
      </c>
      <c r="D6" s="20" t="s">
        <v>4</v>
      </c>
      <c r="F6" s="20" t="s">
        <v>30</v>
      </c>
      <c r="G6" s="20" t="s">
        <v>31</v>
      </c>
    </row>
    <row r="7" spans="1:8" x14ac:dyDescent="0.75">
      <c r="A7" s="5" t="s">
        <v>5</v>
      </c>
      <c r="B7" s="5">
        <f>'[1]Ex(1)'!B3</f>
        <v>0.45</v>
      </c>
      <c r="C7" s="5">
        <f>'[1]Ex(1)'!C3</f>
        <v>-0.05</v>
      </c>
      <c r="D7" s="5">
        <f>'[1]Ex(1)'!D3</f>
        <v>-0.2</v>
      </c>
      <c r="F7" s="9">
        <f>C7*$C$4+D7*$D$4</f>
        <v>-0.14000000000000001</v>
      </c>
      <c r="G7" s="9">
        <f>(F7-$F$12)^2*B7</f>
        <v>1.4321952000000002E-2</v>
      </c>
    </row>
    <row r="8" spans="1:8" x14ac:dyDescent="0.75">
      <c r="A8" s="5" t="s">
        <v>6</v>
      </c>
      <c r="B8" s="5">
        <f>'[1]Ex(1)'!B4</f>
        <v>0.5</v>
      </c>
      <c r="C8" s="5">
        <f>'[1]Ex(1)'!C4</f>
        <v>0.12</v>
      </c>
      <c r="D8" s="5">
        <f>'[1]Ex(1)'!D4</f>
        <v>0.22</v>
      </c>
      <c r="F8" s="9">
        <f>C8*$C$4+D8*$D$4</f>
        <v>0.18</v>
      </c>
      <c r="G8" s="9">
        <f>(F8-$F$12)^2*B8</f>
        <v>1.0025280000000001E-2</v>
      </c>
    </row>
    <row r="9" spans="1:8" x14ac:dyDescent="0.75">
      <c r="A9" s="5" t="s">
        <v>32</v>
      </c>
      <c r="B9" s="5">
        <f>'[1]Ex(1)'!B5</f>
        <v>0.05</v>
      </c>
      <c r="C9" s="5">
        <f>'[1]Ex(1)'!C5</f>
        <v>0.15</v>
      </c>
      <c r="D9" s="5">
        <f>'[1]Ex(1)'!D5</f>
        <v>0.28000000000000003</v>
      </c>
      <c r="F9" s="9">
        <f>C9*$C$4+D9*$D$4</f>
        <v>0.22800000000000001</v>
      </c>
      <c r="G9" s="9">
        <f>(F9-$F$12)^2*B9</f>
        <v>1.7974080000000003E-3</v>
      </c>
    </row>
    <row r="11" spans="1:8" x14ac:dyDescent="0.75">
      <c r="C11" s="20" t="s">
        <v>33</v>
      </c>
      <c r="D11" s="20" t="s">
        <v>35</v>
      </c>
      <c r="F11" s="20" t="s">
        <v>33</v>
      </c>
      <c r="G11" s="20" t="s">
        <v>34</v>
      </c>
    </row>
    <row r="12" spans="1:8" x14ac:dyDescent="0.75">
      <c r="C12" s="9"/>
      <c r="D12" s="9"/>
      <c r="F12" s="23">
        <f>SUMPRODUCT(F7:F9,B7:B9)</f>
        <v>3.8399999999999983E-2</v>
      </c>
      <c r="G12" s="9">
        <f>SUM(G7:G9)</f>
        <v>2.6144640000000004E-2</v>
      </c>
      <c r="H12" t="s">
        <v>13</v>
      </c>
    </row>
    <row r="13" spans="1:8" x14ac:dyDescent="0.75">
      <c r="G13" s="20" t="s">
        <v>35</v>
      </c>
    </row>
    <row r="14" spans="1:8" x14ac:dyDescent="0.75">
      <c r="G14" s="9">
        <f>SQRT(G12)</f>
        <v>0.16169304252193414</v>
      </c>
      <c r="H14" t="s">
        <v>21</v>
      </c>
    </row>
    <row r="15" spans="1:8" x14ac:dyDescent="0.75">
      <c r="C15" s="42" t="s">
        <v>69</v>
      </c>
    </row>
    <row r="16" spans="1:8" x14ac:dyDescent="0.75">
      <c r="C16" s="20" t="s">
        <v>33</v>
      </c>
      <c r="D16" s="20" t="s">
        <v>35</v>
      </c>
    </row>
    <row r="17" spans="3:4" x14ac:dyDescent="0.75">
      <c r="C17" s="9" cm="1">
        <f t="array" ref="C17">SUM(C7:D9*C4:D4*B7:B9)</f>
        <v>3.8400000000000004E-2</v>
      </c>
      <c r="D17" s="9" cm="1">
        <f t="array" ref="D17">SQRT(SUM((_xlfn.BYROW(C7:D9*C4:D4,_xleta.SUM)-C12)^2*B7:B9))</f>
        <v>0.16619025242173502</v>
      </c>
    </row>
    <row r="19" spans="3:4" x14ac:dyDescent="0.75">
      <c r="D19" s="43" t="s">
        <v>71</v>
      </c>
    </row>
    <row r="20" spans="3:4" x14ac:dyDescent="0.75">
      <c r="D20" s="20" t="s">
        <v>35</v>
      </c>
    </row>
    <row r="21" spans="3:4" x14ac:dyDescent="0.75">
      <c r="D21" s="9" cm="1">
        <f t="array" ref="D21">SQRT(SUM((_xlfn.BYROW(C7:D9*C4:D4,_xlfn.LAMBDA(_xlpm.r,SUM(_xlpm.r)))-C12)^2*B7:B9))</f>
        <v>0.16619025242173502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D945-FB22-4E73-8743-E82A9F7F1505}">
  <sheetPr>
    <tabColor rgb="FFFF0000"/>
  </sheetPr>
  <dimension ref="A1:G15"/>
  <sheetViews>
    <sheetView workbookViewId="0">
      <selection activeCell="E14" sqref="E14"/>
    </sheetView>
  </sheetViews>
  <sheetFormatPr defaultRowHeight="14.75" x14ac:dyDescent="0.75"/>
  <cols>
    <col min="1" max="1" width="12.31640625" customWidth="1"/>
    <col min="2" max="2" width="15.31640625" bestFit="1" customWidth="1"/>
    <col min="3" max="3" width="14.76953125" bestFit="1" customWidth="1"/>
    <col min="4" max="4" width="8.08984375" customWidth="1"/>
    <col min="5" max="5" width="13.453125" customWidth="1"/>
    <col min="6" max="6" width="14.76953125" bestFit="1" customWidth="1"/>
    <col min="7" max="7" width="8.54296875" customWidth="1"/>
  </cols>
  <sheetData>
    <row r="1" spans="1:7" ht="29.25" x14ac:dyDescent="1.4">
      <c r="A1" s="40" t="s">
        <v>50</v>
      </c>
      <c r="B1" s="41"/>
      <c r="C1" s="41"/>
      <c r="D1" s="41"/>
      <c r="E1" s="41"/>
      <c r="F1" s="41"/>
      <c r="G1" s="41"/>
    </row>
    <row r="2" spans="1:7" ht="44.25" x14ac:dyDescent="0.75">
      <c r="A2" s="18" t="s">
        <v>25</v>
      </c>
      <c r="B2" s="18" t="s">
        <v>51</v>
      </c>
      <c r="C2" s="18" t="s">
        <v>52</v>
      </c>
      <c r="D2" s="18" t="s">
        <v>36</v>
      </c>
      <c r="E2" s="20" t="s">
        <v>53</v>
      </c>
      <c r="F2" s="20" t="s">
        <v>54</v>
      </c>
      <c r="G2" s="28" t="s">
        <v>55</v>
      </c>
    </row>
    <row r="3" spans="1:7" x14ac:dyDescent="0.75">
      <c r="A3" s="5" t="s">
        <v>56</v>
      </c>
      <c r="B3" s="19">
        <v>2000</v>
      </c>
      <c r="C3" s="29">
        <v>0.08</v>
      </c>
      <c r="D3" s="30">
        <v>0.8</v>
      </c>
      <c r="E3" s="9">
        <f>B3/$B$7</f>
        <v>0.125</v>
      </c>
      <c r="F3" s="31">
        <f>C3*E3</f>
        <v>0.01</v>
      </c>
      <c r="G3" s="9">
        <f>D3*E3</f>
        <v>0.1</v>
      </c>
    </row>
    <row r="4" spans="1:7" x14ac:dyDescent="0.75">
      <c r="A4" s="5" t="s">
        <v>57</v>
      </c>
      <c r="B4" s="19">
        <v>4000</v>
      </c>
      <c r="C4" s="29">
        <v>0.12</v>
      </c>
      <c r="D4" s="30">
        <v>0.95</v>
      </c>
      <c r="E4" s="9">
        <f t="shared" ref="E4:E6" si="0">B4/$B$7</f>
        <v>0.25</v>
      </c>
      <c r="F4" s="31">
        <f>C4*E4</f>
        <v>0.03</v>
      </c>
      <c r="G4" s="9">
        <f>D4*E4</f>
        <v>0.23749999999999999</v>
      </c>
    </row>
    <row r="5" spans="1:7" x14ac:dyDescent="0.75">
      <c r="A5" s="5" t="s">
        <v>58</v>
      </c>
      <c r="B5" s="19">
        <v>4000</v>
      </c>
      <c r="C5" s="29">
        <v>0.15</v>
      </c>
      <c r="D5" s="30">
        <v>1.1000000000000001</v>
      </c>
      <c r="E5" s="9">
        <f t="shared" si="0"/>
        <v>0.25</v>
      </c>
      <c r="F5" s="31">
        <f>C5*E5</f>
        <v>3.7499999999999999E-2</v>
      </c>
      <c r="G5" s="9">
        <f>D5*E5</f>
        <v>0.27500000000000002</v>
      </c>
    </row>
    <row r="6" spans="1:7" ht="15.5" thickBot="1" x14ac:dyDescent="0.9">
      <c r="A6" s="5" t="s">
        <v>59</v>
      </c>
      <c r="B6" s="19">
        <v>6000</v>
      </c>
      <c r="C6" s="29">
        <v>0.18</v>
      </c>
      <c r="D6" s="30">
        <v>1.4</v>
      </c>
      <c r="E6" s="9">
        <f t="shared" si="0"/>
        <v>0.375</v>
      </c>
      <c r="F6" s="32">
        <f>C6*E6</f>
        <v>6.7500000000000004E-2</v>
      </c>
      <c r="G6" s="33">
        <f>D6*E6</f>
        <v>0.52499999999999991</v>
      </c>
    </row>
    <row r="7" spans="1:7" ht="15.5" thickBot="1" x14ac:dyDescent="0.9">
      <c r="B7" s="34">
        <f>SUM(B3:B6)</f>
        <v>16000</v>
      </c>
      <c r="D7" s="35"/>
      <c r="E7" s="11" t="s">
        <v>60</v>
      </c>
      <c r="F7" s="36">
        <f>SUM(F3:F6)</f>
        <v>0.14500000000000002</v>
      </c>
      <c r="G7" s="37">
        <f>SUM(G3:G6)</f>
        <v>1.1375</v>
      </c>
    </row>
    <row r="8" spans="1:7" ht="15.5" thickTop="1" x14ac:dyDescent="0.75">
      <c r="D8" s="35"/>
    </row>
    <row r="9" spans="1:7" ht="29.5" x14ac:dyDescent="0.75">
      <c r="A9" s="20" t="s">
        <v>61</v>
      </c>
      <c r="B9" s="31"/>
    </row>
    <row r="10" spans="1:7" x14ac:dyDescent="0.75">
      <c r="A10" s="20" t="s">
        <v>62</v>
      </c>
      <c r="B10" s="39"/>
    </row>
    <row r="13" spans="1:7" x14ac:dyDescent="0.75">
      <c r="B13" s="42" t="s">
        <v>69</v>
      </c>
      <c r="C13" s="6" t="s">
        <v>70</v>
      </c>
      <c r="E13" s="43" t="s">
        <v>71</v>
      </c>
    </row>
    <row r="14" spans="1:7" ht="29.5" x14ac:dyDescent="0.75">
      <c r="A14" s="20" t="s">
        <v>61</v>
      </c>
      <c r="B14" s="31" cm="1">
        <f t="array" ref="B14">SUM(B3:B6/B7*C3:C6)</f>
        <v>0.14500000000000002</v>
      </c>
      <c r="C14" s="31" cm="1">
        <f t="array" ref="C14:C15">_xlfn.TOCOL(_xlfn.BYCOL(B3:B6/B7*C3:D6,_xleta.SUM))</f>
        <v>0.14500000000000002</v>
      </c>
      <c r="E14" s="31" cm="1">
        <f t="array" ref="E14:E15">_xlfn.TOCOL(_xlfn.BYCOL(B3:B6/B7*C3:D6,_xlfn.LAMBDA(_xlpm.r,SUM(_xlpm.r))))</f>
        <v>0.14500000000000002</v>
      </c>
    </row>
    <row r="15" spans="1:7" x14ac:dyDescent="0.75">
      <c r="A15" s="20" t="s">
        <v>62</v>
      </c>
      <c r="B15" s="39" cm="1">
        <f t="array" ref="B15">SUM(B3:B6/B7*D3:D6)</f>
        <v>1.1375</v>
      </c>
      <c r="C15" s="39">
        <v>1.1375</v>
      </c>
      <c r="E15" s="39">
        <v>1.1375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A5AB1-8FB5-4A0E-9417-10005F6FC6FF}">
  <sheetPr>
    <tabColor rgb="FFFF0000"/>
  </sheetPr>
  <dimension ref="A1:I20"/>
  <sheetViews>
    <sheetView workbookViewId="0">
      <selection activeCell="E6" sqref="E6:G13"/>
    </sheetView>
  </sheetViews>
  <sheetFormatPr defaultRowHeight="14.75" x14ac:dyDescent="0.75"/>
  <cols>
    <col min="1" max="1" width="10.54296875" customWidth="1"/>
    <col min="2" max="2" width="8.86328125" customWidth="1"/>
    <col min="3" max="4" width="15.08984375" bestFit="1" customWidth="1"/>
    <col min="5" max="5" width="17.86328125" customWidth="1"/>
    <col min="6" max="6" width="22.08984375" bestFit="1" customWidth="1"/>
    <col min="7" max="7" width="16.08984375" customWidth="1"/>
    <col min="8" max="8" width="17.86328125" customWidth="1"/>
    <col min="9" max="9" width="22.08984375" bestFit="1" customWidth="1"/>
  </cols>
  <sheetData>
    <row r="1" spans="1:9" ht="26.75" x14ac:dyDescent="1.3">
      <c r="A1" s="1" t="s">
        <v>24</v>
      </c>
      <c r="B1" s="2"/>
      <c r="C1" s="2"/>
      <c r="D1" s="2"/>
      <c r="E1" s="3"/>
    </row>
    <row r="2" spans="1:9" x14ac:dyDescent="0.75">
      <c r="B2" s="16" t="s">
        <v>25</v>
      </c>
      <c r="C2" s="17" t="s">
        <v>26</v>
      </c>
      <c r="D2" s="17" t="s">
        <v>27</v>
      </c>
    </row>
    <row r="3" spans="1:9" x14ac:dyDescent="0.75">
      <c r="B3" s="18" t="s">
        <v>28</v>
      </c>
      <c r="C3" s="19">
        <v>10000</v>
      </c>
      <c r="D3" s="19">
        <v>15000</v>
      </c>
    </row>
    <row r="4" spans="1:9" x14ac:dyDescent="0.75">
      <c r="B4" s="18" t="s">
        <v>29</v>
      </c>
      <c r="C4" s="9">
        <f>C3/SUM($C$3:$D$3)</f>
        <v>0.4</v>
      </c>
      <c r="D4" s="9">
        <f>D3/SUM($C$3:$D$3)</f>
        <v>0.6</v>
      </c>
      <c r="H4" s="6" t="s">
        <v>8</v>
      </c>
    </row>
    <row r="6" spans="1:9" ht="61" x14ac:dyDescent="0.95">
      <c r="A6" s="20" t="s">
        <v>1</v>
      </c>
      <c r="B6" s="20" t="s">
        <v>2</v>
      </c>
      <c r="C6" s="20" t="s">
        <v>3</v>
      </c>
      <c r="D6" s="20" t="s">
        <v>4</v>
      </c>
      <c r="E6" s="21" t="s">
        <v>30</v>
      </c>
      <c r="F6" s="21" t="s">
        <v>31</v>
      </c>
      <c r="H6" s="21" t="s">
        <v>30</v>
      </c>
      <c r="I6" s="21" t="s">
        <v>31</v>
      </c>
    </row>
    <row r="7" spans="1:9" x14ac:dyDescent="0.75">
      <c r="A7" s="5" t="s">
        <v>5</v>
      </c>
      <c r="B7" s="5">
        <f>'[1]Ex(1)'!B3</f>
        <v>0.45</v>
      </c>
      <c r="C7" s="5">
        <f>'[1]Ex(1)'!C3</f>
        <v>-0.05</v>
      </c>
      <c r="D7" s="5">
        <f>'[1]Ex(1)'!D3</f>
        <v>-0.2</v>
      </c>
      <c r="E7" s="9">
        <f>C7*$C$4+D7*$D$4</f>
        <v>-0.14000000000000001</v>
      </c>
      <c r="F7" s="9">
        <f>(E7-$E$11)^2*B7</f>
        <v>1.4321952000000002E-2</v>
      </c>
      <c r="H7" s="9" cm="1">
        <f t="array" ref="H7:H9">C7:C9*C4+D7:D9*D4</f>
        <v>-0.14000000000000001</v>
      </c>
      <c r="I7" s="9" cm="1">
        <f t="array" ref="I7:I9">(_xlfn.ANCHORARRAY(H7)-E11)^2*B7:B9</f>
        <v>1.4321952000000002E-2</v>
      </c>
    </row>
    <row r="8" spans="1:9" x14ac:dyDescent="0.75">
      <c r="A8" s="5" t="s">
        <v>6</v>
      </c>
      <c r="B8" s="5">
        <f>'[1]Ex(1)'!B4</f>
        <v>0.5</v>
      </c>
      <c r="C8" s="5">
        <f>'[1]Ex(1)'!C4</f>
        <v>0.12</v>
      </c>
      <c r="D8" s="5">
        <f>'[1]Ex(1)'!D4</f>
        <v>0.22</v>
      </c>
      <c r="E8" s="9">
        <f>C8*$C$4+D8*$D$4</f>
        <v>0.18</v>
      </c>
      <c r="F8" s="9">
        <f>(E8-$E$11)^2*B8</f>
        <v>1.0025280000000001E-2</v>
      </c>
      <c r="H8" s="9">
        <v>0.18</v>
      </c>
      <c r="I8" s="9">
        <v>1.0025280000000001E-2</v>
      </c>
    </row>
    <row r="9" spans="1:9" x14ac:dyDescent="0.75">
      <c r="A9" s="5" t="s">
        <v>32</v>
      </c>
      <c r="B9" s="5">
        <f>'[1]Ex(1)'!B5</f>
        <v>0.05</v>
      </c>
      <c r="C9" s="5">
        <f>'[1]Ex(1)'!C5</f>
        <v>0.15</v>
      </c>
      <c r="D9" s="5">
        <f>'[1]Ex(1)'!D5</f>
        <v>0.28000000000000003</v>
      </c>
      <c r="E9" s="9">
        <f>C9*$C$4+D9*$D$4</f>
        <v>0.22800000000000001</v>
      </c>
      <c r="F9" s="9">
        <f>(E9-$E$11)^2*B9</f>
        <v>1.7974080000000003E-3</v>
      </c>
      <c r="H9" s="9">
        <v>0.22800000000000001</v>
      </c>
      <c r="I9" s="9">
        <v>1.7974080000000003E-3</v>
      </c>
    </row>
    <row r="10" spans="1:9" x14ac:dyDescent="0.75">
      <c r="E10" s="22" t="s">
        <v>33</v>
      </c>
      <c r="F10" s="11" t="s">
        <v>34</v>
      </c>
    </row>
    <row r="11" spans="1:9" x14ac:dyDescent="0.75">
      <c r="C11">
        <f t="shared" ref="C11:D13" si="0">C7*$B7*C$4</f>
        <v>-9.0000000000000011E-3</v>
      </c>
      <c r="D11">
        <f t="shared" si="0"/>
        <v>-5.4000000000000006E-2</v>
      </c>
      <c r="E11" s="23">
        <f>E7*B7+E8*B8+E9*B9</f>
        <v>3.8399999999999983E-2</v>
      </c>
      <c r="F11" s="9">
        <f>SUM(F7:F9)</f>
        <v>2.6144640000000004E-2</v>
      </c>
      <c r="G11" s="5" t="s">
        <v>13</v>
      </c>
    </row>
    <row r="12" spans="1:9" x14ac:dyDescent="0.75">
      <c r="C12">
        <f t="shared" si="0"/>
        <v>2.4E-2</v>
      </c>
      <c r="D12">
        <f t="shared" si="0"/>
        <v>6.6000000000000003E-2</v>
      </c>
      <c r="F12" s="11" t="s">
        <v>35</v>
      </c>
    </row>
    <row r="13" spans="1:9" x14ac:dyDescent="0.75">
      <c r="C13">
        <f t="shared" si="0"/>
        <v>3.0000000000000001E-3</v>
      </c>
      <c r="D13">
        <f t="shared" si="0"/>
        <v>8.4000000000000012E-3</v>
      </c>
      <c r="F13" s="9">
        <f>SQRT(F11)</f>
        <v>0.16169304252193414</v>
      </c>
      <c r="G13" s="5" t="s">
        <v>21</v>
      </c>
    </row>
    <row r="14" spans="1:9" x14ac:dyDescent="0.75">
      <c r="C14">
        <f>SUM(C11:D13)</f>
        <v>3.8400000000000004E-2</v>
      </c>
    </row>
    <row r="15" spans="1:9" x14ac:dyDescent="0.75">
      <c r="E15" s="11" t="s">
        <v>33</v>
      </c>
      <c r="F15" s="11" t="s">
        <v>35</v>
      </c>
    </row>
    <row r="16" spans="1:9" x14ac:dyDescent="0.75">
      <c r="E16" s="9">
        <f>SUMPRODUCT(C7:D9*B7:B9*C4:D4)</f>
        <v>3.8400000000000004E-2</v>
      </c>
      <c r="F16" s="9">
        <f>SQRT(SUMPRODUCT((C7:C9*C4+D7:D9*D4-E16)^2,B7:B9))</f>
        <v>0.16169304252193414</v>
      </c>
    </row>
    <row r="17" spans="5:9" x14ac:dyDescent="0.75">
      <c r="H17" s="6" t="s">
        <v>8</v>
      </c>
    </row>
    <row r="19" spans="5:9" x14ac:dyDescent="0.75">
      <c r="H19" s="11" t="s">
        <v>33</v>
      </c>
      <c r="I19" s="11" t="s">
        <v>35</v>
      </c>
    </row>
    <row r="20" spans="5:9" x14ac:dyDescent="0.75">
      <c r="E20" s="9">
        <f>SUMPRODUCT(MMULT(B7:B9,C4:D4),C7:D9)</f>
        <v>3.8400000000000004E-2</v>
      </c>
      <c r="F20" s="9">
        <f>SQRT(SUMPRODUCT((C7:C9*C4+D7:D9*D4-E20)^2,B7:B9))</f>
        <v>0.16169304252193414</v>
      </c>
      <c r="H20" s="9" cm="1">
        <f t="array" ref="H20">SUM(C7:D9*B7:B9*C4:D4)</f>
        <v>3.8400000000000004E-2</v>
      </c>
      <c r="I20" s="9" cm="1">
        <f t="array" ref="I20">SQRT(SUM((_xlfn.BYROW(C7:D9*C4:D4,_xleta.SUM)-H20)^2*B7:B9))</f>
        <v>0.16169304252193414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39486-046F-4130-84EE-7E6514F57374}">
  <sheetPr>
    <tabColor rgb="FFFF0000"/>
  </sheetPr>
  <dimension ref="A1:K10"/>
  <sheetViews>
    <sheetView zoomScale="115" zoomScaleNormal="115" workbookViewId="0">
      <selection activeCell="E6" sqref="E6:G13"/>
    </sheetView>
  </sheetViews>
  <sheetFormatPr defaultRowHeight="14.75" x14ac:dyDescent="0.75"/>
  <cols>
    <col min="1" max="1" width="12.31640625" customWidth="1"/>
    <col min="2" max="2" width="15.31640625" bestFit="1" customWidth="1"/>
    <col min="3" max="3" width="14.76953125" bestFit="1" customWidth="1"/>
    <col min="4" max="4" width="8.08984375" customWidth="1"/>
    <col min="5" max="5" width="13.453125" customWidth="1"/>
    <col min="6" max="6" width="14.76953125" bestFit="1" customWidth="1"/>
    <col min="7" max="7" width="8.54296875" customWidth="1"/>
    <col min="9" max="10" width="14.2265625" customWidth="1"/>
    <col min="11" max="11" width="13" customWidth="1"/>
  </cols>
  <sheetData>
    <row r="1" spans="1:11" ht="29.25" x14ac:dyDescent="1.4">
      <c r="A1" s="27" t="s">
        <v>50</v>
      </c>
      <c r="I1" s="6" t="s">
        <v>8</v>
      </c>
    </row>
    <row r="2" spans="1:11" ht="43.95" customHeight="1" x14ac:dyDescent="0.75">
      <c r="A2" s="18" t="s">
        <v>25</v>
      </c>
      <c r="B2" s="18" t="s">
        <v>51</v>
      </c>
      <c r="C2" s="18" t="s">
        <v>52</v>
      </c>
      <c r="D2" s="18" t="s">
        <v>36</v>
      </c>
      <c r="E2" s="20" t="s">
        <v>53</v>
      </c>
      <c r="F2" s="20" t="s">
        <v>54</v>
      </c>
      <c r="G2" s="28" t="s">
        <v>55</v>
      </c>
      <c r="I2" s="20" t="s">
        <v>53</v>
      </c>
      <c r="J2" s="20" t="s">
        <v>54</v>
      </c>
      <c r="K2" s="28" t="s">
        <v>55</v>
      </c>
    </row>
    <row r="3" spans="1:11" x14ac:dyDescent="0.75">
      <c r="A3" s="5" t="s">
        <v>56</v>
      </c>
      <c r="B3" s="19">
        <v>2000</v>
      </c>
      <c r="C3" s="29">
        <v>0.08</v>
      </c>
      <c r="D3" s="30">
        <v>0.8</v>
      </c>
      <c r="E3" s="9">
        <f>B3/$B$7</f>
        <v>0.125</v>
      </c>
      <c r="F3" s="31">
        <f>C3*E3</f>
        <v>0.01</v>
      </c>
      <c r="G3" s="9">
        <f>D3*E3</f>
        <v>0.1</v>
      </c>
      <c r="I3" s="9" cm="1">
        <f t="array" ref="I3:I6">B3:B6/B7</f>
        <v>0.125</v>
      </c>
      <c r="J3" s="31" cm="1">
        <f t="array" ref="J3:J6">C3:C6*_xlfn.ANCHORARRAY(I3)</f>
        <v>0.01</v>
      </c>
      <c r="K3" s="9" cm="1">
        <f t="array" ref="K3:K6">E3:E6*D3:D6</f>
        <v>0.1</v>
      </c>
    </row>
    <row r="4" spans="1:11" x14ac:dyDescent="0.75">
      <c r="A4" s="5" t="s">
        <v>57</v>
      </c>
      <c r="B4" s="19">
        <v>4000</v>
      </c>
      <c r="C4" s="29">
        <v>0.12</v>
      </c>
      <c r="D4" s="30">
        <v>0.95</v>
      </c>
      <c r="E4" s="9">
        <f t="shared" ref="E4:E6" si="0">B4/$B$7</f>
        <v>0.25</v>
      </c>
      <c r="F4" s="31">
        <f>C4*E4</f>
        <v>0.03</v>
      </c>
      <c r="G4" s="9">
        <f>D4*E4</f>
        <v>0.23749999999999999</v>
      </c>
      <c r="I4" s="9">
        <v>0.25</v>
      </c>
      <c r="J4" s="31">
        <v>0.03</v>
      </c>
      <c r="K4" s="9">
        <v>0.23749999999999999</v>
      </c>
    </row>
    <row r="5" spans="1:11" x14ac:dyDescent="0.75">
      <c r="A5" s="5" t="s">
        <v>58</v>
      </c>
      <c r="B5" s="19">
        <v>4000</v>
      </c>
      <c r="C5" s="29">
        <v>0.15</v>
      </c>
      <c r="D5" s="30">
        <v>1.1000000000000001</v>
      </c>
      <c r="E5" s="9">
        <f t="shared" si="0"/>
        <v>0.25</v>
      </c>
      <c r="F5" s="31">
        <f>C5*E5</f>
        <v>3.7499999999999999E-2</v>
      </c>
      <c r="G5" s="9">
        <f>D5*E5</f>
        <v>0.27500000000000002</v>
      </c>
      <c r="I5" s="9">
        <v>0.25</v>
      </c>
      <c r="J5" s="31">
        <v>3.7499999999999999E-2</v>
      </c>
      <c r="K5" s="9">
        <v>0.27500000000000002</v>
      </c>
    </row>
    <row r="6" spans="1:11" ht="15.5" thickBot="1" x14ac:dyDescent="0.9">
      <c r="A6" s="5" t="s">
        <v>59</v>
      </c>
      <c r="B6" s="19">
        <v>6000</v>
      </c>
      <c r="C6" s="29">
        <v>0.18</v>
      </c>
      <c r="D6" s="30">
        <v>1.4</v>
      </c>
      <c r="E6" s="9">
        <f t="shared" si="0"/>
        <v>0.375</v>
      </c>
      <c r="F6" s="32">
        <f>C6*E6</f>
        <v>6.7500000000000004E-2</v>
      </c>
      <c r="G6" s="33">
        <f>D6*E6</f>
        <v>0.52499999999999991</v>
      </c>
      <c r="I6" s="9">
        <v>0.375</v>
      </c>
      <c r="J6" s="31">
        <v>6.7500000000000004E-2</v>
      </c>
      <c r="K6" s="9">
        <v>0.52499999999999991</v>
      </c>
    </row>
    <row r="7" spans="1:11" ht="15.5" thickBot="1" x14ac:dyDescent="0.9">
      <c r="B7" s="34">
        <f>SUM(B3:B6)</f>
        <v>16000</v>
      </c>
      <c r="D7" s="35"/>
      <c r="E7" s="11" t="s">
        <v>60</v>
      </c>
      <c r="F7" s="36">
        <f>SUM(F3:F6)</f>
        <v>0.14500000000000002</v>
      </c>
      <c r="G7" s="37">
        <f>SUM(G3:G6)</f>
        <v>1.1375</v>
      </c>
    </row>
    <row r="8" spans="1:11" ht="15.5" thickTop="1" x14ac:dyDescent="0.75">
      <c r="D8" s="35"/>
    </row>
    <row r="9" spans="1:11" ht="29.5" x14ac:dyDescent="0.75">
      <c r="A9" s="20" t="s">
        <v>61</v>
      </c>
      <c r="B9" s="31">
        <f>SUMPRODUCT(B3:B6/SUM(B3:B6),C3:C6)</f>
        <v>0.14500000000000002</v>
      </c>
      <c r="I9" s="20" t="s">
        <v>61</v>
      </c>
      <c r="J9" s="31" cm="1">
        <f t="array" ref="J9">SUM(B3:B6/B7*C3:C6)</f>
        <v>0.14500000000000002</v>
      </c>
    </row>
    <row r="10" spans="1:11" x14ac:dyDescent="0.75">
      <c r="A10" s="20" t="s">
        <v>62</v>
      </c>
      <c r="B10" s="38">
        <f>SUMPRODUCT(B3:B6/SUM(B3:B6),D3:D6)</f>
        <v>1.1375</v>
      </c>
      <c r="I10" s="20" t="s">
        <v>62</v>
      </c>
      <c r="J10" s="39" cm="1">
        <f t="array" ref="J10">SUM(B3:B6/B7*D3:D6)</f>
        <v>1.1375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Ex(4an)</vt:lpstr>
      <vt:lpstr>Ex(1an)</vt:lpstr>
      <vt:lpstr>57</vt:lpstr>
      <vt:lpstr>58</vt:lpstr>
      <vt:lpstr>59</vt:lpstr>
      <vt:lpstr>Ex(2an)</vt:lpstr>
      <vt:lpstr>Ex(5an)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2025-02-14T23:36:10Z</dcterms:created>
  <dcterms:modified xsi:type="dcterms:W3CDTF">2025-02-21T17:53:01Z</dcterms:modified>
</cp:coreProperties>
</file>