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C:\Users\mgirvin\Desktop\00-455-2025\02-VideosFilesHomework\Ch11\Files\"/>
    </mc:Choice>
  </mc:AlternateContent>
  <xr:revisionPtr revIDLastSave="0" documentId="13_ncr:1_{41CA872E-E26F-4350-90BE-AB6899AF835D}" xr6:coauthVersionLast="47" xr6:coauthVersionMax="47" xr10:uidLastSave="{00000000-0000-0000-0000-000000000000}"/>
  <bookViews>
    <workbookView xWindow="-108" yWindow="-108" windowWidth="23256" windowHeight="12576" xr2:uid="{00000000-000D-0000-FFFF-FFFF00000000}"/>
  </bookViews>
  <sheets>
    <sheet name="Ex(0.5)" sheetId="47" r:id="rId1"/>
    <sheet name="Ex(0.5an)" sheetId="48" r:id="rId2"/>
    <sheet name="Ex(1)" sheetId="1" r:id="rId3"/>
    <sheet name="Ex(1an)" sheetId="35" r:id="rId4"/>
    <sheet name="Ex(2)" sheetId="2" r:id="rId5"/>
    <sheet name="Ex(2an)" sheetId="36" r:id="rId6"/>
    <sheet name="Ex(3)" sheetId="37" r:id="rId7"/>
    <sheet name="Ex(3an)" sheetId="38" r:id="rId8"/>
    <sheet name="Ex(4)" sheetId="29" r:id="rId9"/>
    <sheet name="Ex(4an)" sheetId="39" r:id="rId10"/>
    <sheet name="Ex(5)" sheetId="34" r:id="rId11"/>
    <sheet name="Ex(5an)" sheetId="41" r:id="rId12"/>
    <sheet name="Ex(6)" sheetId="33" r:id="rId13"/>
    <sheet name="Ex(6an)" sheetId="42" r:id="rId14"/>
    <sheet name="Ex(7)" sheetId="31" r:id="rId15"/>
    <sheet name="Ex(7an)" sheetId="46" r:id="rId16"/>
    <sheet name="Ex(8)" sheetId="44" r:id="rId17"/>
    <sheet name="Ex(8an)" sheetId="45" r:id="rId18"/>
    <sheet name="WFMI" sheetId="27" r:id="rId19"/>
    <sheet name="Web(3)" sheetId="25" state="hidden" r:id="rId20"/>
    <sheet name="zzzz" sheetId="30" state="hidden" r:id="rId21"/>
    <sheet name="zzz" sheetId="40" state="hidden" r:id="rId22"/>
  </sheets>
  <externalReferences>
    <externalReference r:id="rId23"/>
  </externalReferenc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41" l="1" a="1"/>
  <c r="J10" i="41" s="1"/>
  <c r="J9" i="41" a="1"/>
  <c r="J9" i="41" s="1"/>
  <c r="J6" i="45" a="1"/>
  <c r="J6" i="45" s="1"/>
  <c r="K3" i="41" a="1"/>
  <c r="K3" i="41" s="1"/>
  <c r="J3" i="41" a="1"/>
  <c r="J3" i="41" s="1"/>
  <c r="I3" i="41" a="1"/>
  <c r="I3" i="41" s="1"/>
  <c r="I20" i="36" a="1"/>
  <c r="I20" i="36" s="1"/>
  <c r="I7" i="36" a="1"/>
  <c r="I7" i="36" s="1"/>
  <c r="H20" i="36" a="1"/>
  <c r="H20" i="36" s="1"/>
  <c r="H7" i="36" a="1"/>
  <c r="H7" i="36" s="1"/>
  <c r="J28" i="35" a="1"/>
  <c r="J28" i="35" s="1"/>
  <c r="J16" i="35" a="1"/>
  <c r="J16" i="35" s="1"/>
  <c r="F20" i="35" a="1"/>
  <c r="F20" i="35" s="1"/>
  <c r="F9" i="35" a="1"/>
  <c r="F9" i="35" s="1"/>
  <c r="L7" i="48" a="1"/>
  <c r="L7" i="48" s="1"/>
  <c r="J7" i="48" a="1"/>
  <c r="J7" i="48" s="1"/>
  <c r="E162" i="39"/>
  <c r="D162" i="39"/>
  <c r="E161" i="39"/>
  <c r="D161" i="39"/>
  <c r="E160" i="39"/>
  <c r="D160" i="39"/>
  <c r="E159" i="39"/>
  <c r="D159" i="39"/>
  <c r="E158" i="39"/>
  <c r="D158" i="39"/>
  <c r="E157" i="39"/>
  <c r="D157" i="39"/>
  <c r="E156" i="39"/>
  <c r="D156" i="39"/>
  <c r="E155" i="39"/>
  <c r="D155" i="39"/>
  <c r="E154" i="39"/>
  <c r="D154" i="39"/>
  <c r="E153" i="39"/>
  <c r="D153" i="39"/>
  <c r="E152" i="39"/>
  <c r="D152" i="39"/>
  <c r="E151" i="39"/>
  <c r="D151" i="39"/>
  <c r="E150" i="39"/>
  <c r="D150" i="39"/>
  <c r="E149" i="39"/>
  <c r="D149" i="39"/>
  <c r="E148" i="39"/>
  <c r="D148" i="39"/>
  <c r="E147" i="39"/>
  <c r="D147" i="39"/>
  <c r="E146" i="39"/>
  <c r="D146" i="39"/>
  <c r="E145" i="39"/>
  <c r="D145" i="39"/>
  <c r="E144" i="39"/>
  <c r="D144" i="39"/>
  <c r="E143" i="39"/>
  <c r="D143" i="39"/>
  <c r="E142" i="39"/>
  <c r="D142" i="39"/>
  <c r="E141" i="39"/>
  <c r="D141" i="39"/>
  <c r="E140" i="39"/>
  <c r="D140" i="39"/>
  <c r="E139" i="39"/>
  <c r="D139" i="39"/>
  <c r="E138" i="39"/>
  <c r="D138" i="39"/>
  <c r="E137" i="39"/>
  <c r="D137" i="39"/>
  <c r="E136" i="39"/>
  <c r="D136" i="39"/>
  <c r="E135" i="39"/>
  <c r="D135" i="39"/>
  <c r="E134" i="39"/>
  <c r="D134" i="39"/>
  <c r="E133" i="39"/>
  <c r="D133" i="39"/>
  <c r="E132" i="39"/>
  <c r="D132" i="39"/>
  <c r="E131" i="39"/>
  <c r="D131" i="39"/>
  <c r="E130" i="39"/>
  <c r="D130" i="39"/>
  <c r="E129" i="39"/>
  <c r="D129" i="39"/>
  <c r="E128" i="39"/>
  <c r="D128" i="39"/>
  <c r="E127" i="39"/>
  <c r="D127" i="39"/>
  <c r="E126" i="39"/>
  <c r="D126" i="39"/>
  <c r="E125" i="39"/>
  <c r="D125" i="39"/>
  <c r="E124" i="39"/>
  <c r="D124" i="39"/>
  <c r="E123" i="39"/>
  <c r="D123" i="39"/>
  <c r="E122" i="39"/>
  <c r="D122" i="39"/>
  <c r="E121" i="39"/>
  <c r="D121" i="39"/>
  <c r="E120" i="39"/>
  <c r="D120" i="39"/>
  <c r="E119" i="39"/>
  <c r="D119" i="39"/>
  <c r="E118" i="39"/>
  <c r="D118" i="39"/>
  <c r="E117" i="39"/>
  <c r="D117" i="39"/>
  <c r="E116" i="39"/>
  <c r="D116" i="39"/>
  <c r="E115" i="39"/>
  <c r="D115" i="39"/>
  <c r="E114" i="39"/>
  <c r="D114" i="39"/>
  <c r="E113" i="39"/>
  <c r="D113" i="39"/>
  <c r="E112" i="39"/>
  <c r="D112" i="39"/>
  <c r="E111" i="39"/>
  <c r="D111" i="39"/>
  <c r="E110" i="39"/>
  <c r="D110" i="39"/>
  <c r="E109" i="39"/>
  <c r="D109" i="39"/>
  <c r="E108" i="39"/>
  <c r="D108" i="39"/>
  <c r="E107" i="39"/>
  <c r="D107" i="39"/>
  <c r="E106" i="39"/>
  <c r="D106" i="39"/>
  <c r="E105" i="39"/>
  <c r="D105" i="39"/>
  <c r="E104" i="39"/>
  <c r="D104" i="39"/>
  <c r="E103" i="39"/>
  <c r="D103" i="39"/>
  <c r="E102" i="39"/>
  <c r="D102" i="39"/>
  <c r="E101" i="39"/>
  <c r="D101" i="39"/>
  <c r="E100" i="39"/>
  <c r="D100" i="39"/>
  <c r="E99" i="39"/>
  <c r="D99" i="39"/>
  <c r="E98" i="39"/>
  <c r="D98" i="39"/>
  <c r="E97" i="39"/>
  <c r="D97" i="39"/>
  <c r="E96" i="39"/>
  <c r="D96" i="39"/>
  <c r="E95" i="39"/>
  <c r="D95" i="39"/>
  <c r="E94" i="39"/>
  <c r="D94" i="39"/>
  <c r="E93" i="39"/>
  <c r="D93" i="39"/>
  <c r="E92" i="39"/>
  <c r="D92" i="39"/>
  <c r="E91" i="39"/>
  <c r="D91" i="39"/>
  <c r="E90" i="39"/>
  <c r="D90" i="39"/>
  <c r="E89" i="39"/>
  <c r="D89" i="39"/>
  <c r="E88" i="39"/>
  <c r="D88" i="39"/>
  <c r="E87" i="39"/>
  <c r="D87" i="39"/>
  <c r="E86" i="39"/>
  <c r="D86" i="39"/>
  <c r="E85" i="39"/>
  <c r="D85" i="39"/>
  <c r="E84" i="39"/>
  <c r="D84" i="39"/>
  <c r="E83" i="39"/>
  <c r="D83" i="39"/>
  <c r="E82" i="39"/>
  <c r="D82" i="39"/>
  <c r="E81" i="39"/>
  <c r="D81" i="39"/>
  <c r="E80" i="39"/>
  <c r="D80" i="39"/>
  <c r="E79" i="39"/>
  <c r="D79" i="39"/>
  <c r="E78" i="39"/>
  <c r="D78" i="39"/>
  <c r="E77" i="39"/>
  <c r="D77" i="39"/>
  <c r="E76" i="39"/>
  <c r="D76" i="39"/>
  <c r="E75" i="39"/>
  <c r="D75" i="39"/>
  <c r="E74" i="39"/>
  <c r="D74" i="39"/>
  <c r="E73" i="39"/>
  <c r="D73" i="39"/>
  <c r="E72" i="39"/>
  <c r="D72" i="39"/>
  <c r="E71" i="39"/>
  <c r="D71" i="39"/>
  <c r="E70" i="39"/>
  <c r="D70" i="39"/>
  <c r="E69" i="39"/>
  <c r="D69" i="39"/>
  <c r="E68" i="39"/>
  <c r="D68" i="39"/>
  <c r="E67" i="39"/>
  <c r="D67" i="39"/>
  <c r="E66" i="39"/>
  <c r="D66" i="39"/>
  <c r="E65" i="39"/>
  <c r="D65" i="39"/>
  <c r="E64" i="39"/>
  <c r="D64" i="39"/>
  <c r="E63" i="39"/>
  <c r="D63" i="39"/>
  <c r="E62" i="39"/>
  <c r="D62" i="39"/>
  <c r="E61" i="39"/>
  <c r="D61" i="39"/>
  <c r="E60" i="39"/>
  <c r="D60" i="39"/>
  <c r="E59" i="39"/>
  <c r="D59" i="39"/>
  <c r="E58" i="39"/>
  <c r="D58" i="39"/>
  <c r="E57" i="39"/>
  <c r="D57" i="39"/>
  <c r="E56" i="39"/>
  <c r="D56" i="39"/>
  <c r="E55" i="39"/>
  <c r="D55" i="39"/>
  <c r="E54" i="39"/>
  <c r="D54" i="39"/>
  <c r="E53" i="39"/>
  <c r="D53" i="39"/>
  <c r="E52" i="39"/>
  <c r="D52" i="39"/>
  <c r="E51" i="39"/>
  <c r="D51" i="39"/>
  <c r="E50" i="39"/>
  <c r="D50" i="39"/>
  <c r="E49" i="39"/>
  <c r="D49" i="39"/>
  <c r="E48" i="39"/>
  <c r="D48" i="39"/>
  <c r="E47" i="39"/>
  <c r="D47" i="39"/>
  <c r="E46" i="39"/>
  <c r="D46" i="39"/>
  <c r="E45" i="39"/>
  <c r="D45" i="39"/>
  <c r="E44" i="39"/>
  <c r="D44" i="39"/>
  <c r="E43" i="39"/>
  <c r="D43" i="39"/>
  <c r="E42" i="39"/>
  <c r="D42" i="39"/>
  <c r="E41" i="39"/>
  <c r="D41" i="39"/>
  <c r="E40" i="39"/>
  <c r="D40" i="39"/>
  <c r="E39" i="39"/>
  <c r="D39" i="39"/>
  <c r="E38" i="39"/>
  <c r="D38" i="39"/>
  <c r="E37" i="39"/>
  <c r="D37" i="39"/>
  <c r="E36" i="39"/>
  <c r="D36" i="39"/>
  <c r="E35" i="39"/>
  <c r="D35" i="39"/>
  <c r="E34" i="39"/>
  <c r="D34" i="39"/>
  <c r="E33" i="39"/>
  <c r="D33" i="39"/>
  <c r="E32" i="39"/>
  <c r="D32" i="39"/>
  <c r="E31" i="39"/>
  <c r="D31" i="39"/>
  <c r="E30" i="39"/>
  <c r="D30" i="39"/>
  <c r="E29" i="39"/>
  <c r="D29" i="39"/>
  <c r="E28" i="39"/>
  <c r="D28" i="39"/>
  <c r="E27" i="39"/>
  <c r="D27" i="39"/>
  <c r="E26" i="39"/>
  <c r="D26" i="39"/>
  <c r="E25" i="39"/>
  <c r="D25" i="39"/>
  <c r="E24" i="39"/>
  <c r="D24" i="39"/>
  <c r="E23" i="39"/>
  <c r="D23" i="39"/>
  <c r="E22" i="39"/>
  <c r="D22" i="39"/>
  <c r="E21" i="39"/>
  <c r="D21" i="39"/>
  <c r="E20" i="39"/>
  <c r="D20" i="39"/>
  <c r="E19" i="39"/>
  <c r="D19" i="39"/>
  <c r="E18" i="39"/>
  <c r="D18" i="39"/>
  <c r="E17" i="39"/>
  <c r="D17" i="39"/>
  <c r="E16" i="39"/>
  <c r="D16" i="39"/>
  <c r="E15" i="39"/>
  <c r="D15" i="39"/>
  <c r="E14" i="39"/>
  <c r="D14" i="39"/>
  <c r="E13" i="39"/>
  <c r="D13" i="39"/>
  <c r="E12" i="39"/>
  <c r="D12" i="39"/>
  <c r="E11" i="39"/>
  <c r="D11" i="39"/>
  <c r="E10" i="39"/>
  <c r="D10" i="39"/>
  <c r="E9" i="39"/>
  <c r="D9" i="39"/>
  <c r="E8" i="39"/>
  <c r="D8" i="39"/>
  <c r="E7" i="39"/>
  <c r="D7" i="39"/>
  <c r="E6" i="39"/>
  <c r="D6" i="39"/>
  <c r="E5" i="39"/>
  <c r="D5" i="39"/>
  <c r="E4" i="39"/>
  <c r="G6" i="39" s="1"/>
  <c r="D4" i="39"/>
  <c r="G4" i="39" l="1"/>
  <c r="A3" i="44"/>
  <c r="B2" i="44"/>
  <c r="A2" i="44"/>
  <c r="C8" i="31"/>
  <c r="B11" i="31"/>
  <c r="B10" i="31"/>
  <c r="B9" i="31"/>
  <c r="A11" i="31" s="1"/>
  <c r="B7" i="31"/>
  <c r="B6" i="31"/>
  <c r="B5" i="31"/>
  <c r="A8" i="31" s="1"/>
  <c r="A4" i="31"/>
  <c r="A3" i="31"/>
  <c r="B2" i="31"/>
  <c r="A2" i="31"/>
  <c r="A14" i="44" l="1"/>
  <c r="A7" i="31"/>
  <c r="A12" i="31"/>
  <c r="K11" i="31"/>
  <c r="C12" i="31" l="1"/>
  <c r="C9" i="2"/>
  <c r="D8" i="36" l="1"/>
  <c r="D11" i="35"/>
  <c r="C11" i="35"/>
  <c r="D10" i="35"/>
  <c r="C10" i="35"/>
  <c r="B3" i="35"/>
  <c r="C16" i="35" s="1"/>
  <c r="B15" i="48"/>
  <c r="D6" i="48"/>
  <c r="C6" i="48"/>
  <c r="C4" i="48"/>
  <c r="E7" i="48" l="1"/>
  <c r="G7" i="48" s="1"/>
  <c r="E9" i="48"/>
  <c r="G9" i="48" s="1"/>
  <c r="E11" i="48"/>
  <c r="G11" i="48" s="1"/>
  <c r="E10" i="48"/>
  <c r="G10" i="48" s="1"/>
  <c r="E8" i="48"/>
  <c r="G8" i="48" s="1"/>
  <c r="C28" i="35"/>
  <c r="C22" i="35"/>
  <c r="C21" i="35"/>
  <c r="C20" i="35"/>
  <c r="C23" i="35" s="1"/>
  <c r="C25" i="35" s="1"/>
  <c r="D9" i="35"/>
  <c r="D13" i="35" s="1"/>
  <c r="D16" i="35"/>
  <c r="C9" i="35"/>
  <c r="C13" i="35" s="1"/>
  <c r="D6" i="47"/>
  <c r="C6" i="47"/>
  <c r="D28" i="35" l="1"/>
  <c r="D22" i="35"/>
  <c r="D21" i="35"/>
  <c r="D20" i="35"/>
  <c r="D23" i="35" s="1"/>
  <c r="D25" i="35" s="1"/>
  <c r="C4" i="47"/>
  <c r="B47" i="46" l="1"/>
  <c r="B45" i="46"/>
  <c r="B43" i="46"/>
  <c r="B41" i="46"/>
  <c r="B39" i="46"/>
  <c r="B38" i="46"/>
  <c r="I37" i="46"/>
  <c r="B37" i="46"/>
  <c r="I36" i="46"/>
  <c r="B36" i="46"/>
  <c r="H37" i="46" s="1"/>
  <c r="I35" i="46"/>
  <c r="B35" i="46"/>
  <c r="H36" i="46" s="1"/>
  <c r="I34" i="46"/>
  <c r="I33" i="46"/>
  <c r="I32" i="46"/>
  <c r="I31" i="46"/>
  <c r="I30" i="46"/>
  <c r="I29" i="46"/>
  <c r="I28" i="46"/>
  <c r="I27" i="46"/>
  <c r="E27" i="46"/>
  <c r="I26" i="46"/>
  <c r="E26" i="46"/>
  <c r="I25" i="46"/>
  <c r="E25" i="46"/>
  <c r="I24" i="46"/>
  <c r="E24" i="46"/>
  <c r="I23" i="46"/>
  <c r="E23" i="46"/>
  <c r="I22" i="46"/>
  <c r="E22" i="46"/>
  <c r="I21" i="46"/>
  <c r="E21" i="46"/>
  <c r="I20" i="46"/>
  <c r="E20" i="46"/>
  <c r="I19" i="46"/>
  <c r="E19" i="46"/>
  <c r="I18" i="46"/>
  <c r="E18" i="46"/>
  <c r="I17" i="46"/>
  <c r="E17" i="46"/>
  <c r="B11" i="46"/>
  <c r="B10" i="46"/>
  <c r="M17" i="46" s="1"/>
  <c r="B9" i="46"/>
  <c r="A12" i="46" s="1"/>
  <c r="B7" i="46"/>
  <c r="L17" i="46" s="1"/>
  <c r="B6" i="46"/>
  <c r="K17" i="46" s="1"/>
  <c r="B5" i="46"/>
  <c r="A4" i="46"/>
  <c r="B3" i="46"/>
  <c r="A3" i="46"/>
  <c r="B2" i="46"/>
  <c r="A2" i="46"/>
  <c r="B3" i="42"/>
  <c r="A3" i="45"/>
  <c r="B2" i="45"/>
  <c r="G9" i="45" s="1"/>
  <c r="A2" i="45"/>
  <c r="B3" i="45"/>
  <c r="B9" i="33"/>
  <c r="B10" i="33"/>
  <c r="B11" i="33"/>
  <c r="B5" i="33"/>
  <c r="B6" i="33"/>
  <c r="B7" i="33"/>
  <c r="B2" i="33"/>
  <c r="B3" i="33"/>
  <c r="C12" i="33"/>
  <c r="C8" i="33"/>
  <c r="B12" i="42"/>
  <c r="C12" i="42" s="1"/>
  <c r="A12" i="42"/>
  <c r="A11" i="42"/>
  <c r="B8" i="42"/>
  <c r="C8" i="42" s="1"/>
  <c r="A8" i="42"/>
  <c r="A7" i="42"/>
  <c r="B10" i="41"/>
  <c r="B9" i="41"/>
  <c r="B7" i="41"/>
  <c r="C7" i="40"/>
  <c r="D7" i="40"/>
  <c r="C6" i="40"/>
  <c r="D6" i="40"/>
  <c r="D14" i="40"/>
  <c r="C14" i="40"/>
  <c r="D10" i="40"/>
  <c r="C10" i="40"/>
  <c r="D13" i="40"/>
  <c r="C13" i="40"/>
  <c r="D12" i="40"/>
  <c r="C12" i="40"/>
  <c r="D9" i="40"/>
  <c r="C9" i="40"/>
  <c r="D11" i="40"/>
  <c r="C11" i="40"/>
  <c r="D8" i="40"/>
  <c r="C8" i="40"/>
  <c r="B5" i="38"/>
  <c r="D9" i="36"/>
  <c r="D13" i="36" s="1"/>
  <c r="C9" i="36"/>
  <c r="C13" i="36" s="1"/>
  <c r="B9" i="36"/>
  <c r="C8" i="36"/>
  <c r="C12" i="36" s="1"/>
  <c r="B8" i="36"/>
  <c r="D12" i="36" s="1"/>
  <c r="D7" i="36"/>
  <c r="C7" i="36"/>
  <c r="D4" i="36"/>
  <c r="C4" i="36"/>
  <c r="C7" i="2"/>
  <c r="D7" i="2"/>
  <c r="B8" i="2"/>
  <c r="C8" i="2"/>
  <c r="D8" i="2"/>
  <c r="B9" i="2"/>
  <c r="D9" i="2"/>
  <c r="B3" i="1"/>
  <c r="E9" i="36" l="1"/>
  <c r="H38" i="46"/>
  <c r="J21" i="46"/>
  <c r="J19" i="46"/>
  <c r="J27" i="46"/>
  <c r="J25" i="46"/>
  <c r="J23" i="46"/>
  <c r="J17" i="46"/>
  <c r="N17" i="46"/>
  <c r="K11" i="46"/>
  <c r="A7" i="46"/>
  <c r="A8" i="46"/>
  <c r="F27" i="46"/>
  <c r="F20" i="46"/>
  <c r="F18" i="46"/>
  <c r="F26" i="46"/>
  <c r="F22" i="46"/>
  <c r="F24" i="46"/>
  <c r="F17" i="46"/>
  <c r="B46" i="46"/>
  <c r="B27" i="46"/>
  <c r="H28" i="46" s="1"/>
  <c r="B21" i="46"/>
  <c r="H22" i="46" s="1"/>
  <c r="B25" i="46"/>
  <c r="H26" i="46" s="1"/>
  <c r="B23" i="46"/>
  <c r="H24" i="46" s="1"/>
  <c r="B19" i="46"/>
  <c r="H20" i="46" s="1"/>
  <c r="B34" i="46"/>
  <c r="H35" i="46" s="1"/>
  <c r="B33" i="46"/>
  <c r="H34" i="46" s="1"/>
  <c r="B32" i="46"/>
  <c r="H33" i="46" s="1"/>
  <c r="B31" i="46"/>
  <c r="H32" i="46" s="1"/>
  <c r="B17" i="46"/>
  <c r="B30" i="46"/>
  <c r="H31" i="46" s="1"/>
  <c r="B29" i="46"/>
  <c r="H30" i="46" s="1"/>
  <c r="B3" i="31"/>
  <c r="B3" i="44"/>
  <c r="E6" i="41"/>
  <c r="F6" i="41" s="1"/>
  <c r="E5" i="41"/>
  <c r="G5" i="41" s="1"/>
  <c r="E4" i="41"/>
  <c r="F4" i="41" s="1"/>
  <c r="E3" i="41"/>
  <c r="G3" i="41" s="1"/>
  <c r="E8" i="36"/>
  <c r="B7" i="2"/>
  <c r="B7" i="36"/>
  <c r="A11" i="46"/>
  <c r="B12" i="46"/>
  <c r="D20" i="46"/>
  <c r="D22" i="46"/>
  <c r="D24" i="46"/>
  <c r="D26" i="46"/>
  <c r="D28" i="46"/>
  <c r="B8" i="46"/>
  <c r="C8" i="46" s="1"/>
  <c r="K8" i="46"/>
  <c r="K9" i="46"/>
  <c r="K10" i="46"/>
  <c r="B18" i="46"/>
  <c r="J18" i="46"/>
  <c r="F19" i="46"/>
  <c r="B20" i="46"/>
  <c r="J20" i="46"/>
  <c r="F21" i="46"/>
  <c r="B22" i="46"/>
  <c r="J22" i="46"/>
  <c r="F23" i="46"/>
  <c r="B24" i="46"/>
  <c r="J24" i="46"/>
  <c r="F25" i="46"/>
  <c r="B26" i="46"/>
  <c r="J26" i="46"/>
  <c r="B28" i="46"/>
  <c r="H29" i="46" s="1"/>
  <c r="J28" i="46"/>
  <c r="J29" i="46"/>
  <c r="J30" i="46"/>
  <c r="J31" i="46"/>
  <c r="J32" i="46"/>
  <c r="J33" i="46"/>
  <c r="J34" i="46"/>
  <c r="J35" i="46"/>
  <c r="J36" i="46"/>
  <c r="J37" i="46"/>
  <c r="B40" i="46"/>
  <c r="B42" i="46"/>
  <c r="B44" i="46"/>
  <c r="C9" i="45"/>
  <c r="A14" i="45" s="1"/>
  <c r="C10" i="45"/>
  <c r="C7" i="45"/>
  <c r="C6" i="45"/>
  <c r="C8" i="45"/>
  <c r="F3" i="41"/>
  <c r="G4" i="41"/>
  <c r="F5" i="41"/>
  <c r="G6" i="41"/>
  <c r="E16" i="36"/>
  <c r="F16" i="36" s="1"/>
  <c r="E7" i="36"/>
  <c r="A12" i="33"/>
  <c r="A11" i="33"/>
  <c r="A8" i="33"/>
  <c r="A7" i="33"/>
  <c r="B7" i="34"/>
  <c r="K9" i="31" l="1"/>
  <c r="K10" i="31"/>
  <c r="K8" i="31"/>
  <c r="C12" i="46"/>
  <c r="K7" i="46"/>
  <c r="G7" i="41"/>
  <c r="H18" i="46"/>
  <c r="D18" i="46"/>
  <c r="C11" i="36"/>
  <c r="E20" i="36"/>
  <c r="F20" i="36" s="1"/>
  <c r="D11" i="36"/>
  <c r="D25" i="1"/>
  <c r="D27" i="46"/>
  <c r="H27" i="46"/>
  <c r="D23" i="46"/>
  <c r="H23" i="46"/>
  <c r="D19" i="46"/>
  <c r="H19" i="46"/>
  <c r="D25" i="46"/>
  <c r="H25" i="46"/>
  <c r="D21" i="46"/>
  <c r="H21" i="46"/>
  <c r="F7" i="41"/>
  <c r="E11" i="36"/>
  <c r="F7" i="36" s="1"/>
  <c r="K7" i="31" l="1"/>
  <c r="C14" i="36"/>
  <c r="C25" i="1"/>
  <c r="F9" i="36"/>
  <c r="F8" i="36"/>
  <c r="C14"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5" i="27"/>
  <c r="E86" i="27"/>
  <c r="E87" i="27"/>
  <c r="E88" i="27"/>
  <c r="E89"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17" i="27"/>
  <c r="E118" i="27"/>
  <c r="E119" i="27"/>
  <c r="E120" i="27"/>
  <c r="E121" i="27"/>
  <c r="E122" i="27"/>
  <c r="E123" i="27"/>
  <c r="E124" i="27"/>
  <c r="E125" i="27"/>
  <c r="E126" i="27"/>
  <c r="E127" i="27"/>
  <c r="E128" i="27"/>
  <c r="E129" i="27"/>
  <c r="E130" i="27"/>
  <c r="E131" i="27"/>
  <c r="E132" i="27"/>
  <c r="E133" i="27"/>
  <c r="E134" i="27"/>
  <c r="E135" i="27"/>
  <c r="E136" i="27"/>
  <c r="E137" i="27"/>
  <c r="E138" i="27"/>
  <c r="E139" i="27"/>
  <c r="E140" i="27"/>
  <c r="E141" i="27"/>
  <c r="E142" i="27"/>
  <c r="E143" i="27"/>
  <c r="E144" i="27"/>
  <c r="E145" i="27"/>
  <c r="E146" i="27"/>
  <c r="E147" i="27"/>
  <c r="E148" i="27"/>
  <c r="E149" i="27"/>
  <c r="E150" i="27"/>
  <c r="E151" i="27"/>
  <c r="E152" i="27"/>
  <c r="E153" i="27"/>
  <c r="E154" i="27"/>
  <c r="E155" i="27"/>
  <c r="E156" i="27"/>
  <c r="E157" i="27"/>
  <c r="E158" i="27"/>
  <c r="E159" i="27"/>
  <c r="E160" i="27"/>
  <c r="E161" i="27"/>
  <c r="E162" i="27"/>
  <c r="E163" i="27"/>
  <c r="E164" i="27"/>
  <c r="E165" i="27"/>
  <c r="E166" i="27"/>
  <c r="E167" i="27"/>
  <c r="E168" i="27"/>
  <c r="E169" i="27"/>
  <c r="E170" i="27"/>
  <c r="E171" i="27"/>
  <c r="E172" i="27"/>
  <c r="E173" i="27"/>
  <c r="E174" i="27"/>
  <c r="E175" i="27"/>
  <c r="E176" i="27"/>
  <c r="E177" i="27"/>
  <c r="E178" i="27"/>
  <c r="E179" i="27"/>
  <c r="E180" i="27"/>
  <c r="E181" i="27"/>
  <c r="E182" i="27"/>
  <c r="E183" i="27"/>
  <c r="E184" i="27"/>
  <c r="E185" i="27"/>
  <c r="E186" i="27"/>
  <c r="E28" i="27"/>
  <c r="E11" i="27" s="1"/>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C101" i="27"/>
  <c r="C102" i="27"/>
  <c r="C103" i="27"/>
  <c r="C104" i="27"/>
  <c r="C105" i="27"/>
  <c r="C106" i="27"/>
  <c r="C107" i="27"/>
  <c r="C108" i="27"/>
  <c r="C109" i="27"/>
  <c r="C110" i="27"/>
  <c r="C111" i="27"/>
  <c r="C112" i="27"/>
  <c r="C113" i="27"/>
  <c r="C114" i="27"/>
  <c r="C115" i="27"/>
  <c r="C116" i="27"/>
  <c r="C117" i="27"/>
  <c r="C118" i="27"/>
  <c r="C119" i="27"/>
  <c r="C120" i="27"/>
  <c r="C121" i="27"/>
  <c r="C122" i="27"/>
  <c r="C123" i="27"/>
  <c r="C124" i="27"/>
  <c r="C125" i="27"/>
  <c r="C126" i="27"/>
  <c r="C127" i="27"/>
  <c r="C128" i="27"/>
  <c r="C129" i="27"/>
  <c r="C130" i="27"/>
  <c r="C131" i="27"/>
  <c r="C132" i="27"/>
  <c r="C133" i="27"/>
  <c r="C134" i="27"/>
  <c r="C135" i="27"/>
  <c r="C136" i="27"/>
  <c r="C137" i="27"/>
  <c r="C138" i="27"/>
  <c r="C139" i="27"/>
  <c r="C140" i="27"/>
  <c r="C141" i="27"/>
  <c r="C142" i="27"/>
  <c r="C143" i="27"/>
  <c r="C144" i="27"/>
  <c r="C145" i="27"/>
  <c r="C146" i="27"/>
  <c r="C147" i="27"/>
  <c r="C148" i="27"/>
  <c r="C149" i="27"/>
  <c r="C150" i="27"/>
  <c r="C151" i="27"/>
  <c r="C152" i="27"/>
  <c r="C153" i="27"/>
  <c r="C154" i="27"/>
  <c r="C155" i="27"/>
  <c r="C156" i="27"/>
  <c r="C157" i="27"/>
  <c r="C158" i="27"/>
  <c r="C159" i="27"/>
  <c r="C160" i="27"/>
  <c r="C161" i="27"/>
  <c r="C162" i="27"/>
  <c r="C163" i="27"/>
  <c r="C164" i="27"/>
  <c r="C165" i="27"/>
  <c r="C166" i="27"/>
  <c r="C167" i="27"/>
  <c r="C168" i="27"/>
  <c r="C169" i="27"/>
  <c r="C170" i="27"/>
  <c r="C171" i="27"/>
  <c r="C172" i="27"/>
  <c r="C173" i="27"/>
  <c r="C174" i="27"/>
  <c r="C175" i="27"/>
  <c r="C176" i="27"/>
  <c r="C177" i="27"/>
  <c r="C178" i="27"/>
  <c r="C179" i="27"/>
  <c r="C180" i="27"/>
  <c r="C181" i="27"/>
  <c r="C182" i="27"/>
  <c r="C183" i="27"/>
  <c r="C184" i="27"/>
  <c r="C185" i="27"/>
  <c r="C186" i="27"/>
  <c r="F11" i="36" l="1"/>
  <c r="F13" i="36" s="1"/>
  <c r="E10" i="27"/>
  <c r="E12" i="27" s="1"/>
  <c r="E13" i="27" s="1"/>
  <c r="C28" i="27" l="1"/>
  <c r="G28" i="27"/>
  <c r="G29" i="27"/>
  <c r="G30" i="27"/>
  <c r="G31" i="27"/>
  <c r="G32" i="27"/>
  <c r="G33" i="27"/>
  <c r="G34" i="27"/>
  <c r="G35" i="27"/>
  <c r="G36" i="27"/>
  <c r="G37" i="27"/>
  <c r="G38" i="27"/>
  <c r="G39" i="27"/>
  <c r="G40" i="27"/>
  <c r="G41" i="27"/>
  <c r="G42" i="27"/>
  <c r="G43" i="27"/>
  <c r="G44" i="27"/>
  <c r="G45" i="27"/>
  <c r="G46" i="27"/>
  <c r="G47" i="27"/>
  <c r="G48" i="27"/>
  <c r="G49" i="27"/>
  <c r="G50" i="27"/>
  <c r="G51" i="27"/>
  <c r="G52" i="27"/>
  <c r="G53" i="27"/>
  <c r="G54" i="27"/>
  <c r="G55" i="27"/>
  <c r="G56" i="27"/>
  <c r="G57" i="27"/>
  <c r="G58" i="27"/>
  <c r="G59" i="27"/>
  <c r="G60" i="27"/>
  <c r="G61" i="27"/>
  <c r="G62" i="27"/>
  <c r="G63" i="27"/>
  <c r="G64"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27" i="27"/>
  <c r="C16" i="27" l="1"/>
  <c r="C15" i="27"/>
  <c r="C19" i="27"/>
  <c r="C18" i="27"/>
  <c r="C17" i="27"/>
  <c r="C10" i="27"/>
  <c r="C11" i="27"/>
  <c r="C12" i="25"/>
  <c r="D12" i="25"/>
  <c r="C6" i="25"/>
  <c r="D6" i="25"/>
  <c r="C7" i="25"/>
  <c r="D7" i="25"/>
  <c r="C8" i="25"/>
  <c r="D8" i="25"/>
  <c r="C9" i="25"/>
  <c r="D9" i="25"/>
  <c r="C10" i="25"/>
  <c r="D10" i="25"/>
  <c r="C11" i="25"/>
  <c r="D11" i="25"/>
  <c r="I186" i="27" l="1"/>
  <c r="I185" i="27"/>
  <c r="I184" i="27"/>
  <c r="I183" i="27"/>
  <c r="I182" i="27"/>
  <c r="I181" i="27"/>
  <c r="I180" i="27"/>
  <c r="I179" i="27"/>
  <c r="I178" i="27"/>
  <c r="I177" i="27"/>
  <c r="I176" i="27"/>
  <c r="I175" i="27"/>
  <c r="I174" i="27"/>
  <c r="I173" i="27"/>
  <c r="I172" i="27"/>
  <c r="I171" i="27"/>
  <c r="I170" i="27"/>
  <c r="I169" i="27"/>
  <c r="I168" i="27"/>
  <c r="I167" i="27"/>
  <c r="I166" i="27"/>
  <c r="I165" i="27"/>
  <c r="I164" i="27"/>
  <c r="I163" i="27"/>
  <c r="I162" i="27"/>
  <c r="I161" i="27"/>
  <c r="I160" i="27"/>
  <c r="I159" i="27"/>
  <c r="I158" i="27"/>
  <c r="I157" i="27"/>
  <c r="I156" i="27"/>
  <c r="I155" i="27"/>
  <c r="I154" i="27"/>
  <c r="I153" i="27"/>
  <c r="I152" i="27"/>
  <c r="I151" i="27"/>
  <c r="I150" i="27"/>
  <c r="I149" i="27"/>
  <c r="I148" i="27"/>
  <c r="I147" i="27"/>
  <c r="I146" i="27"/>
  <c r="I145" i="27"/>
  <c r="I144" i="27"/>
  <c r="I143" i="27"/>
  <c r="I142" i="27"/>
  <c r="I141" i="27"/>
  <c r="I140" i="27"/>
  <c r="I139" i="27"/>
  <c r="I138" i="27"/>
  <c r="I137" i="27"/>
  <c r="I136" i="27"/>
  <c r="I135" i="27"/>
  <c r="I134" i="27"/>
  <c r="I133" i="27"/>
  <c r="I132" i="27"/>
  <c r="I131" i="27"/>
  <c r="I130" i="27"/>
  <c r="I129" i="27"/>
  <c r="I128" i="27"/>
  <c r="I127" i="27"/>
  <c r="I126" i="27"/>
  <c r="I125" i="27"/>
  <c r="I124" i="27"/>
  <c r="I123" i="27"/>
  <c r="I122" i="27"/>
  <c r="I121" i="27"/>
  <c r="I120" i="27"/>
  <c r="I119" i="27"/>
  <c r="I118" i="27"/>
  <c r="I117" i="27"/>
  <c r="I116" i="27"/>
  <c r="I115" i="27"/>
  <c r="I114" i="27"/>
  <c r="I113" i="27"/>
  <c r="I112" i="27"/>
  <c r="I111" i="27"/>
  <c r="I110" i="27"/>
  <c r="I109" i="27"/>
  <c r="I108" i="27"/>
  <c r="I107" i="27"/>
  <c r="I106" i="27"/>
  <c r="I105" i="27"/>
  <c r="I104" i="27"/>
  <c r="I103" i="27"/>
  <c r="I102" i="27"/>
  <c r="I101" i="27"/>
  <c r="I100" i="27"/>
  <c r="I99" i="27"/>
  <c r="I98" i="27"/>
  <c r="I97" i="27"/>
  <c r="I96" i="27"/>
  <c r="I95" i="27"/>
  <c r="I94" i="27"/>
  <c r="I93" i="27"/>
  <c r="I92" i="27"/>
  <c r="I91" i="27"/>
  <c r="I90" i="27"/>
  <c r="I89" i="27"/>
  <c r="I88" i="27"/>
  <c r="I87" i="27"/>
  <c r="I86" i="27"/>
  <c r="I85" i="27"/>
  <c r="I84" i="27"/>
  <c r="I83" i="27"/>
  <c r="I82" i="27"/>
  <c r="I81" i="27"/>
  <c r="I80"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K28" i="27"/>
  <c r="K42" i="27"/>
  <c r="K43" i="27"/>
  <c r="K44" i="27"/>
  <c r="K45" i="27"/>
  <c r="K46" i="27"/>
  <c r="K47" i="27"/>
  <c r="K48" i="27"/>
  <c r="K49" i="27"/>
  <c r="K50" i="27"/>
  <c r="K51" i="27"/>
  <c r="K52" i="27"/>
  <c r="K53" i="27"/>
  <c r="K54" i="27"/>
  <c r="K56" i="27"/>
  <c r="K57" i="27"/>
  <c r="K58" i="27"/>
  <c r="K60" i="27"/>
  <c r="K61" i="27"/>
  <c r="K62" i="27"/>
  <c r="K64" i="27"/>
  <c r="K65" i="27"/>
  <c r="K66" i="27"/>
  <c r="K68" i="27"/>
  <c r="K71" i="27"/>
  <c r="K72" i="27"/>
  <c r="K79" i="27"/>
  <c r="K88" i="27"/>
  <c r="K55" i="27"/>
  <c r="K59" i="27"/>
  <c r="K63" i="27"/>
  <c r="K67" i="27"/>
  <c r="K95" i="27"/>
  <c r="K83" i="27"/>
  <c r="K91" i="27"/>
  <c r="K96" i="27"/>
  <c r="K97" i="27"/>
  <c r="K98" i="27"/>
  <c r="K99" i="27"/>
  <c r="K100" i="27"/>
  <c r="K101" i="27"/>
  <c r="K102" i="27"/>
  <c r="K103" i="27"/>
  <c r="K104" i="27"/>
  <c r="K105" i="27"/>
  <c r="K106" i="27"/>
  <c r="K107" i="27"/>
  <c r="K108" i="27"/>
  <c r="K184" i="27"/>
  <c r="K186" i="27"/>
  <c r="K34" i="27"/>
  <c r="K35" i="27"/>
  <c r="K37" i="27"/>
  <c r="K40" i="27"/>
  <c r="K73" i="27"/>
  <c r="K75" i="27"/>
  <c r="K77" i="27"/>
  <c r="K82" i="27"/>
  <c r="K85" i="27"/>
  <c r="K109" i="27"/>
  <c r="K110" i="27"/>
  <c r="K111" i="27"/>
  <c r="K112" i="27"/>
  <c r="K113" i="27"/>
  <c r="K114" i="27"/>
  <c r="K115" i="27"/>
  <c r="K116" i="27"/>
  <c r="K117" i="27"/>
  <c r="K118" i="27"/>
  <c r="K119" i="27"/>
  <c r="K120" i="27"/>
  <c r="K121" i="27"/>
  <c r="K122" i="27"/>
  <c r="K123" i="27"/>
  <c r="K124" i="27"/>
  <c r="K125" i="27"/>
  <c r="K126" i="27"/>
  <c r="K127" i="27"/>
  <c r="K128" i="27"/>
  <c r="K129" i="27"/>
  <c r="K130" i="27"/>
  <c r="K132" i="27"/>
  <c r="K134" i="27"/>
  <c r="K135" i="27"/>
  <c r="K30" i="27"/>
  <c r="K33" i="27"/>
  <c r="K69" i="27"/>
  <c r="K78" i="27"/>
  <c r="K86" i="27"/>
  <c r="K90" i="27"/>
  <c r="K131" i="27"/>
  <c r="K133" i="27"/>
  <c r="K185" i="27"/>
  <c r="K136" i="27"/>
  <c r="K137" i="27"/>
  <c r="K138" i="27"/>
  <c r="K139" i="27"/>
  <c r="K140" i="27"/>
  <c r="K141" i="27"/>
  <c r="K142" i="27"/>
  <c r="K143" i="27"/>
  <c r="K144" i="27"/>
  <c r="K145" i="27"/>
  <c r="K146" i="27"/>
  <c r="K147" i="27"/>
  <c r="K148" i="27"/>
  <c r="K177" i="27"/>
  <c r="K179" i="27"/>
  <c r="K180" i="27"/>
  <c r="K183" i="27"/>
  <c r="K74" i="27"/>
  <c r="K81" i="27"/>
  <c r="K87" i="27"/>
  <c r="K92" i="27"/>
  <c r="K93" i="27"/>
  <c r="K149" i="27"/>
  <c r="K150" i="27"/>
  <c r="K151" i="27"/>
  <c r="K152" i="27"/>
  <c r="K153" i="27"/>
  <c r="K154" i="27"/>
  <c r="K155" i="27"/>
  <c r="K156" i="27"/>
  <c r="K157" i="27"/>
  <c r="K158" i="27"/>
  <c r="K159" i="27"/>
  <c r="K160" i="27"/>
  <c r="K161" i="27"/>
  <c r="K162" i="27"/>
  <c r="K163" i="27"/>
  <c r="K164" i="27"/>
  <c r="K165" i="27"/>
  <c r="K166" i="27"/>
  <c r="K167" i="27"/>
  <c r="K168" i="27"/>
  <c r="K169" i="27"/>
  <c r="K170" i="27"/>
  <c r="K171" i="27"/>
  <c r="K172" i="27"/>
  <c r="K173" i="27"/>
  <c r="K174" i="27"/>
  <c r="K176" i="27"/>
  <c r="K178" i="27"/>
  <c r="K182" i="27"/>
  <c r="K29" i="27"/>
  <c r="K32" i="27"/>
  <c r="K38" i="27"/>
  <c r="K70" i="27"/>
  <c r="K76" i="27"/>
  <c r="K84" i="27"/>
  <c r="K89" i="27"/>
  <c r="K175" i="27"/>
  <c r="K181" i="27"/>
  <c r="K31" i="27"/>
  <c r="K36" i="27"/>
  <c r="K39" i="27"/>
  <c r="K41" i="27"/>
  <c r="K80" i="27"/>
  <c r="K94" i="27"/>
  <c r="C12" i="27"/>
  <c r="C13" i="27" s="1"/>
  <c r="J186" i="27" l="1"/>
  <c r="L186" i="27"/>
  <c r="J185" i="27"/>
  <c r="L185" i="27"/>
  <c r="J184" i="27"/>
  <c r="L184" i="27"/>
  <c r="J183" i="27"/>
  <c r="L183" i="27"/>
  <c r="J182" i="27"/>
  <c r="L182" i="27"/>
  <c r="J181" i="27"/>
  <c r="L181" i="27"/>
  <c r="J180" i="27"/>
  <c r="L180" i="27"/>
  <c r="J179" i="27"/>
  <c r="L179" i="27"/>
  <c r="J178" i="27"/>
  <c r="L178" i="27"/>
  <c r="J177" i="27"/>
  <c r="L177" i="27"/>
  <c r="J176" i="27"/>
  <c r="L176" i="27"/>
  <c r="J175" i="27"/>
  <c r="L175" i="27"/>
  <c r="J174" i="27"/>
  <c r="L174" i="27"/>
  <c r="J173" i="27"/>
  <c r="L173" i="27"/>
  <c r="J172" i="27"/>
  <c r="L172" i="27"/>
  <c r="J171" i="27"/>
  <c r="L171" i="27"/>
  <c r="J170" i="27"/>
  <c r="L170" i="27"/>
  <c r="J169" i="27"/>
  <c r="L169" i="27"/>
  <c r="J168" i="27"/>
  <c r="L168" i="27"/>
  <c r="J167" i="27"/>
  <c r="L167" i="27"/>
  <c r="J166" i="27"/>
  <c r="L166" i="27"/>
  <c r="J165" i="27"/>
  <c r="L165" i="27"/>
  <c r="J164" i="27"/>
  <c r="L164" i="27"/>
  <c r="J163" i="27"/>
  <c r="L163" i="27"/>
  <c r="J162" i="27"/>
  <c r="L162" i="27"/>
  <c r="J161" i="27"/>
  <c r="L161" i="27"/>
  <c r="J160" i="27"/>
  <c r="L160" i="27"/>
  <c r="J159" i="27"/>
  <c r="L159" i="27"/>
  <c r="J158" i="27"/>
  <c r="L158" i="27"/>
  <c r="J157" i="27"/>
  <c r="L157" i="27"/>
  <c r="J156" i="27"/>
  <c r="L156" i="27"/>
  <c r="J155" i="27"/>
  <c r="L155" i="27"/>
  <c r="J154" i="27"/>
  <c r="L154" i="27"/>
  <c r="J153" i="27"/>
  <c r="L153" i="27"/>
  <c r="J152" i="27"/>
  <c r="L152" i="27"/>
  <c r="J151" i="27"/>
  <c r="L151" i="27"/>
  <c r="J150" i="27"/>
  <c r="L150" i="27"/>
  <c r="J149" i="27"/>
  <c r="L149" i="27"/>
  <c r="J148" i="27"/>
  <c r="L148" i="27"/>
  <c r="J147" i="27"/>
  <c r="L147" i="27"/>
  <c r="J146" i="27"/>
  <c r="L146" i="27"/>
  <c r="J145" i="27"/>
  <c r="L145" i="27"/>
  <c r="J144" i="27"/>
  <c r="L144" i="27"/>
  <c r="J143" i="27"/>
  <c r="L143" i="27"/>
  <c r="J142" i="27"/>
  <c r="L142" i="27"/>
  <c r="J141" i="27"/>
  <c r="L141" i="27"/>
  <c r="J140" i="27"/>
  <c r="L140" i="27"/>
  <c r="J139" i="27"/>
  <c r="L139" i="27"/>
  <c r="J138" i="27"/>
  <c r="L138" i="27"/>
  <c r="J137" i="27"/>
  <c r="L137" i="27"/>
  <c r="J136" i="27"/>
  <c r="L136" i="27"/>
  <c r="J135" i="27"/>
  <c r="L135" i="27"/>
  <c r="J134" i="27"/>
  <c r="L134" i="27"/>
  <c r="J133" i="27"/>
  <c r="L133" i="27"/>
  <c r="J132" i="27"/>
  <c r="L132" i="27"/>
  <c r="J131" i="27"/>
  <c r="L131" i="27"/>
  <c r="J130" i="27"/>
  <c r="L130" i="27"/>
  <c r="J129" i="27"/>
  <c r="L129" i="27"/>
  <c r="J128" i="27"/>
  <c r="L128" i="27"/>
  <c r="J127" i="27"/>
  <c r="L127" i="27"/>
  <c r="J126" i="27"/>
  <c r="L126" i="27"/>
  <c r="J125" i="27"/>
  <c r="L125" i="27"/>
  <c r="J124" i="27"/>
  <c r="L124" i="27"/>
  <c r="J123" i="27"/>
  <c r="L123" i="27"/>
  <c r="J122" i="27"/>
  <c r="L122" i="27"/>
  <c r="J121" i="27"/>
  <c r="L121" i="27"/>
  <c r="J120" i="27"/>
  <c r="L120" i="27"/>
  <c r="J119" i="27"/>
  <c r="L119" i="27"/>
  <c r="J118" i="27"/>
  <c r="L118" i="27"/>
  <c r="J117" i="27"/>
  <c r="L117" i="27"/>
  <c r="J116" i="27"/>
  <c r="L116" i="27"/>
  <c r="J115" i="27"/>
  <c r="L115" i="27"/>
  <c r="J114" i="27"/>
  <c r="L114" i="27"/>
  <c r="J113" i="27"/>
  <c r="L113" i="27"/>
  <c r="J112" i="27"/>
  <c r="L112" i="27"/>
  <c r="J111" i="27"/>
  <c r="L111" i="27"/>
  <c r="J110" i="27"/>
  <c r="L110" i="27"/>
  <c r="J109" i="27"/>
  <c r="L109" i="27"/>
  <c r="J108" i="27"/>
  <c r="L108" i="27"/>
  <c r="J107" i="27"/>
  <c r="L107" i="27"/>
  <c r="J106" i="27"/>
  <c r="L106" i="27"/>
  <c r="J105" i="27"/>
  <c r="L105" i="27"/>
  <c r="J104" i="27"/>
  <c r="L104" i="27"/>
  <c r="J103" i="27"/>
  <c r="L103" i="27"/>
  <c r="J102" i="27"/>
  <c r="L102" i="27"/>
  <c r="J101" i="27"/>
  <c r="L101" i="27"/>
  <c r="J100" i="27"/>
  <c r="L100" i="27"/>
  <c r="J99" i="27"/>
  <c r="L99" i="27"/>
  <c r="J98" i="27"/>
  <c r="L98" i="27"/>
  <c r="J97" i="27"/>
  <c r="L97" i="27"/>
  <c r="J96" i="27"/>
  <c r="L96" i="27"/>
  <c r="J95" i="27"/>
  <c r="L95" i="27"/>
  <c r="J94" i="27"/>
  <c r="L94" i="27"/>
  <c r="J93" i="27"/>
  <c r="L93" i="27"/>
  <c r="J92" i="27"/>
  <c r="L92" i="27"/>
  <c r="J91" i="27"/>
  <c r="L91" i="27"/>
  <c r="J90" i="27"/>
  <c r="L90" i="27"/>
  <c r="J89" i="27"/>
  <c r="L89" i="27"/>
  <c r="J88" i="27"/>
  <c r="L88" i="27"/>
  <c r="J87" i="27"/>
  <c r="L87" i="27"/>
  <c r="J86" i="27"/>
  <c r="L86" i="27"/>
  <c r="J85" i="27"/>
  <c r="L85" i="27"/>
  <c r="J84" i="27"/>
  <c r="L84" i="27"/>
  <c r="J83" i="27"/>
  <c r="L83" i="27"/>
  <c r="J82" i="27"/>
  <c r="L82" i="27"/>
  <c r="J81" i="27"/>
  <c r="L81" i="27"/>
  <c r="J80" i="27"/>
  <c r="L80" i="27"/>
  <c r="J79" i="27"/>
  <c r="L79" i="27"/>
  <c r="J78" i="27"/>
  <c r="L78" i="27"/>
  <c r="J77" i="27"/>
  <c r="L77" i="27"/>
  <c r="J76" i="27"/>
  <c r="L76" i="27"/>
  <c r="J75" i="27"/>
  <c r="L75" i="27"/>
  <c r="J74" i="27"/>
  <c r="L74" i="27"/>
  <c r="J73" i="27"/>
  <c r="L73" i="27"/>
  <c r="J72" i="27"/>
  <c r="L72" i="27"/>
  <c r="J71" i="27"/>
  <c r="L71" i="27"/>
  <c r="J70" i="27"/>
  <c r="L70" i="27"/>
  <c r="J69" i="27"/>
  <c r="L69" i="27"/>
  <c r="J68" i="27"/>
  <c r="L68" i="27"/>
  <c r="J67" i="27"/>
  <c r="L67" i="27"/>
  <c r="J66" i="27"/>
  <c r="L66" i="27"/>
  <c r="J65" i="27"/>
  <c r="L65" i="27"/>
  <c r="J64" i="27"/>
  <c r="L64" i="27"/>
  <c r="J63" i="27"/>
  <c r="L63" i="27"/>
  <c r="J62" i="27"/>
  <c r="L62" i="27"/>
  <c r="J61" i="27"/>
  <c r="L61" i="27"/>
  <c r="J60" i="27"/>
  <c r="L60" i="27"/>
  <c r="J59" i="27"/>
  <c r="L59" i="27"/>
  <c r="J58" i="27"/>
  <c r="L58" i="27"/>
  <c r="J57" i="27"/>
  <c r="L57" i="27"/>
  <c r="J56" i="27"/>
  <c r="L56" i="27"/>
  <c r="J55" i="27"/>
  <c r="L55" i="27"/>
  <c r="J54" i="27"/>
  <c r="L54" i="27"/>
  <c r="J53" i="27"/>
  <c r="L53" i="27"/>
  <c r="J52" i="27"/>
  <c r="L52" i="27"/>
  <c r="J51" i="27"/>
  <c r="L51" i="27"/>
  <c r="J50" i="27"/>
  <c r="L50" i="27"/>
  <c r="J49" i="27"/>
  <c r="L49" i="27"/>
  <c r="J48" i="27"/>
  <c r="L48" i="27"/>
  <c r="J47" i="27"/>
  <c r="L47" i="27"/>
  <c r="J46" i="27"/>
  <c r="L46" i="27"/>
  <c r="J45" i="27"/>
  <c r="L45" i="27"/>
  <c r="J44" i="27"/>
  <c r="L44" i="27"/>
  <c r="J43" i="27"/>
  <c r="L43" i="27"/>
  <c r="J42" i="27"/>
  <c r="L42" i="27"/>
  <c r="J41" i="27"/>
  <c r="L41" i="27"/>
  <c r="J40" i="27"/>
  <c r="L40" i="27"/>
  <c r="J39" i="27"/>
  <c r="L39" i="27"/>
  <c r="J38" i="27"/>
  <c r="L38" i="27"/>
  <c r="J37" i="27"/>
  <c r="L37" i="27"/>
  <c r="J36" i="27"/>
  <c r="L36" i="27"/>
  <c r="J35" i="27"/>
  <c r="L35" i="27"/>
  <c r="J34" i="27"/>
  <c r="L34" i="27"/>
  <c r="J33" i="27"/>
  <c r="L33" i="27"/>
  <c r="J32" i="27"/>
  <c r="L32" i="27"/>
  <c r="J31" i="27"/>
  <c r="L31" i="27"/>
  <c r="J30" i="27"/>
  <c r="L30" i="27"/>
  <c r="J29" i="27"/>
  <c r="L29" i="27"/>
  <c r="J28" i="27"/>
  <c r="C20" i="27" s="1"/>
  <c r="L28" i="27"/>
  <c r="C22" i="27" s="1"/>
  <c r="C21"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<sst xmlns="http://schemas.openxmlformats.org/spreadsheetml/2006/main" count="405" uniqueCount="163">
  <si>
    <t>State of economy</t>
  </si>
  <si>
    <t>Prob of State</t>
  </si>
  <si>
    <t>Estimated Stock A Return if State Occurs</t>
  </si>
  <si>
    <t>Estimated Stock B Return if State Occurs</t>
  </si>
  <si>
    <t>Recession</t>
  </si>
  <si>
    <t>Normal</t>
  </si>
  <si>
    <t>Boom</t>
  </si>
  <si>
    <t>Individual Expected Return (Type of Average)</t>
  </si>
  <si>
    <t>R*Prob</t>
  </si>
  <si>
    <r>
      <t>E(R</t>
    </r>
    <r>
      <rPr>
        <b/>
        <vertAlign val="subscript"/>
        <sz val="11"/>
        <color indexed="8"/>
        <rFont val="Calibri"/>
        <family val="2"/>
      </rPr>
      <t>A</t>
    </r>
    <r>
      <rPr>
        <b/>
        <sz val="11"/>
        <color indexed="8"/>
        <rFont val="Calibri"/>
        <family val="2"/>
      </rPr>
      <t>)</t>
    </r>
  </si>
  <si>
    <r>
      <t>E(R</t>
    </r>
    <r>
      <rPr>
        <b/>
        <vertAlign val="subscript"/>
        <sz val="11"/>
        <color indexed="8"/>
        <rFont val="Calibri"/>
        <family val="2"/>
      </rPr>
      <t>B</t>
    </r>
    <r>
      <rPr>
        <b/>
        <sz val="11"/>
        <color indexed="8"/>
        <rFont val="Calibri"/>
        <family val="2"/>
      </rPr>
      <t>)</t>
    </r>
  </si>
  <si>
    <t>Add</t>
  </si>
  <si>
    <t>Expected Return based on Estimations both from past stock data and estimates of future economic states</t>
  </si>
  <si>
    <t>Individual Standard Deviation (Measure of Volitility or Risk of Stock)</t>
  </si>
  <si>
    <r>
      <t>SD</t>
    </r>
    <r>
      <rPr>
        <b/>
        <vertAlign val="subscript"/>
        <sz val="11"/>
        <color indexed="8"/>
        <rFont val="Calibri"/>
        <family val="2"/>
      </rPr>
      <t>A</t>
    </r>
  </si>
  <si>
    <r>
      <t>SD</t>
    </r>
    <r>
      <rPr>
        <b/>
        <vertAlign val="subscript"/>
        <sz val="11"/>
        <color indexed="8"/>
        <rFont val="Calibri"/>
        <family val="2"/>
      </rPr>
      <t>B</t>
    </r>
  </si>
  <si>
    <t>SQRT</t>
  </si>
  <si>
    <t>Total Risk</t>
  </si>
  <si>
    <t>Stadard Deviation (Measure of total risk) based on Estimations both from past stock data and estimates of future economic states</t>
  </si>
  <si>
    <t>Stock</t>
  </si>
  <si>
    <t>A</t>
  </si>
  <si>
    <t>B</t>
  </si>
  <si>
    <t>Invested</t>
  </si>
  <si>
    <t>Weight</t>
  </si>
  <si>
    <r>
      <t>(R</t>
    </r>
    <r>
      <rPr>
        <vertAlign val="subscript"/>
        <sz val="11"/>
        <color indexed="9"/>
        <rFont val="Calibri"/>
        <family val="2"/>
      </rPr>
      <t>IfStaeOccurs</t>
    </r>
    <r>
      <rPr>
        <sz val="11"/>
        <color indexed="9"/>
        <rFont val="Calibri"/>
        <family val="2"/>
      </rPr>
      <t xml:space="preserve"> - E(R</t>
    </r>
    <r>
      <rPr>
        <vertAlign val="subscript"/>
        <sz val="11"/>
        <color indexed="9"/>
        <rFont val="Calibri"/>
        <family val="2"/>
      </rPr>
      <t>P</t>
    </r>
    <r>
      <rPr>
        <sz val="11"/>
        <color indexed="9"/>
        <rFont val="Calibri"/>
        <family val="2"/>
      </rPr>
      <t>))^2*Prob</t>
    </r>
  </si>
  <si>
    <t>E(RP)</t>
  </si>
  <si>
    <t>Variance of P</t>
  </si>
  <si>
    <t>Standard Deviation of P</t>
  </si>
  <si>
    <t>C</t>
  </si>
  <si>
    <t>Total</t>
  </si>
  <si>
    <t>Beta</t>
  </si>
  <si>
    <t>Rf</t>
  </si>
  <si>
    <t>W</t>
  </si>
  <si>
    <t>Portfolio Beta</t>
  </si>
  <si>
    <t>Y</t>
  </si>
  <si>
    <t>Z</t>
  </si>
  <si>
    <t>Market Risk Premium = E(RM) - Rf</t>
  </si>
  <si>
    <t>Irrational Exuberance</t>
  </si>
  <si>
    <t>http://screen.finance.yahoo.com/stocks.html</t>
  </si>
  <si>
    <t>99 Cents Only Stores Common Sto</t>
  </si>
  <si>
    <t>AutoZone, Inc. Common Stock</t>
  </si>
  <si>
    <t>Radioshack Corporation Common S</t>
  </si>
  <si>
    <t>GAP</t>
  </si>
  <si>
    <t>Nordstrom</t>
  </si>
  <si>
    <t>AB&amp;T FINANCIAL CORP</t>
  </si>
  <si>
    <t>3DICON CORPORATION (holographic technology)</t>
  </si>
  <si>
    <t>Date</t>
  </si>
  <si>
    <t>Mean</t>
  </si>
  <si>
    <t>WFMI Close Adj</t>
  </si>
  <si>
    <t>S&amp;P 500 Adj</t>
  </si>
  <si>
    <t>Weekly Mean</t>
  </si>
  <si>
    <t>Weekly Geomean</t>
  </si>
  <si>
    <t>Ave of 2</t>
  </si>
  <si>
    <t>APR</t>
  </si>
  <si>
    <t>Market Model</t>
  </si>
  <si>
    <r>
      <t>R</t>
    </r>
    <r>
      <rPr>
        <vertAlign val="subscript"/>
        <sz val="20"/>
        <color theme="1"/>
        <rFont val="Calibri"/>
        <family val="2"/>
        <scheme val="minor"/>
      </rPr>
      <t>t</t>
    </r>
    <r>
      <rPr>
        <sz val="20"/>
        <color theme="1"/>
        <rFont val="Calibri"/>
        <family val="2"/>
        <scheme val="minor"/>
      </rPr>
      <t xml:space="preserve"> - R</t>
    </r>
    <r>
      <rPr>
        <vertAlign val="subscript"/>
        <sz val="20"/>
        <color theme="1"/>
        <rFont val="Calibri"/>
        <family val="2"/>
        <scheme val="minor"/>
      </rPr>
      <t>Rf</t>
    </r>
    <r>
      <rPr>
        <sz val="20"/>
        <color theme="1"/>
        <rFont val="Calibri"/>
        <family val="2"/>
        <scheme val="minor"/>
      </rPr>
      <t xml:space="preserve"> = Alpha</t>
    </r>
    <r>
      <rPr>
        <vertAlign val="subscript"/>
        <sz val="20"/>
        <color theme="1"/>
        <rFont val="Calibri"/>
        <family val="2"/>
        <scheme val="minor"/>
      </rPr>
      <t>i</t>
    </r>
    <r>
      <rPr>
        <sz val="20"/>
        <color theme="1"/>
        <rFont val="Calibri"/>
        <family val="2"/>
        <scheme val="minor"/>
      </rPr>
      <t xml:space="preserve"> + Beta</t>
    </r>
    <r>
      <rPr>
        <vertAlign val="subscript"/>
        <sz val="20"/>
        <color theme="1"/>
        <rFont val="Calibri"/>
        <family val="2"/>
        <scheme val="minor"/>
      </rPr>
      <t>i</t>
    </r>
    <r>
      <rPr>
        <sz val="20"/>
        <color theme="1"/>
        <rFont val="Calibri"/>
        <family val="2"/>
        <scheme val="minor"/>
      </rPr>
      <t xml:space="preserve"> * [R</t>
    </r>
    <r>
      <rPr>
        <vertAlign val="subscript"/>
        <sz val="20"/>
        <color theme="1"/>
        <rFont val="Calibri"/>
        <family val="2"/>
        <scheme val="minor"/>
      </rPr>
      <t>M</t>
    </r>
    <r>
      <rPr>
        <sz val="20"/>
        <color theme="1"/>
        <rFont val="Calibri"/>
        <family val="2"/>
        <scheme val="minor"/>
      </rPr>
      <t xml:space="preserve"> - R</t>
    </r>
    <r>
      <rPr>
        <vertAlign val="subscript"/>
        <sz val="20"/>
        <color theme="1"/>
        <rFont val="Calibri"/>
        <family val="2"/>
        <scheme val="minor"/>
      </rPr>
      <t>Rf</t>
    </r>
    <r>
      <rPr>
        <sz val="20"/>
        <color theme="1"/>
        <rFont val="Calibri"/>
        <family val="2"/>
        <scheme val="minor"/>
      </rPr>
      <t>] + Epsilon</t>
    </r>
    <r>
      <rPr>
        <vertAlign val="subscript"/>
        <sz val="20"/>
        <color theme="1"/>
        <rFont val="Calibri"/>
        <family val="2"/>
        <scheme val="minor"/>
      </rPr>
      <t>t</t>
    </r>
  </si>
  <si>
    <r>
      <t>R</t>
    </r>
    <r>
      <rPr>
        <vertAlign val="subscript"/>
        <sz val="11"/>
        <color theme="1"/>
        <rFont val="Calibri"/>
        <family val="2"/>
        <scheme val="minor"/>
      </rPr>
      <t>t</t>
    </r>
  </si>
  <si>
    <t>Return on the Stock for a given period</t>
  </si>
  <si>
    <r>
      <t>R</t>
    </r>
    <r>
      <rPr>
        <vertAlign val="subscript"/>
        <sz val="11"/>
        <color theme="1"/>
        <rFont val="Calibri"/>
        <family val="2"/>
        <scheme val="minor"/>
      </rPr>
      <t>Rf</t>
    </r>
  </si>
  <si>
    <t>Risk-Free Rate for a given period</t>
  </si>
  <si>
    <r>
      <t>Alpha</t>
    </r>
    <r>
      <rPr>
        <vertAlign val="subscript"/>
        <sz val="11"/>
        <color theme="1"/>
        <rFont val="Calibri"/>
        <family val="2"/>
        <scheme val="minor"/>
      </rPr>
      <t>i</t>
    </r>
  </si>
  <si>
    <t>Regression Intercept</t>
  </si>
  <si>
    <r>
      <t>Beta</t>
    </r>
    <r>
      <rPr>
        <vertAlign val="subscript"/>
        <sz val="11"/>
        <color theme="1"/>
        <rFont val="Calibri"/>
        <family val="2"/>
        <scheme val="minor"/>
      </rPr>
      <t>i</t>
    </r>
  </si>
  <si>
    <t>Regression Slope (stock's estimated Beta)</t>
  </si>
  <si>
    <r>
      <t>R</t>
    </r>
    <r>
      <rPr>
        <vertAlign val="subscript"/>
        <sz val="11"/>
        <color theme="1"/>
        <rFont val="Calibri"/>
        <family val="2"/>
        <scheme val="minor"/>
      </rPr>
      <t>M</t>
    </r>
  </si>
  <si>
    <t>Return on the Stock Market for a given period</t>
  </si>
  <si>
    <r>
      <rPr>
        <sz val="11"/>
        <color theme="1"/>
        <rFont val="Calibri"/>
        <family val="2"/>
        <scheme val="minor"/>
      </rPr>
      <t>Epsilon</t>
    </r>
    <r>
      <rPr>
        <vertAlign val="subscript"/>
        <sz val="11"/>
        <color theme="1"/>
        <rFont val="Calibri"/>
        <family val="2"/>
        <scheme val="minor"/>
      </rPr>
      <t>t</t>
    </r>
  </si>
  <si>
    <t>Residuals for the Regression</t>
  </si>
  <si>
    <t>Count</t>
  </si>
  <si>
    <r>
      <t>Y</t>
    </r>
    <r>
      <rPr>
        <vertAlign val="subscript"/>
        <sz val="11"/>
        <color theme="1"/>
        <rFont val="Calibri"/>
        <family val="2"/>
        <scheme val="minor"/>
      </rPr>
      <t>bar</t>
    </r>
  </si>
  <si>
    <t>Weekly Return WFMI</t>
  </si>
  <si>
    <t>Weekly Return S &amp; P</t>
  </si>
  <si>
    <t xml:space="preserve">Intercept = </t>
  </si>
  <si>
    <t>Slope = Beta</t>
  </si>
  <si>
    <t>Standard Error for Linear Regression</t>
  </si>
  <si>
    <r>
      <t>Y</t>
    </r>
    <r>
      <rPr>
        <vertAlign val="subscript"/>
        <sz val="11"/>
        <color theme="1"/>
        <rFont val="Calibri"/>
        <family val="2"/>
        <scheme val="minor"/>
      </rPr>
      <t>hat</t>
    </r>
    <r>
      <rPr>
        <sz val="11"/>
        <color theme="1"/>
        <rFont val="Calibri"/>
        <family val="2"/>
        <scheme val="minor"/>
      </rPr>
      <t xml:space="preserve"> estimated WFMI Return</t>
    </r>
  </si>
  <si>
    <r>
      <t>(Y-Y</t>
    </r>
    <r>
      <rPr>
        <vertAlign val="subscript"/>
        <sz val="11"/>
        <color theme="1"/>
        <rFont val="Calibri"/>
        <family val="2"/>
        <scheme val="minor"/>
      </rPr>
      <t>hat</t>
    </r>
    <r>
      <rPr>
        <sz val="11"/>
        <color theme="1"/>
        <rFont val="Calibri"/>
        <family val="2"/>
        <scheme val="minor"/>
      </rPr>
      <t>) Residuals (Actual - Predicted)</t>
    </r>
  </si>
  <si>
    <r>
      <t>Total Variation (Y- Y</t>
    </r>
    <r>
      <rPr>
        <vertAlign val="subscript"/>
        <sz val="11"/>
        <color theme="1"/>
        <rFont val="Calibri"/>
        <family val="2"/>
        <scheme val="minor"/>
      </rPr>
      <t>bar</t>
    </r>
    <r>
      <rPr>
        <sz val="11"/>
        <color theme="1"/>
        <rFont val="Calibri"/>
        <family val="2"/>
        <scheme val="minor"/>
      </rPr>
      <t>)</t>
    </r>
  </si>
  <si>
    <r>
      <t>Explained Variation Regression (Y</t>
    </r>
    <r>
      <rPr>
        <vertAlign val="subscript"/>
        <sz val="11"/>
        <color theme="1"/>
        <rFont val="Calibri"/>
        <family val="2"/>
        <scheme val="minor"/>
      </rPr>
      <t>hat</t>
    </r>
    <r>
      <rPr>
        <sz val="11"/>
        <color theme="1"/>
        <rFont val="Calibri"/>
        <family val="2"/>
        <scheme val="minor"/>
      </rPr>
      <t xml:space="preserve"> - Y</t>
    </r>
    <r>
      <rPr>
        <vertAlign val="subscript"/>
        <sz val="11"/>
        <color theme="1"/>
        <rFont val="Calibri"/>
        <family val="2"/>
        <scheme val="minor"/>
      </rPr>
      <t>bar</t>
    </r>
    <r>
      <rPr>
        <sz val="11"/>
        <color theme="1"/>
        <rFont val="Calibri"/>
        <family val="2"/>
        <scheme val="minor"/>
      </rPr>
      <t>)</t>
    </r>
  </si>
  <si>
    <t>Total Variation</t>
  </si>
  <si>
    <t>Explained Variation</t>
  </si>
  <si>
    <t xml:space="preserve"> Actual - Predicted</t>
  </si>
  <si>
    <t>Actual - Average</t>
  </si>
  <si>
    <t>Predicted - Average</t>
  </si>
  <si>
    <t>Slope</t>
  </si>
  <si>
    <t>Amount of systematic risk</t>
  </si>
  <si>
    <t>Expected Return and SD for 1 stock</t>
  </si>
  <si>
    <t>Expected Return and SD for portfolio</t>
  </si>
  <si>
    <t>Risk Reward Ratio</t>
  </si>
  <si>
    <t>CAPM</t>
  </si>
  <si>
    <t>Amount Invetsed</t>
  </si>
  <si>
    <t>Expected Return</t>
  </si>
  <si>
    <t>D</t>
  </si>
  <si>
    <t>Expected Return for P</t>
  </si>
  <si>
    <r>
      <t>(R-E(R</t>
    </r>
    <r>
      <rPr>
        <vertAlign val="subscript"/>
        <sz val="11"/>
        <color theme="0"/>
        <rFont val="Calibri"/>
        <family val="2"/>
        <scheme val="minor"/>
      </rPr>
      <t>A</t>
    </r>
    <r>
      <rPr>
        <sz val="11"/>
        <color theme="0"/>
        <rFont val="Calibri"/>
        <family val="2"/>
        <scheme val="minor"/>
      </rPr>
      <t>))^2*Prob</t>
    </r>
  </si>
  <si>
    <r>
      <t>(R-E(R</t>
    </r>
    <r>
      <rPr>
        <vertAlign val="subscript"/>
        <sz val="11"/>
        <color theme="0"/>
        <rFont val="Calibri"/>
        <family val="2"/>
        <scheme val="minor"/>
      </rPr>
      <t>B</t>
    </r>
    <r>
      <rPr>
        <sz val="11"/>
        <color theme="0"/>
        <rFont val="Calibri"/>
        <family val="2"/>
        <scheme val="minor"/>
      </rPr>
      <t>))^2*Prob</t>
    </r>
  </si>
  <si>
    <r>
      <t>Estimated Return for Portfolio if State Occurs = R</t>
    </r>
    <r>
      <rPr>
        <vertAlign val="subscript"/>
        <sz val="11"/>
        <color theme="0"/>
        <rFont val="Calibri"/>
        <family val="2"/>
        <scheme val="minor"/>
      </rPr>
      <t>A</t>
    </r>
    <r>
      <rPr>
        <sz val="11"/>
        <color theme="0"/>
        <rFont val="Calibri"/>
        <family val="2"/>
        <scheme val="minor"/>
      </rPr>
      <t>*W</t>
    </r>
    <r>
      <rPr>
        <vertAlign val="subscript"/>
        <sz val="11"/>
        <color theme="0"/>
        <rFont val="Calibri"/>
        <family val="2"/>
        <scheme val="minor"/>
      </rPr>
      <t>A</t>
    </r>
    <r>
      <rPr>
        <sz val="11"/>
        <color theme="0"/>
        <rFont val="Calibri"/>
        <family val="2"/>
        <scheme val="minor"/>
      </rPr>
      <t>+R</t>
    </r>
    <r>
      <rPr>
        <vertAlign val="subscript"/>
        <sz val="11"/>
        <color theme="0"/>
        <rFont val="Calibri"/>
        <family val="2"/>
        <scheme val="minor"/>
      </rPr>
      <t>B</t>
    </r>
    <r>
      <rPr>
        <sz val="11"/>
        <color theme="0"/>
        <rFont val="Calibri"/>
        <family val="2"/>
        <scheme val="minor"/>
      </rPr>
      <t>*W</t>
    </r>
    <r>
      <rPr>
        <vertAlign val="subscript"/>
        <sz val="11"/>
        <color theme="0"/>
        <rFont val="Calibri"/>
        <family val="2"/>
        <scheme val="minor"/>
      </rPr>
      <t>B</t>
    </r>
  </si>
  <si>
    <t>Variance</t>
  </si>
  <si>
    <r>
      <rPr>
        <sz val="10"/>
        <color theme="1"/>
        <rFont val="Calibri"/>
        <family val="2"/>
        <scheme val="minor"/>
      </rPr>
      <t xml:space="preserve">Sep 30, 2004, Merck </t>
    </r>
    <r>
      <rPr>
        <i/>
        <sz val="10"/>
        <color rgb="FF000000"/>
        <rFont val="Calibri"/>
        <family val="2"/>
        <scheme val="minor"/>
      </rPr>
      <t xml:space="preserve">announced recall VIOXX, stock went from $45 to $33. </t>
    </r>
  </si>
  <si>
    <t>End</t>
  </si>
  <si>
    <t>Change</t>
  </si>
  <si>
    <t>Beg (Close Day Before)</t>
  </si>
  <si>
    <t>WFMI Weely Returns for Lat 4 Years</t>
  </si>
  <si>
    <t>S &amp; P Weely Returns for Lat 4 Years</t>
  </si>
  <si>
    <t>Copmany XYZ</t>
  </si>
  <si>
    <t>WFMI</t>
  </si>
  <si>
    <t>X</t>
  </si>
  <si>
    <t>Weights = Invested/(Total Invested)</t>
  </si>
  <si>
    <t>Expected Return
E(R)*W</t>
  </si>
  <si>
    <t>Beta
B*W</t>
  </si>
  <si>
    <t>Goal: Are stocks priced correctly?</t>
  </si>
  <si>
    <t>Beta Tells You How Much The Stock Should Move If The Market Moves By A Certain Amount</t>
  </si>
  <si>
    <t>Beta For Porfolio</t>
  </si>
  <si>
    <t xml:space="preserve">There is more reward than the model suggests there should be at the given risk level. If we believed our model, we would buy. </t>
  </si>
  <si>
    <t>E(RM)</t>
  </si>
  <si>
    <t>X Line Up</t>
  </si>
  <si>
    <t>Y Line Up</t>
  </si>
  <si>
    <t>X Line Over</t>
  </si>
  <si>
    <t>Y Line Over</t>
  </si>
  <si>
    <t>Market Return goes Up by</t>
  </si>
  <si>
    <t>Market Return goes Down by</t>
  </si>
  <si>
    <t>Return Should Change by</t>
  </si>
  <si>
    <t>Market eturn goes Down by</t>
  </si>
  <si>
    <t>Risk Free</t>
  </si>
  <si>
    <t>E</t>
  </si>
  <si>
    <r>
      <t>CAPM ==&gt; E(R</t>
    </r>
    <r>
      <rPr>
        <vertAlign val="subscript"/>
        <sz val="24"/>
        <color theme="0"/>
        <rFont val="Calibri"/>
        <family val="2"/>
        <scheme val="minor"/>
      </rPr>
      <t>A</t>
    </r>
    <r>
      <rPr>
        <sz val="24"/>
        <color theme="0"/>
        <rFont val="Calibri"/>
        <family val="2"/>
        <scheme val="minor"/>
      </rPr>
      <t>) = R</t>
    </r>
    <r>
      <rPr>
        <vertAlign val="subscript"/>
        <sz val="24"/>
        <color theme="0"/>
        <rFont val="Calibri"/>
        <family val="2"/>
        <scheme val="minor"/>
      </rPr>
      <t>F</t>
    </r>
    <r>
      <rPr>
        <sz val="24"/>
        <color theme="0"/>
        <rFont val="Calibri"/>
        <family val="2"/>
        <scheme val="minor"/>
      </rPr>
      <t xml:space="preserve"> + (E(R</t>
    </r>
    <r>
      <rPr>
        <vertAlign val="subscript"/>
        <sz val="24"/>
        <color theme="0"/>
        <rFont val="Calibri"/>
        <family val="2"/>
        <scheme val="minor"/>
      </rPr>
      <t>M</t>
    </r>
    <r>
      <rPr>
        <sz val="24"/>
        <color theme="0"/>
        <rFont val="Calibri"/>
        <family val="2"/>
        <scheme val="minor"/>
      </rPr>
      <t>) - R</t>
    </r>
    <r>
      <rPr>
        <vertAlign val="subscript"/>
        <sz val="24"/>
        <color theme="0"/>
        <rFont val="Calibri"/>
        <family val="2"/>
        <scheme val="minor"/>
      </rPr>
      <t>f</t>
    </r>
    <r>
      <rPr>
        <sz val="24"/>
        <color theme="0"/>
        <rFont val="Calibri"/>
        <family val="2"/>
        <scheme val="minor"/>
      </rPr>
      <t>)*B</t>
    </r>
    <r>
      <rPr>
        <vertAlign val="subscript"/>
        <sz val="24"/>
        <color theme="0"/>
        <rFont val="Calibri"/>
        <family val="2"/>
        <scheme val="minor"/>
      </rPr>
      <t>A</t>
    </r>
  </si>
  <si>
    <t>No.</t>
  </si>
  <si>
    <t>If others came to the same conclusion, buying and selling would lead to a drop in price and a rise in return (price and return move in opposite directions).</t>
  </si>
  <si>
    <t>CAPM Pricing (Return)</t>
  </si>
  <si>
    <t>&lt;&lt;== CAPM</t>
  </si>
  <si>
    <r>
      <t>Estimate of E(R</t>
    </r>
    <r>
      <rPr>
        <vertAlign val="subscript"/>
        <sz val="11"/>
        <color theme="1"/>
        <rFont val="Calibri"/>
        <family val="2"/>
        <scheme val="minor"/>
      </rPr>
      <t>D</t>
    </r>
    <r>
      <rPr>
        <sz val="11"/>
        <color theme="1"/>
        <rFont val="Calibri"/>
        <family val="2"/>
        <scheme val="minor"/>
      </rPr>
      <t>)</t>
    </r>
  </si>
  <si>
    <t>Not buy</t>
  </si>
  <si>
    <t>Not buy.</t>
  </si>
  <si>
    <t>Below X</t>
  </si>
  <si>
    <t>Below Y</t>
  </si>
  <si>
    <t>Above X</t>
  </si>
  <si>
    <t>Above Y</t>
  </si>
  <si>
    <t>Roger G. Ibbotson &amp; Rex Sinquefield</t>
  </si>
  <si>
    <t>Year Invested</t>
  </si>
  <si>
    <t>Year Withdrawn</t>
  </si>
  <si>
    <t>Years Invested</t>
  </si>
  <si>
    <t>(End/Beg)^(1/Periods)-1</t>
  </si>
  <si>
    <t>Investment Category</t>
  </si>
  <si>
    <t>Geometric Mean</t>
  </si>
  <si>
    <t>Check</t>
  </si>
  <si>
    <t>Small Company Stocks</t>
  </si>
  <si>
    <t>Large Company Stocks</t>
  </si>
  <si>
    <t>Long Term Gov. Bonds</t>
  </si>
  <si>
    <t>Treasury Bills</t>
  </si>
  <si>
    <t>Inflation</t>
  </si>
  <si>
    <t>End^(1/Periods)-1</t>
  </si>
  <si>
    <t>Because Beg = 1</t>
  </si>
  <si>
    <t>Year</t>
  </si>
  <si>
    <r>
      <t>(1+R</t>
    </r>
    <r>
      <rPr>
        <vertAlign val="subscript"/>
        <sz val="11"/>
        <color theme="1"/>
        <rFont val="Calibri"/>
        <family val="2"/>
        <scheme val="minor"/>
      </rPr>
      <t>1</t>
    </r>
    <r>
      <rPr>
        <sz val="11"/>
        <color theme="1"/>
        <rFont val="Calibri"/>
        <family val="2"/>
        <scheme val="minor"/>
      </rPr>
      <t>*1+R</t>
    </r>
    <r>
      <rPr>
        <vertAlign val="subscript"/>
        <sz val="11"/>
        <color theme="1"/>
        <rFont val="Calibri"/>
        <family val="2"/>
        <scheme val="minor"/>
      </rPr>
      <t>2</t>
    </r>
    <r>
      <rPr>
        <sz val="11"/>
        <color theme="1"/>
        <rFont val="Calibri"/>
        <family val="2"/>
        <scheme val="minor"/>
      </rPr>
      <t>*…1+R</t>
    </r>
    <r>
      <rPr>
        <vertAlign val="subscript"/>
        <sz val="11"/>
        <color theme="1"/>
        <rFont val="Calibri"/>
        <family val="2"/>
        <scheme val="minor"/>
      </rPr>
      <t>n</t>
    </r>
    <r>
      <rPr>
        <sz val="11"/>
        <color theme="1"/>
        <rFont val="Calibri"/>
        <family val="2"/>
        <scheme val="minor"/>
      </rPr>
      <t>)^(1/n)-1</t>
    </r>
  </si>
  <si>
    <t>Geomean formula 1</t>
  </si>
  <si>
    <t>Geomean formula 2</t>
  </si>
  <si>
    <r>
      <t xml:space="preserve">Sep 30, 2004, Merck </t>
    </r>
    <r>
      <rPr>
        <i/>
        <sz val="10"/>
        <color theme="0"/>
        <rFont val="Calibri"/>
        <family val="2"/>
        <scheme val="minor"/>
      </rPr>
      <t xml:space="preserve">announced recall VIOXX, stock went from $45 to $33. </t>
    </r>
  </si>
  <si>
    <r>
      <t>Risk Reward Ratio = (E(R</t>
    </r>
    <r>
      <rPr>
        <vertAlign val="subscript"/>
        <sz val="11"/>
        <color theme="1"/>
        <rFont val="Calibri"/>
        <family val="2"/>
        <scheme val="minor"/>
      </rPr>
      <t>A</t>
    </r>
    <r>
      <rPr>
        <sz val="11"/>
        <color theme="1"/>
        <rFont val="Calibri"/>
        <family val="2"/>
        <scheme val="minor"/>
      </rPr>
      <t>)- R</t>
    </r>
    <r>
      <rPr>
        <vertAlign val="subscript"/>
        <sz val="11"/>
        <color theme="1"/>
        <rFont val="Calibri"/>
        <family val="2"/>
        <scheme val="minor"/>
      </rPr>
      <t>f</t>
    </r>
    <r>
      <rPr>
        <sz val="11"/>
        <color theme="1"/>
        <rFont val="Calibri"/>
        <family val="2"/>
        <scheme val="minor"/>
      </rPr>
      <t>)/B</t>
    </r>
    <r>
      <rPr>
        <vertAlign val="subscript"/>
        <sz val="11"/>
        <color theme="1"/>
        <rFont val="Calibri"/>
        <family val="2"/>
        <scheme val="minor"/>
      </rPr>
      <t>A</t>
    </r>
  </si>
  <si>
    <t>Correlation tells us the strength and direction of the line (between -1 and 1)</t>
  </si>
  <si>
    <r>
      <t>S</t>
    </r>
    <r>
      <rPr>
        <vertAlign val="subscript"/>
        <sz val="11"/>
        <color theme="1"/>
        <rFont val="Calibri"/>
        <family val="2"/>
        <scheme val="minor"/>
      </rPr>
      <t>DWFMI</t>
    </r>
    <r>
      <rPr>
        <sz val="11"/>
        <color theme="1"/>
        <rFont val="Calibri"/>
        <family val="2"/>
        <scheme val="minor"/>
      </rPr>
      <t>/SD</t>
    </r>
    <r>
      <rPr>
        <vertAlign val="subscript"/>
        <sz val="11"/>
        <color theme="1"/>
        <rFont val="Calibri"/>
        <family val="2"/>
        <scheme val="minor"/>
      </rPr>
      <t xml:space="preserve">M </t>
    </r>
    <r>
      <rPr>
        <sz val="11"/>
        <color theme="1"/>
        <rFont val="Calibri"/>
        <family val="2"/>
        <scheme val="minor"/>
      </rPr>
      <t xml:space="preserve"> = Amount of Standard Deviation of WFMI per 1 unit of Market Standard Deviation</t>
    </r>
  </si>
  <si>
    <t>Together they say direction and strength of Systematic Risk for WMFI</t>
  </si>
  <si>
    <r>
      <t>Correllation*SD</t>
    </r>
    <r>
      <rPr>
        <vertAlign val="subscript"/>
        <sz val="11"/>
        <color theme="1"/>
        <rFont val="Calibri"/>
        <family val="2"/>
        <scheme val="minor"/>
      </rPr>
      <t>WFMI</t>
    </r>
    <r>
      <rPr>
        <sz val="11"/>
        <color theme="1"/>
        <rFont val="Calibri"/>
        <family val="2"/>
        <scheme val="minor"/>
      </rPr>
      <t>/SD</t>
    </r>
    <r>
      <rPr>
        <vertAlign val="subscript"/>
        <sz val="11"/>
        <color theme="1"/>
        <rFont val="Calibri"/>
        <family val="2"/>
        <scheme val="minor"/>
      </rPr>
      <t>M</t>
    </r>
  </si>
  <si>
    <t>MS 365 Excel: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</si>
</sst>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164" formatCode="0.0%"/>
    <numFmt numFmtId="165" formatCode="0.000"/>
    <numFmt numFmtId="166" formatCode="0.000%"/>
    <numFmt numFmtId="167" formatCode="0.0000"/>
  </numFmts>
  <fonts count="24" x14ac:knownFonts="1">
    <font>
      <sz val="11"/>
      <color theme="1"/>
      <name val="Calibri"/>
      <family val="2"/>
      <scheme val="minor"/>
    </font>
    <font>
      <b/>
      <sz val="11"/>
      <color theme="1"/>
      <name val="Calibri"/>
      <family val="2"/>
      <scheme val="minor"/>
    </font>
    <font>
      <sz val="11"/>
      <color theme="0"/>
      <name val="Calibri"/>
      <family val="2"/>
      <scheme val="minor"/>
    </font>
    <font>
      <b/>
      <vertAlign val="subscript"/>
      <sz val="11"/>
      <color indexed="8"/>
      <name val="Calibri"/>
      <family val="2"/>
    </font>
    <font>
      <b/>
      <sz val="11"/>
      <color indexed="8"/>
      <name val="Calibri"/>
      <family val="2"/>
    </font>
    <font>
      <vertAlign val="subscript"/>
      <sz val="11"/>
      <color indexed="9"/>
      <name val="Calibri"/>
      <family val="2"/>
    </font>
    <font>
      <sz val="11"/>
      <color indexed="9"/>
      <name val="Calibri"/>
      <family val="2"/>
    </font>
    <font>
      <vertAlign val="subscript"/>
      <sz val="11"/>
      <color theme="1"/>
      <name val="Calibri"/>
      <family val="2"/>
      <scheme val="minor"/>
    </font>
    <font>
      <vertAlign val="subscript"/>
      <sz val="11"/>
      <color theme="0"/>
      <name val="Calibri"/>
      <family val="2"/>
      <scheme val="minor"/>
    </font>
    <font>
      <sz val="11"/>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7.5"/>
      <color theme="1"/>
      <name val="Arial"/>
      <family val="2"/>
    </font>
    <font>
      <sz val="20"/>
      <color theme="1"/>
      <name val="Calibri"/>
      <family val="2"/>
      <scheme val="minor"/>
    </font>
    <font>
      <vertAlign val="subscript"/>
      <sz val="20"/>
      <color theme="1"/>
      <name val="Calibri"/>
      <family val="2"/>
      <scheme val="minor"/>
    </font>
    <font>
      <sz val="22"/>
      <color theme="1"/>
      <name val="Calibri"/>
      <family val="2"/>
      <scheme val="minor"/>
    </font>
    <font>
      <sz val="10"/>
      <color theme="1"/>
      <name val="Calibri"/>
      <family val="2"/>
      <scheme val="minor"/>
    </font>
    <font>
      <i/>
      <sz val="10"/>
      <color rgb="FF000000"/>
      <name val="Calibri"/>
      <family val="2"/>
      <scheme val="minor"/>
    </font>
    <font>
      <sz val="24"/>
      <color theme="0"/>
      <name val="Calibri"/>
      <family val="2"/>
      <scheme val="minor"/>
    </font>
    <font>
      <sz val="16"/>
      <color theme="0"/>
      <name val="Calibri"/>
      <family val="2"/>
      <scheme val="minor"/>
    </font>
    <font>
      <vertAlign val="subscript"/>
      <sz val="24"/>
      <color theme="0"/>
      <name val="Calibri"/>
      <family val="2"/>
      <scheme val="minor"/>
    </font>
    <font>
      <sz val="10"/>
      <color theme="0"/>
      <name val="Calibri"/>
      <family val="2"/>
      <scheme val="minor"/>
    </font>
    <font>
      <i/>
      <sz val="10"/>
      <color theme="0"/>
      <name val="Calibri"/>
      <family val="2"/>
      <scheme val="minor"/>
    </font>
  </fonts>
  <fills count="9">
    <fill>
      <patternFill patternType="none"/>
    </fill>
    <fill>
      <patternFill patternType="gray125"/>
    </fill>
    <fill>
      <patternFill patternType="solid">
        <fgColor rgb="FF002060"/>
        <bgColor indexed="64"/>
      </patternFill>
    </fill>
    <fill>
      <patternFill patternType="solid">
        <fgColor rgb="FF0070C0"/>
        <bgColor indexed="64"/>
      </patternFill>
    </fill>
    <fill>
      <patternFill patternType="solid">
        <fgColor rgb="FF0000FF"/>
        <bgColor indexed="64"/>
      </patternFill>
    </fill>
    <fill>
      <patternFill patternType="solid">
        <fgColor rgb="FFCC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9" fontId="11" fillId="0" borderId="0" applyFont="0" applyFill="0" applyBorder="0" applyAlignment="0" applyProtection="0"/>
    <xf numFmtId="0" fontId="12" fillId="0" borderId="0" applyNumberFormat="0" applyFill="0" applyBorder="0" applyAlignment="0" applyProtection="0"/>
  </cellStyleXfs>
  <cellXfs count="73">
    <xf numFmtId="0" fontId="0" fillId="0" borderId="0" xfId="0"/>
    <xf numFmtId="0" fontId="2" fillId="2" borderId="1" xfId="0" applyFont="1" applyFill="1" applyBorder="1" applyAlignment="1">
      <alignment wrapText="1"/>
    </xf>
    <xf numFmtId="0" fontId="0" fillId="0" borderId="1" xfId="0" applyBorder="1"/>
    <xf numFmtId="0" fontId="2" fillId="3" borderId="1" xfId="0" applyFont="1" applyFill="1" applyBorder="1" applyAlignment="1">
      <alignment horizontal="centerContinuous" wrapText="1"/>
    </xf>
    <xf numFmtId="0" fontId="2" fillId="4" borderId="1" xfId="0" applyFont="1" applyFill="1" applyBorder="1" applyAlignment="1">
      <alignment wrapText="1"/>
    </xf>
    <xf numFmtId="0" fontId="0" fillId="5" borderId="1" xfId="0" applyFill="1" applyBorder="1"/>
    <xf numFmtId="0" fontId="1" fillId="0" borderId="2" xfId="0" applyFont="1" applyBorder="1"/>
    <xf numFmtId="0" fontId="1" fillId="0" borderId="1" xfId="0" applyFont="1" applyBorder="1"/>
    <xf numFmtId="0" fontId="0" fillId="0" borderId="3" xfId="0" applyBorder="1" applyAlignment="1">
      <alignment horizontal="centerContinuous" wrapText="1"/>
    </xf>
    <xf numFmtId="0" fontId="0" fillId="0" borderId="4" xfId="0" applyBorder="1" applyAlignment="1">
      <alignment horizontal="centerContinuous" wrapText="1"/>
    </xf>
    <xf numFmtId="0" fontId="0" fillId="0" borderId="5" xfId="0" applyBorder="1" applyAlignment="1">
      <alignment horizontal="centerContinuous" wrapText="1"/>
    </xf>
    <xf numFmtId="0" fontId="2" fillId="4" borderId="1" xfId="0" applyFont="1" applyFill="1" applyBorder="1"/>
    <xf numFmtId="0" fontId="2" fillId="2" borderId="1" xfId="0" applyFont="1" applyFill="1" applyBorder="1"/>
    <xf numFmtId="8" fontId="0" fillId="0" borderId="1" xfId="0" applyNumberFormat="1" applyBorder="1"/>
    <xf numFmtId="0" fontId="2" fillId="3" borderId="1" xfId="0" applyFont="1" applyFill="1" applyBorder="1" applyAlignment="1">
      <alignment wrapText="1"/>
    </xf>
    <xf numFmtId="0" fontId="1" fillId="0" borderId="3" xfId="0" applyFont="1" applyBorder="1"/>
    <xf numFmtId="0" fontId="0" fillId="5" borderId="3" xfId="0" applyFill="1" applyBorder="1"/>
    <xf numFmtId="0" fontId="0" fillId="5" borderId="7" xfId="0" applyFill="1" applyBorder="1"/>
    <xf numFmtId="0" fontId="0" fillId="5" borderId="6" xfId="0" applyFill="1" applyBorder="1"/>
    <xf numFmtId="0" fontId="2" fillId="2" borderId="8" xfId="0" applyFont="1" applyFill="1" applyBorder="1" applyAlignment="1">
      <alignment wrapText="1"/>
    </xf>
    <xf numFmtId="0" fontId="9" fillId="0" borderId="1" xfId="0" applyFont="1" applyBorder="1" applyAlignment="1">
      <alignment wrapText="1"/>
    </xf>
    <xf numFmtId="0" fontId="10" fillId="0" borderId="1" xfId="0" applyFont="1" applyBorder="1" applyAlignment="1">
      <alignment wrapText="1"/>
    </xf>
    <xf numFmtId="10" fontId="0" fillId="0" borderId="1" xfId="1" applyNumberFormat="1" applyFont="1" applyBorder="1"/>
    <xf numFmtId="10" fontId="0" fillId="0" borderId="1" xfId="1" applyNumberFormat="1" applyFont="1" applyFill="1" applyBorder="1"/>
    <xf numFmtId="8" fontId="0" fillId="0" borderId="0" xfId="0" applyNumberFormat="1"/>
    <xf numFmtId="0" fontId="2" fillId="2" borderId="0" xfId="0" applyFont="1" applyFill="1"/>
    <xf numFmtId="0" fontId="2" fillId="2" borderId="1" xfId="0" applyFont="1" applyFill="1" applyBorder="1" applyAlignment="1">
      <alignment horizontal="centerContinuous" wrapText="1"/>
    </xf>
    <xf numFmtId="0" fontId="12" fillId="0" borderId="0" xfId="2"/>
    <xf numFmtId="9" fontId="0" fillId="0" borderId="0" xfId="0" applyNumberFormat="1"/>
    <xf numFmtId="0" fontId="13" fillId="0" borderId="1" xfId="0" applyFont="1" applyBorder="1"/>
    <xf numFmtId="10" fontId="0" fillId="5" borderId="1" xfId="1" applyNumberFormat="1" applyFont="1" applyFill="1" applyBorder="1"/>
    <xf numFmtId="0" fontId="0" fillId="0" borderId="1" xfId="0" applyBorder="1" applyAlignment="1">
      <alignment horizontal="center" wrapText="1"/>
    </xf>
    <xf numFmtId="9" fontId="0" fillId="0" borderId="1" xfId="0" applyNumberFormat="1" applyBorder="1"/>
    <xf numFmtId="14" fontId="0" fillId="0" borderId="1" xfId="0" applyNumberFormat="1" applyBorder="1"/>
    <xf numFmtId="0" fontId="0" fillId="7" borderId="1" xfId="0" applyFill="1" applyBorder="1" applyAlignment="1">
      <alignment horizontal="centerContinuous" wrapText="1"/>
    </xf>
    <xf numFmtId="0" fontId="14" fillId="0" borderId="1" xfId="0" applyFont="1" applyBorder="1" applyAlignment="1">
      <alignment horizontal="centerContinuous" wrapText="1"/>
    </xf>
    <xf numFmtId="0" fontId="0" fillId="0" borderId="1" xfId="0" applyBorder="1" applyAlignment="1">
      <alignment wrapText="1"/>
    </xf>
    <xf numFmtId="0" fontId="7" fillId="0" borderId="1" xfId="0" applyFont="1" applyBorder="1" applyAlignment="1">
      <alignment wrapText="1"/>
    </xf>
    <xf numFmtId="0" fontId="0" fillId="7" borderId="1" xfId="0" applyFill="1" applyBorder="1" applyAlignment="1">
      <alignment wrapText="1"/>
    </xf>
    <xf numFmtId="0" fontId="16" fillId="0" borderId="0" xfId="0" applyFont="1"/>
    <xf numFmtId="2" fontId="0" fillId="0" borderId="1" xfId="0" applyNumberFormat="1" applyBorder="1"/>
    <xf numFmtId="2" fontId="0" fillId="0" borderId="0" xfId="0" applyNumberFormat="1"/>
    <xf numFmtId="0" fontId="2" fillId="2" borderId="2" xfId="0" applyFont="1" applyFill="1" applyBorder="1" applyAlignment="1">
      <alignment wrapText="1"/>
    </xf>
    <xf numFmtId="0" fontId="14" fillId="7" borderId="3" xfId="0" applyFont="1" applyFill="1" applyBorder="1"/>
    <xf numFmtId="0" fontId="0" fillId="7" borderId="4" xfId="0" applyFill="1" applyBorder="1"/>
    <xf numFmtId="0" fontId="0" fillId="7" borderId="5" xfId="0" applyFill="1" applyBorder="1"/>
    <xf numFmtId="0" fontId="2" fillId="2" borderId="2" xfId="0" applyFont="1" applyFill="1" applyBorder="1"/>
    <xf numFmtId="0" fontId="0" fillId="0" borderId="2" xfId="0" applyBorder="1"/>
    <xf numFmtId="0" fontId="17" fillId="0" borderId="1" xfId="0" applyFont="1" applyBorder="1" applyAlignment="1">
      <alignment horizontal="centerContinuous" wrapText="1"/>
    </xf>
    <xf numFmtId="0" fontId="0" fillId="0" borderId="1" xfId="0" applyBorder="1" applyAlignment="1">
      <alignment horizontal="centerContinuous" wrapText="1"/>
    </xf>
    <xf numFmtId="8" fontId="0" fillId="5" borderId="1" xfId="0" applyNumberFormat="1" applyFill="1" applyBorder="1"/>
    <xf numFmtId="165" fontId="0" fillId="5" borderId="1" xfId="0" applyNumberFormat="1" applyFill="1" applyBorder="1"/>
    <xf numFmtId="10" fontId="0" fillId="5" borderId="7" xfId="1" applyNumberFormat="1" applyFont="1" applyFill="1" applyBorder="1"/>
    <xf numFmtId="10" fontId="0" fillId="5" borderId="6" xfId="1" applyNumberFormat="1" applyFont="1" applyFill="1" applyBorder="1"/>
    <xf numFmtId="0" fontId="19" fillId="2" borderId="1" xfId="0" applyFont="1" applyFill="1" applyBorder="1"/>
    <xf numFmtId="0" fontId="16" fillId="7" borderId="1" xfId="0" applyFont="1" applyFill="1" applyBorder="1"/>
    <xf numFmtId="0" fontId="0" fillId="0" borderId="2" xfId="0" applyBorder="1" applyAlignment="1">
      <alignment horizontal="center" wrapText="1"/>
    </xf>
    <xf numFmtId="0" fontId="20" fillId="2" borderId="1" xfId="0" applyFont="1" applyFill="1" applyBorder="1" applyAlignment="1">
      <alignment horizontal="centerContinuous" wrapText="1"/>
    </xf>
    <xf numFmtId="10" fontId="0" fillId="0" borderId="0" xfId="0" applyNumberFormat="1"/>
    <xf numFmtId="10" fontId="0" fillId="5" borderId="1" xfId="0" applyNumberFormat="1" applyFill="1" applyBorder="1"/>
    <xf numFmtId="166" fontId="0" fillId="5" borderId="1" xfId="0" applyNumberFormat="1" applyFill="1" applyBorder="1"/>
    <xf numFmtId="164" fontId="0" fillId="5" borderId="1" xfId="0" applyNumberFormat="1" applyFill="1" applyBorder="1"/>
    <xf numFmtId="0" fontId="19" fillId="2" borderId="1" xfId="0" applyFont="1" applyFill="1" applyBorder="1" applyAlignment="1">
      <alignment horizontal="centerContinuous" wrapText="1"/>
    </xf>
    <xf numFmtId="0" fontId="0" fillId="6" borderId="0" xfId="0" applyFill="1"/>
    <xf numFmtId="0" fontId="0" fillId="0" borderId="0" xfId="0" applyAlignment="1">
      <alignment wrapText="1"/>
    </xf>
    <xf numFmtId="0" fontId="2" fillId="2" borderId="9" xfId="0" applyFont="1" applyFill="1" applyBorder="1" applyAlignment="1">
      <alignment wrapText="1"/>
    </xf>
    <xf numFmtId="0" fontId="2" fillId="8" borderId="1" xfId="0" applyFont="1" applyFill="1" applyBorder="1"/>
    <xf numFmtId="10" fontId="0" fillId="0" borderId="0" xfId="1" applyNumberFormat="1" applyFont="1" applyBorder="1"/>
    <xf numFmtId="166" fontId="0" fillId="5" borderId="1" xfId="1" applyNumberFormat="1" applyFont="1" applyFill="1" applyBorder="1"/>
    <xf numFmtId="0" fontId="22" fillId="8" borderId="1" xfId="0" applyFont="1" applyFill="1" applyBorder="1" applyAlignment="1">
      <alignment horizontal="centerContinuous" wrapText="1"/>
    </xf>
    <xf numFmtId="0" fontId="2" fillId="8" borderId="1" xfId="0" applyFont="1" applyFill="1" applyBorder="1" applyAlignment="1">
      <alignment horizontal="centerContinuous" wrapText="1"/>
    </xf>
    <xf numFmtId="0" fontId="1" fillId="0" borderId="0" xfId="0" applyFont="1"/>
    <xf numFmtId="167" fontId="0" fillId="5" borderId="1" xfId="0" applyNumberFormat="1" applyFill="1" applyBorder="1"/>
  </cellXfs>
  <cellStyles count="3">
    <cellStyle name="Hyperlink" xfId="2" builtinId="8"/>
    <cellStyle name="Normal" xfId="0" builtinId="0"/>
    <cellStyle name="Percent" xfId="1" builtinId="5"/>
  </cellStyles>
  <dxfs count="1">
    <dxf>
      <fill>
        <patternFill>
          <bgColor rgb="FFFF0000"/>
        </patternFill>
      </fill>
    </dxf>
  </dxfs>
  <tableStyles count="0" defaultTableStyle="TableStyleMedium2" defaultPivotStyle="PivotStyleLight16"/>
  <colors>
    <mruColors>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eetMetadata" Target="metadata.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Beta For WFMI</a:t>
            </a:r>
          </a:p>
        </c:rich>
      </c:tx>
      <c:overlay val="0"/>
    </c:title>
    <c:autoTitleDeleted val="0"/>
    <c:plotArea>
      <c:layout/>
      <c:scatterChart>
        <c:scatterStyle val="lineMarker"/>
        <c:varyColors val="0"/>
        <c:ser>
          <c:idx val="0"/>
          <c:order val="0"/>
          <c:tx>
            <c:strRef>
              <c:f>'Ex(4)'!$E$3</c:f>
              <c:strCache>
                <c:ptCount val="1"/>
                <c:pt idx="0">
                  <c:v>Weekly Return WFMI</c:v>
                </c:pt>
              </c:strCache>
            </c:strRef>
          </c:tx>
          <c:spPr>
            <a:ln w="28575">
              <a:noFill/>
            </a:ln>
          </c:spPr>
          <c:trendline>
            <c:trendlineType val="linear"/>
            <c:dispRSqr val="1"/>
            <c:dispEq val="1"/>
            <c:trendlineLbl>
              <c:layout>
                <c:manualLayout>
                  <c:x val="9.2080927384076985E-2"/>
                  <c:y val="-0.3511111111111111"/>
                </c:manualLayout>
              </c:layout>
              <c:numFmt formatCode="General" sourceLinked="0"/>
            </c:trendlineLbl>
          </c:trendline>
          <c:xVal>
            <c:numRef>
              <c:f>'Ex(4)'!$D$4:$D$162</c:f>
              <c:numCache>
                <c:formatCode>General</c:formatCode>
                <c:ptCount val="159"/>
              </c:numCache>
            </c:numRef>
          </c:xVal>
          <c:yVal>
            <c:numRef>
              <c:f>'Ex(4)'!$E$4:$E$162</c:f>
              <c:numCache>
                <c:formatCode>General</c:formatCode>
                <c:ptCount val="159"/>
              </c:numCache>
            </c:numRef>
          </c:yVal>
          <c:smooth val="0"/>
          <c:extLst>
            <c:ext xmlns:c16="http://schemas.microsoft.com/office/drawing/2014/chart" uri="{C3380CC4-5D6E-409C-BE32-E72D297353CC}">
              <c16:uniqueId val="{00000001-86A3-4199-8CEC-30988572C9B5}"/>
            </c:ext>
          </c:extLst>
        </c:ser>
        <c:dLbls>
          <c:showLegendKey val="0"/>
          <c:showVal val="0"/>
          <c:showCatName val="0"/>
          <c:showSerName val="0"/>
          <c:showPercent val="0"/>
          <c:showBubbleSize val="0"/>
        </c:dLbls>
        <c:axId val="262840320"/>
        <c:axId val="262840896"/>
      </c:scatterChart>
      <c:valAx>
        <c:axId val="262840320"/>
        <c:scaling>
          <c:orientation val="minMax"/>
        </c:scaling>
        <c:delete val="0"/>
        <c:axPos val="b"/>
        <c:title>
          <c:tx>
            <c:strRef>
              <c:f>'Ex(4)'!$D$2</c:f>
              <c:strCache>
                <c:ptCount val="1"/>
                <c:pt idx="0">
                  <c:v>S &amp; P Weely Returns for Lat 4 Years</c:v>
                </c:pt>
              </c:strCache>
            </c:strRef>
          </c:tx>
          <c:overlay val="0"/>
        </c:title>
        <c:numFmt formatCode="General" sourceLinked="1"/>
        <c:majorTickMark val="out"/>
        <c:minorTickMark val="none"/>
        <c:tickLblPos val="nextTo"/>
        <c:crossAx val="262840896"/>
        <c:crosses val="autoZero"/>
        <c:crossBetween val="midCat"/>
      </c:valAx>
      <c:valAx>
        <c:axId val="262840896"/>
        <c:scaling>
          <c:orientation val="minMax"/>
        </c:scaling>
        <c:delete val="0"/>
        <c:axPos val="l"/>
        <c:majorGridlines/>
        <c:title>
          <c:tx>
            <c:strRef>
              <c:f>'Ex(4)'!$E$2</c:f>
              <c:strCache>
                <c:ptCount val="1"/>
                <c:pt idx="0">
                  <c:v>WFMI Weely Returns for Lat 4 Years</c:v>
                </c:pt>
              </c:strCache>
            </c:strRef>
          </c:tx>
          <c:overlay val="0"/>
          <c:txPr>
            <a:bodyPr rot="-5400000" vert="horz"/>
            <a:lstStyle/>
            <a:p>
              <a:pPr>
                <a:defRPr/>
              </a:pPr>
              <a:endParaRPr lang="en-US"/>
            </a:p>
          </c:txPr>
        </c:title>
        <c:numFmt formatCode="General" sourceLinked="1"/>
        <c:majorTickMark val="out"/>
        <c:minorTickMark val="none"/>
        <c:tickLblPos val="nextTo"/>
        <c:crossAx val="262840320"/>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'Ex(7an)'!$K$10</c:f>
          <c:strCache>
            <c:ptCount val="1"/>
            <c:pt idx="0">
              <c:v>SML Slope = (9.00% Market Risk Premium) / (1 Beta) = 'going rate', given Rf = 2.00%.</c:v>
            </c:pt>
          </c:strCache>
        </c:strRef>
      </c:tx>
      <c:overlay val="0"/>
    </c:title>
    <c:autoTitleDeleted val="0"/>
    <c:plotArea>
      <c:layout/>
      <c:scatterChart>
        <c:scatterStyle val="smoothMarker"/>
        <c:varyColors val="0"/>
        <c:ser>
          <c:idx val="0"/>
          <c:order val="0"/>
          <c:tx>
            <c:strRef>
              <c:f>'Ex(7an)'!$B$16</c:f>
              <c:strCache>
                <c:ptCount val="1"/>
                <c:pt idx="0">
                  <c:v>E(RM)</c:v>
                </c:pt>
              </c:strCache>
            </c:strRef>
          </c:tx>
          <c:marker>
            <c:symbol val="none"/>
          </c:marker>
          <c:xVal>
            <c:numRef>
              <c:f>'Ex(7an)'!$A$17:$A$57</c:f>
              <c:numCache>
                <c:formatCode>General</c:formatCode>
                <c:ptCount val="4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pt idx="21">
                  <c:v>2.1</c:v>
                </c:pt>
                <c:pt idx="22">
                  <c:v>2.2000000000000002</c:v>
                </c:pt>
                <c:pt idx="23">
                  <c:v>2.2999999999999998</c:v>
                </c:pt>
                <c:pt idx="24">
                  <c:v>2.4</c:v>
                </c:pt>
                <c:pt idx="25">
                  <c:v>2.5</c:v>
                </c:pt>
                <c:pt idx="26">
                  <c:v>2.6</c:v>
                </c:pt>
                <c:pt idx="27">
                  <c:v>2.7</c:v>
                </c:pt>
                <c:pt idx="28">
                  <c:v>2.8</c:v>
                </c:pt>
                <c:pt idx="29">
                  <c:v>2.9</c:v>
                </c:pt>
                <c:pt idx="30">
                  <c:v>3</c:v>
                </c:pt>
              </c:numCache>
            </c:numRef>
          </c:xVal>
          <c:yVal>
            <c:numRef>
              <c:f>'Ex(7an)'!$B$17:$B$57</c:f>
              <c:numCache>
                <c:formatCode>0.00%</c:formatCode>
                <c:ptCount val="41"/>
                <c:pt idx="0">
                  <c:v>0.02</c:v>
                </c:pt>
                <c:pt idx="1">
                  <c:v>2.8999999999999998E-2</c:v>
                </c:pt>
                <c:pt idx="2">
                  <c:v>3.7999999999999999E-2</c:v>
                </c:pt>
                <c:pt idx="3">
                  <c:v>4.7E-2</c:v>
                </c:pt>
                <c:pt idx="4">
                  <c:v>5.5999999999999994E-2</c:v>
                </c:pt>
                <c:pt idx="5">
                  <c:v>6.5000000000000002E-2</c:v>
                </c:pt>
                <c:pt idx="6">
                  <c:v>7.3999999999999996E-2</c:v>
                </c:pt>
                <c:pt idx="7">
                  <c:v>8.3000000000000004E-2</c:v>
                </c:pt>
                <c:pt idx="8">
                  <c:v>9.1999999999999998E-2</c:v>
                </c:pt>
                <c:pt idx="9">
                  <c:v>0.10100000000000001</c:v>
                </c:pt>
                <c:pt idx="10">
                  <c:v>0.11</c:v>
                </c:pt>
                <c:pt idx="11">
                  <c:v>0.11900000000000001</c:v>
                </c:pt>
                <c:pt idx="12">
                  <c:v>0.128</c:v>
                </c:pt>
                <c:pt idx="13">
                  <c:v>0.13699999999999998</c:v>
                </c:pt>
                <c:pt idx="14">
                  <c:v>0.14599999999999999</c:v>
                </c:pt>
                <c:pt idx="15">
                  <c:v>0.155</c:v>
                </c:pt>
                <c:pt idx="16">
                  <c:v>0.16399999999999998</c:v>
                </c:pt>
                <c:pt idx="17">
                  <c:v>0.17299999999999999</c:v>
                </c:pt>
                <c:pt idx="18">
                  <c:v>0.182</c:v>
                </c:pt>
                <c:pt idx="19">
                  <c:v>0.19099999999999998</c:v>
                </c:pt>
                <c:pt idx="20">
                  <c:v>0.19999999999999998</c:v>
                </c:pt>
                <c:pt idx="21">
                  <c:v>0.20899999999999999</c:v>
                </c:pt>
                <c:pt idx="22">
                  <c:v>0.218</c:v>
                </c:pt>
                <c:pt idx="23">
                  <c:v>0.22699999999999998</c:v>
                </c:pt>
                <c:pt idx="24">
                  <c:v>0.23599999999999999</c:v>
                </c:pt>
                <c:pt idx="25">
                  <c:v>0.24499999999999997</c:v>
                </c:pt>
                <c:pt idx="26">
                  <c:v>0.254</c:v>
                </c:pt>
                <c:pt idx="27">
                  <c:v>0.26300000000000001</c:v>
                </c:pt>
                <c:pt idx="28">
                  <c:v>0.27200000000000002</c:v>
                </c:pt>
                <c:pt idx="29">
                  <c:v>0.28100000000000003</c:v>
                </c:pt>
                <c:pt idx="30">
                  <c:v>0.29000000000000004</c:v>
                </c:pt>
              </c:numCache>
            </c:numRef>
          </c:yVal>
          <c:smooth val="1"/>
          <c:extLst>
            <c:ext xmlns:c16="http://schemas.microsoft.com/office/drawing/2014/chart" uri="{C3380CC4-5D6E-409C-BE32-E72D297353CC}">
              <c16:uniqueId val="{00000000-48F1-47ED-91D7-758B7005757D}"/>
            </c:ext>
          </c:extLst>
        </c:ser>
        <c:ser>
          <c:idx val="1"/>
          <c:order val="1"/>
          <c:spPr>
            <a:ln>
              <a:solidFill>
                <a:srgbClr val="C00000"/>
              </a:solidFill>
            </a:ln>
          </c:spPr>
          <c:marker>
            <c:symbol val="none"/>
          </c:marker>
          <c:xVal>
            <c:numRef>
              <c:f>'Ex(7an)'!$C$17:$C$28</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xVal>
          <c:yVal>
            <c:numRef>
              <c:f>'Ex(7an)'!$D$17:$D$28</c:f>
              <c:numCache>
                <c:formatCode>General</c:formatCode>
                <c:ptCount val="12"/>
                <c:pt idx="0">
                  <c:v>0</c:v>
                </c:pt>
                <c:pt idx="1">
                  <c:v>0.02</c:v>
                </c:pt>
                <c:pt idx="2">
                  <c:v>2.8999999999999998E-2</c:v>
                </c:pt>
                <c:pt idx="3">
                  <c:v>3.7999999999999999E-2</c:v>
                </c:pt>
                <c:pt idx="4">
                  <c:v>4.7E-2</c:v>
                </c:pt>
                <c:pt idx="5">
                  <c:v>5.5999999999999994E-2</c:v>
                </c:pt>
                <c:pt idx="6">
                  <c:v>6.5000000000000002E-2</c:v>
                </c:pt>
                <c:pt idx="7">
                  <c:v>7.3999999999999996E-2</c:v>
                </c:pt>
                <c:pt idx="8">
                  <c:v>8.3000000000000004E-2</c:v>
                </c:pt>
                <c:pt idx="9">
                  <c:v>9.1999999999999998E-2</c:v>
                </c:pt>
                <c:pt idx="10">
                  <c:v>0.10100000000000001</c:v>
                </c:pt>
                <c:pt idx="11">
                  <c:v>0.11</c:v>
                </c:pt>
              </c:numCache>
            </c:numRef>
          </c:yVal>
          <c:smooth val="1"/>
          <c:extLst>
            <c:ext xmlns:c16="http://schemas.microsoft.com/office/drawing/2014/chart" uri="{C3380CC4-5D6E-409C-BE32-E72D297353CC}">
              <c16:uniqueId val="{00000001-48F1-47ED-91D7-758B7005757D}"/>
            </c:ext>
          </c:extLst>
        </c:ser>
        <c:ser>
          <c:idx val="2"/>
          <c:order val="2"/>
          <c:spPr>
            <a:ln>
              <a:solidFill>
                <a:srgbClr val="C00000"/>
              </a:solidFill>
            </a:ln>
          </c:spPr>
          <c:marker>
            <c:symbol val="none"/>
          </c:marker>
          <c:xVal>
            <c:numRef>
              <c:f>'Ex(7an)'!$E$17:$E$27</c:f>
              <c:numCache>
                <c:formatCode>General</c:formatCode>
                <c:ptCount val="11"/>
                <c:pt idx="0">
                  <c:v>0</c:v>
                </c:pt>
                <c:pt idx="1">
                  <c:v>0.1</c:v>
                </c:pt>
                <c:pt idx="2">
                  <c:v>0.2</c:v>
                </c:pt>
                <c:pt idx="3">
                  <c:v>0.3</c:v>
                </c:pt>
                <c:pt idx="4">
                  <c:v>0.4</c:v>
                </c:pt>
                <c:pt idx="5">
                  <c:v>0.5</c:v>
                </c:pt>
                <c:pt idx="6">
                  <c:v>0.6</c:v>
                </c:pt>
                <c:pt idx="7">
                  <c:v>0.7</c:v>
                </c:pt>
                <c:pt idx="8">
                  <c:v>0.8</c:v>
                </c:pt>
                <c:pt idx="9">
                  <c:v>0.9</c:v>
                </c:pt>
                <c:pt idx="10">
                  <c:v>1</c:v>
                </c:pt>
              </c:numCache>
            </c:numRef>
          </c:xVal>
          <c:yVal>
            <c:numRef>
              <c:f>'Ex(7an)'!$F$17:$F$27</c:f>
              <c:numCache>
                <c:formatCode>0.00%</c:formatCode>
                <c:ptCount val="11"/>
                <c:pt idx="0">
                  <c:v>0.11</c:v>
                </c:pt>
                <c:pt idx="1">
                  <c:v>0.11</c:v>
                </c:pt>
                <c:pt idx="2">
                  <c:v>0.11</c:v>
                </c:pt>
                <c:pt idx="3">
                  <c:v>0.11</c:v>
                </c:pt>
                <c:pt idx="4">
                  <c:v>0.11</c:v>
                </c:pt>
                <c:pt idx="5">
                  <c:v>0.11</c:v>
                </c:pt>
                <c:pt idx="6">
                  <c:v>0.11</c:v>
                </c:pt>
                <c:pt idx="7">
                  <c:v>0.11</c:v>
                </c:pt>
                <c:pt idx="8">
                  <c:v>0.11</c:v>
                </c:pt>
                <c:pt idx="9">
                  <c:v>0.11</c:v>
                </c:pt>
                <c:pt idx="10">
                  <c:v>0.11</c:v>
                </c:pt>
              </c:numCache>
            </c:numRef>
          </c:yVal>
          <c:smooth val="1"/>
          <c:extLst>
            <c:ext xmlns:c16="http://schemas.microsoft.com/office/drawing/2014/chart" uri="{C3380CC4-5D6E-409C-BE32-E72D297353CC}">
              <c16:uniqueId val="{00000002-48F1-47ED-91D7-758B7005757D}"/>
            </c:ext>
          </c:extLst>
        </c:ser>
        <c:ser>
          <c:idx val="3"/>
          <c:order val="3"/>
          <c:spPr>
            <a:ln>
              <a:solidFill>
                <a:srgbClr val="002060"/>
              </a:solidFill>
            </a:ln>
          </c:spPr>
          <c:marker>
            <c:symbol val="none"/>
          </c:marker>
          <c:xVal>
            <c:numRef>
              <c:f>'Ex(7an)'!$G$17:$G$38</c:f>
              <c:numCache>
                <c:formatCode>General</c:formatCode>
                <c:ptCount val="22"/>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numCache>
            </c:numRef>
          </c:xVal>
          <c:yVal>
            <c:numRef>
              <c:f>'Ex(7an)'!$H$17:$H$38</c:f>
              <c:numCache>
                <c:formatCode>0.00%</c:formatCode>
                <c:ptCount val="22"/>
                <c:pt idx="0" formatCode="General">
                  <c:v>0</c:v>
                </c:pt>
                <c:pt idx="1">
                  <c:v>0.02</c:v>
                </c:pt>
                <c:pt idx="2">
                  <c:v>2.8999999999999998E-2</c:v>
                </c:pt>
                <c:pt idx="3">
                  <c:v>3.7999999999999999E-2</c:v>
                </c:pt>
                <c:pt idx="4">
                  <c:v>4.7E-2</c:v>
                </c:pt>
                <c:pt idx="5">
                  <c:v>5.5999999999999994E-2</c:v>
                </c:pt>
                <c:pt idx="6">
                  <c:v>6.5000000000000002E-2</c:v>
                </c:pt>
                <c:pt idx="7">
                  <c:v>7.3999999999999996E-2</c:v>
                </c:pt>
                <c:pt idx="8">
                  <c:v>8.3000000000000004E-2</c:v>
                </c:pt>
                <c:pt idx="9">
                  <c:v>9.1999999999999998E-2</c:v>
                </c:pt>
                <c:pt idx="10">
                  <c:v>0.10100000000000001</c:v>
                </c:pt>
                <c:pt idx="11">
                  <c:v>0.11</c:v>
                </c:pt>
                <c:pt idx="12">
                  <c:v>0.11900000000000001</c:v>
                </c:pt>
                <c:pt idx="13">
                  <c:v>0.128</c:v>
                </c:pt>
                <c:pt idx="14">
                  <c:v>0.13699999999999998</c:v>
                </c:pt>
                <c:pt idx="15">
                  <c:v>0.14599999999999999</c:v>
                </c:pt>
                <c:pt idx="16">
                  <c:v>0.155</c:v>
                </c:pt>
                <c:pt idx="17">
                  <c:v>0.16399999999999998</c:v>
                </c:pt>
                <c:pt idx="18">
                  <c:v>0.17299999999999999</c:v>
                </c:pt>
                <c:pt idx="19">
                  <c:v>0.182</c:v>
                </c:pt>
                <c:pt idx="20">
                  <c:v>0.19099999999999998</c:v>
                </c:pt>
                <c:pt idx="21">
                  <c:v>0.19999999999999998</c:v>
                </c:pt>
              </c:numCache>
            </c:numRef>
          </c:yVal>
          <c:smooth val="1"/>
          <c:extLst>
            <c:ext xmlns:c16="http://schemas.microsoft.com/office/drawing/2014/chart" uri="{C3380CC4-5D6E-409C-BE32-E72D297353CC}">
              <c16:uniqueId val="{00000003-48F1-47ED-91D7-758B7005757D}"/>
            </c:ext>
          </c:extLst>
        </c:ser>
        <c:ser>
          <c:idx val="4"/>
          <c:order val="4"/>
          <c:spPr>
            <a:ln>
              <a:solidFill>
                <a:srgbClr val="002060"/>
              </a:solidFill>
            </a:ln>
          </c:spPr>
          <c:marker>
            <c:symbol val="none"/>
          </c:marker>
          <c:xVal>
            <c:numRef>
              <c:f>'Ex(7an)'!$I$17:$I$37</c:f>
              <c:numCache>
                <c:formatCode>General</c:formatCode>
                <c:ptCount val="21"/>
                <c:pt idx="0">
                  <c:v>0</c:v>
                </c:pt>
                <c:pt idx="1">
                  <c:v>0.1</c:v>
                </c:pt>
                <c:pt idx="2">
                  <c:v>0.2</c:v>
                </c:pt>
                <c:pt idx="3">
                  <c:v>0.3</c:v>
                </c:pt>
                <c:pt idx="4">
                  <c:v>0.4</c:v>
                </c:pt>
                <c:pt idx="5">
                  <c:v>0.5</c:v>
                </c:pt>
                <c:pt idx="6">
                  <c:v>0.6</c:v>
                </c:pt>
                <c:pt idx="7">
                  <c:v>0.7</c:v>
                </c:pt>
                <c:pt idx="8">
                  <c:v>0.8</c:v>
                </c:pt>
                <c:pt idx="9">
                  <c:v>0.9</c:v>
                </c:pt>
                <c:pt idx="10">
                  <c:v>1</c:v>
                </c:pt>
                <c:pt idx="11">
                  <c:v>1.1000000000000001</c:v>
                </c:pt>
                <c:pt idx="12">
                  <c:v>1.2</c:v>
                </c:pt>
                <c:pt idx="13">
                  <c:v>1.3</c:v>
                </c:pt>
                <c:pt idx="14">
                  <c:v>1.4</c:v>
                </c:pt>
                <c:pt idx="15">
                  <c:v>1.5</c:v>
                </c:pt>
                <c:pt idx="16">
                  <c:v>1.6</c:v>
                </c:pt>
                <c:pt idx="17">
                  <c:v>1.7</c:v>
                </c:pt>
                <c:pt idx="18">
                  <c:v>1.8</c:v>
                </c:pt>
                <c:pt idx="19">
                  <c:v>1.9</c:v>
                </c:pt>
                <c:pt idx="20">
                  <c:v>2</c:v>
                </c:pt>
              </c:numCache>
            </c:numRef>
          </c:xVal>
          <c:yVal>
            <c:numRef>
              <c:f>'Ex(7an)'!$J$17:$J$37</c:f>
              <c:numCache>
                <c:formatCode>0.00%</c:formatCode>
                <c:ptCount val="21"/>
                <c:pt idx="0">
                  <c:v>0.19999999999999998</c:v>
                </c:pt>
                <c:pt idx="1">
                  <c:v>0.19999999999999998</c:v>
                </c:pt>
                <c:pt idx="2">
                  <c:v>0.19999999999999998</c:v>
                </c:pt>
                <c:pt idx="3">
                  <c:v>0.19999999999999998</c:v>
                </c:pt>
                <c:pt idx="4">
                  <c:v>0.19999999999999998</c:v>
                </c:pt>
                <c:pt idx="5">
                  <c:v>0.19999999999999998</c:v>
                </c:pt>
                <c:pt idx="6">
                  <c:v>0.19999999999999998</c:v>
                </c:pt>
                <c:pt idx="7">
                  <c:v>0.19999999999999998</c:v>
                </c:pt>
                <c:pt idx="8">
                  <c:v>0.19999999999999998</c:v>
                </c:pt>
                <c:pt idx="9">
                  <c:v>0.19999999999999998</c:v>
                </c:pt>
                <c:pt idx="10">
                  <c:v>0.19999999999999998</c:v>
                </c:pt>
                <c:pt idx="11">
                  <c:v>0.19999999999999998</c:v>
                </c:pt>
                <c:pt idx="12">
                  <c:v>0.19999999999999998</c:v>
                </c:pt>
                <c:pt idx="13">
                  <c:v>0.19999999999999998</c:v>
                </c:pt>
                <c:pt idx="14">
                  <c:v>0.19999999999999998</c:v>
                </c:pt>
                <c:pt idx="15">
                  <c:v>0.19999999999999998</c:v>
                </c:pt>
                <c:pt idx="16">
                  <c:v>0.19999999999999998</c:v>
                </c:pt>
                <c:pt idx="17">
                  <c:v>0.19999999999999998</c:v>
                </c:pt>
                <c:pt idx="18">
                  <c:v>0.19999999999999998</c:v>
                </c:pt>
                <c:pt idx="19">
                  <c:v>0.19999999999999998</c:v>
                </c:pt>
                <c:pt idx="20">
                  <c:v>0.19999999999999998</c:v>
                </c:pt>
              </c:numCache>
            </c:numRef>
          </c:yVal>
          <c:smooth val="1"/>
          <c:extLst>
            <c:ext xmlns:c16="http://schemas.microsoft.com/office/drawing/2014/chart" uri="{C3380CC4-5D6E-409C-BE32-E72D297353CC}">
              <c16:uniqueId val="{00000004-48F1-47ED-91D7-758B7005757D}"/>
            </c:ext>
          </c:extLst>
        </c:ser>
        <c:ser>
          <c:idx val="5"/>
          <c:order val="5"/>
          <c:tx>
            <c:v>Overvalued</c:v>
          </c:tx>
          <c:marker>
            <c:symbol val="square"/>
            <c:size val="10"/>
          </c:marker>
          <c:dLbls>
            <c:dLbl>
              <c:idx val="0"/>
              <c:layout>
                <c:manualLayout>
                  <c:x val="-2.6354167701144331E-2"/>
                  <c:y val="9.9610766565192049E-2"/>
                </c:manualLayout>
              </c:layout>
              <c:showLegendKey val="0"/>
              <c:showVal val="1"/>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5-48F1-47ED-91D7-758B7005757D}"/>
                </c:ext>
              </c:extLst>
            </c:dLbl>
            <c:spPr>
              <a:noFill/>
              <a:ln>
                <a:noFill/>
              </a:ln>
              <a:effectLst/>
            </c:spPr>
            <c:showLegendKey val="0"/>
            <c:showVal val="1"/>
            <c:showCatName val="1"/>
            <c:showSerName val="1"/>
            <c:showPercent val="0"/>
            <c:showBubbleSize val="0"/>
            <c:showLeaderLines val="0"/>
            <c:extLst>
              <c:ext xmlns:c15="http://schemas.microsoft.com/office/drawing/2012/chart" uri="{CE6537A1-D6FC-4f65-9D91-7224C49458BB}">
                <c15:showLeaderLines val="0"/>
              </c:ext>
            </c:extLst>
          </c:dLbls>
          <c:xVal>
            <c:numRef>
              <c:f>'Ex(7an)'!$K$17</c:f>
              <c:numCache>
                <c:formatCode>General</c:formatCode>
                <c:ptCount val="1"/>
                <c:pt idx="0">
                  <c:v>1.2</c:v>
                </c:pt>
              </c:numCache>
            </c:numRef>
          </c:xVal>
          <c:yVal>
            <c:numRef>
              <c:f>'Ex(7an)'!$L$17</c:f>
              <c:numCache>
                <c:formatCode>0.00%</c:formatCode>
                <c:ptCount val="1"/>
                <c:pt idx="0">
                  <c:v>0.125</c:v>
                </c:pt>
              </c:numCache>
            </c:numRef>
          </c:yVal>
          <c:smooth val="1"/>
          <c:extLst>
            <c:ext xmlns:c16="http://schemas.microsoft.com/office/drawing/2014/chart" uri="{C3380CC4-5D6E-409C-BE32-E72D297353CC}">
              <c16:uniqueId val="{00000006-48F1-47ED-91D7-758B7005757D}"/>
            </c:ext>
          </c:extLst>
        </c:ser>
        <c:ser>
          <c:idx val="6"/>
          <c:order val="6"/>
          <c:tx>
            <c:v>Undervalued</c:v>
          </c:tx>
          <c:marker>
            <c:symbol val="square"/>
            <c:size val="10"/>
          </c:marker>
          <c:dLbls>
            <c:dLbl>
              <c:idx val="0"/>
              <c:layout>
                <c:manualLayout>
                  <c:x val="-0.13930060070604861"/>
                  <c:y val="-0.14138302351188553"/>
                </c:manualLayout>
              </c:layout>
              <c:showLegendKey val="0"/>
              <c:showVal val="1"/>
              <c:showCatName val="1"/>
              <c:showSerName val="1"/>
              <c:showPercent val="0"/>
              <c:showBubbleSize val="0"/>
              <c:extLst>
                <c:ext xmlns:c15="http://schemas.microsoft.com/office/drawing/2012/chart" uri="{CE6537A1-D6FC-4f65-9D91-7224C49458BB}"/>
                <c:ext xmlns:c16="http://schemas.microsoft.com/office/drawing/2014/chart" uri="{C3380CC4-5D6E-409C-BE32-E72D297353CC}">
                  <c16:uniqueId val="{00000007-48F1-47ED-91D7-758B7005757D}"/>
                </c:ext>
              </c:extLst>
            </c:dLbl>
            <c:spPr>
              <a:noFill/>
              <a:ln>
                <a:noFill/>
              </a:ln>
              <a:effectLst/>
            </c:spPr>
            <c:showLegendKey val="0"/>
            <c:showVal val="1"/>
            <c:showCatName val="1"/>
            <c:showSerName val="1"/>
            <c:showPercent val="0"/>
            <c:showBubbleSize val="0"/>
            <c:showLeaderLines val="0"/>
            <c:extLst>
              <c:ext xmlns:c15="http://schemas.microsoft.com/office/drawing/2012/chart" uri="{CE6537A1-D6FC-4f65-9D91-7224C49458BB}">
                <c15:showLeaderLines val="0"/>
              </c:ext>
            </c:extLst>
          </c:dLbls>
          <c:xVal>
            <c:numRef>
              <c:f>'Ex(7an)'!$M$17</c:f>
              <c:numCache>
                <c:formatCode>General</c:formatCode>
                <c:ptCount val="1"/>
                <c:pt idx="0">
                  <c:v>0.6</c:v>
                </c:pt>
              </c:numCache>
            </c:numRef>
          </c:xVal>
          <c:yVal>
            <c:numRef>
              <c:f>'Ex(7an)'!$N$17</c:f>
              <c:numCache>
                <c:formatCode>0.00%</c:formatCode>
                <c:ptCount val="1"/>
                <c:pt idx="0">
                  <c:v>0.09</c:v>
                </c:pt>
              </c:numCache>
            </c:numRef>
          </c:yVal>
          <c:smooth val="1"/>
          <c:extLst>
            <c:ext xmlns:c16="http://schemas.microsoft.com/office/drawing/2014/chart" uri="{C3380CC4-5D6E-409C-BE32-E72D297353CC}">
              <c16:uniqueId val="{00000008-48F1-47ED-91D7-758B7005757D}"/>
            </c:ext>
          </c:extLst>
        </c:ser>
        <c:dLbls>
          <c:showLegendKey val="0"/>
          <c:showVal val="0"/>
          <c:showCatName val="0"/>
          <c:showSerName val="0"/>
          <c:showPercent val="0"/>
          <c:showBubbleSize val="0"/>
        </c:dLbls>
        <c:axId val="249341632"/>
        <c:axId val="249342208"/>
      </c:scatterChart>
      <c:valAx>
        <c:axId val="249341632"/>
        <c:scaling>
          <c:orientation val="minMax"/>
        </c:scaling>
        <c:delete val="0"/>
        <c:axPos val="b"/>
        <c:title>
          <c:tx>
            <c:rich>
              <a:bodyPr/>
              <a:lstStyle/>
              <a:p>
                <a:pPr>
                  <a:defRPr/>
                </a:pPr>
                <a:r>
                  <a:rPr lang="en-US"/>
                  <a:t>Asset Beta B</a:t>
                </a:r>
                <a:r>
                  <a:rPr lang="en-US" baseline="-25000"/>
                  <a:t>A</a:t>
                </a:r>
              </a:p>
            </c:rich>
          </c:tx>
          <c:overlay val="0"/>
        </c:title>
        <c:numFmt formatCode="General" sourceLinked="1"/>
        <c:majorTickMark val="out"/>
        <c:minorTickMark val="none"/>
        <c:tickLblPos val="nextTo"/>
        <c:crossAx val="249342208"/>
        <c:crosses val="autoZero"/>
        <c:crossBetween val="midCat"/>
      </c:valAx>
      <c:valAx>
        <c:axId val="249342208"/>
        <c:scaling>
          <c:orientation val="minMax"/>
        </c:scaling>
        <c:delete val="0"/>
        <c:axPos val="l"/>
        <c:title>
          <c:tx>
            <c:rich>
              <a:bodyPr rot="-5400000" vert="horz"/>
              <a:lstStyle/>
              <a:p>
                <a:pPr>
                  <a:defRPr/>
                </a:pPr>
                <a:r>
                  <a:rPr lang="en-US"/>
                  <a:t>Asset Expected Return E(R</a:t>
                </a:r>
                <a:r>
                  <a:rPr lang="en-US" baseline="-25000"/>
                  <a:t>A</a:t>
                </a:r>
                <a:r>
                  <a:rPr lang="en-US"/>
                  <a:t>)</a:t>
                </a:r>
              </a:p>
            </c:rich>
          </c:tx>
          <c:overlay val="0"/>
        </c:title>
        <c:numFmt formatCode="0.00%" sourceLinked="1"/>
        <c:majorTickMark val="out"/>
        <c:minorTickMark val="none"/>
        <c:tickLblPos val="nextTo"/>
        <c:crossAx val="249341632"/>
        <c:crosses val="autoZero"/>
        <c:crossBetween val="midCat"/>
      </c:valAx>
    </c:plotArea>
    <c:plotVisOnly val="1"/>
    <c:dispBlanksAs val="gap"/>
    <c:showDLblsOverMax val="0"/>
  </c:chart>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scatterChart>
        <c:scatterStyle val="lineMarker"/>
        <c:varyColors val="0"/>
        <c:ser>
          <c:idx val="0"/>
          <c:order val="0"/>
          <c:tx>
            <c:v>Beta WFMI</c:v>
          </c:tx>
          <c:spPr>
            <a:ln w="28575">
              <a:noFill/>
            </a:ln>
          </c:spPr>
          <c:trendline>
            <c:trendlineType val="linear"/>
            <c:dispRSqr val="1"/>
            <c:dispEq val="1"/>
            <c:trendlineLbl>
              <c:layout>
                <c:manualLayout>
                  <c:x val="0.38433311461067365"/>
                  <c:y val="-0.11661599591717701"/>
                </c:manualLayout>
              </c:layout>
              <c:numFmt formatCode="General" sourceLinked="0"/>
            </c:trendlineLbl>
          </c:trendline>
          <c:xVal>
            <c:numRef>
              <c:f>WFMI!$E$28:$E$186</c:f>
              <c:numCache>
                <c:formatCode>General</c:formatCode>
                <c:ptCount val="159"/>
                <c:pt idx="0">
                  <c:v>8.685051286362766E-3</c:v>
                </c:pt>
                <c:pt idx="1">
                  <c:v>-4.3343085527580705E-4</c:v>
                </c:pt>
                <c:pt idx="2">
                  <c:v>2.221462462787982E-2</c:v>
                </c:pt>
                <c:pt idx="3">
                  <c:v>-3.4743239384916524E-2</c:v>
                </c:pt>
                <c:pt idx="4">
                  <c:v>-1.5212210334170084E-4</c:v>
                </c:pt>
                <c:pt idx="5">
                  <c:v>-5.8237819927645651E-3</c:v>
                </c:pt>
                <c:pt idx="6">
                  <c:v>-9.3862386179103252E-3</c:v>
                </c:pt>
                <c:pt idx="7">
                  <c:v>-1.6229669999570984E-2</c:v>
                </c:pt>
                <c:pt idx="8">
                  <c:v>2.1199748743718771E-3</c:v>
                </c:pt>
                <c:pt idx="9">
                  <c:v>-2.009280298083882E-2</c:v>
                </c:pt>
                <c:pt idx="10">
                  <c:v>-1.4250304284863957E-2</c:v>
                </c:pt>
                <c:pt idx="11">
                  <c:v>-4.5423820467757059E-3</c:v>
                </c:pt>
                <c:pt idx="12">
                  <c:v>-3.6142723922825581E-2</c:v>
                </c:pt>
                <c:pt idx="13">
                  <c:v>6.6692341652656584E-3</c:v>
                </c:pt>
                <c:pt idx="14">
                  <c:v>7.0542787559835229E-3</c:v>
                </c:pt>
                <c:pt idx="15">
                  <c:v>3.9277275886032026E-2</c:v>
                </c:pt>
                <c:pt idx="16">
                  <c:v>-1.7866695196319893E-2</c:v>
                </c:pt>
                <c:pt idx="17">
                  <c:v>9.6223674655071534E-4</c:v>
                </c:pt>
                <c:pt idx="18">
                  <c:v>-3.4262601345836363E-2</c:v>
                </c:pt>
                <c:pt idx="19">
                  <c:v>1.2283074149199935E-2</c:v>
                </c:pt>
                <c:pt idx="20">
                  <c:v>-5.1374819102749658E-2</c:v>
                </c:pt>
                <c:pt idx="21">
                  <c:v>5.2983629642668451E-2</c:v>
                </c:pt>
                <c:pt idx="22">
                  <c:v>3.7845016531074638E-2</c:v>
                </c:pt>
                <c:pt idx="23">
                  <c:v>-2.3185474850336951E-2</c:v>
                </c:pt>
                <c:pt idx="24">
                  <c:v>-2.447783070721854E-2</c:v>
                </c:pt>
                <c:pt idx="25">
                  <c:v>2.3035459394485702E-2</c:v>
                </c:pt>
                <c:pt idx="26">
                  <c:v>-1.5788362508146747E-3</c:v>
                </c:pt>
                <c:pt idx="27">
                  <c:v>4.4121027130892054E-2</c:v>
                </c:pt>
                <c:pt idx="28">
                  <c:v>-2.1837137221752512E-2</c:v>
                </c:pt>
                <c:pt idx="29">
                  <c:v>6.8243194584473477E-2</c:v>
                </c:pt>
                <c:pt idx="30">
                  <c:v>2.5777583025052841E-2</c:v>
                </c:pt>
                <c:pt idx="31">
                  <c:v>-2.0660817560462563E-2</c:v>
                </c:pt>
                <c:pt idx="32">
                  <c:v>1.8789897074982242E-3</c:v>
                </c:pt>
                <c:pt idx="33">
                  <c:v>-1.3622244363137082E-2</c:v>
                </c:pt>
                <c:pt idx="34">
                  <c:v>-9.7699685934979907E-3</c:v>
                </c:pt>
                <c:pt idx="35">
                  <c:v>-5.7346625635397164E-3</c:v>
                </c:pt>
                <c:pt idx="36">
                  <c:v>-8.5438399862057812E-3</c:v>
                </c:pt>
                <c:pt idx="37">
                  <c:v>-9.8174766737101349E-3</c:v>
                </c:pt>
                <c:pt idx="38">
                  <c:v>-3.0043031527180131E-2</c:v>
                </c:pt>
                <c:pt idx="39">
                  <c:v>4.237249771387841E-3</c:v>
                </c:pt>
                <c:pt idx="40">
                  <c:v>-3.0347016237366797E-2</c:v>
                </c:pt>
                <c:pt idx="41">
                  <c:v>-8.6656562932933001E-3</c:v>
                </c:pt>
                <c:pt idx="42">
                  <c:v>7.2032189384629852E-3</c:v>
                </c:pt>
                <c:pt idx="43">
                  <c:v>1.665937217726543E-2</c:v>
                </c:pt>
                <c:pt idx="44">
                  <c:v>4.0549204953469697E-2</c:v>
                </c:pt>
                <c:pt idx="45">
                  <c:v>7.878313072718246E-3</c:v>
                </c:pt>
                <c:pt idx="46">
                  <c:v>-2.6096525703505846E-2</c:v>
                </c:pt>
                <c:pt idx="47">
                  <c:v>1.0205362747735647E-2</c:v>
                </c:pt>
                <c:pt idx="48">
                  <c:v>-2.13141822313756E-2</c:v>
                </c:pt>
                <c:pt idx="49">
                  <c:v>3.5737933912034503E-3</c:v>
                </c:pt>
                <c:pt idx="50">
                  <c:v>-3.8864435426289035E-4</c:v>
                </c:pt>
                <c:pt idx="51">
                  <c:v>-1.3101502739651716E-2</c:v>
                </c:pt>
                <c:pt idx="52">
                  <c:v>-1.0077966815991157E-4</c:v>
                </c:pt>
                <c:pt idx="53">
                  <c:v>1.9241694002087861E-3</c:v>
                </c:pt>
                <c:pt idx="54">
                  <c:v>-2.2112887295606787E-2</c:v>
                </c:pt>
                <c:pt idx="55">
                  <c:v>-3.0964182175254762E-2</c:v>
                </c:pt>
                <c:pt idx="56">
                  <c:v>4.1893861164458146E-2</c:v>
                </c:pt>
                <c:pt idx="57">
                  <c:v>7.4842534271954975E-3</c:v>
                </c:pt>
                <c:pt idx="58">
                  <c:v>-1.4884892615475209E-2</c:v>
                </c:pt>
                <c:pt idx="59">
                  <c:v>-4.3192190314421897E-2</c:v>
                </c:pt>
                <c:pt idx="60">
                  <c:v>1.8698608090049973E-2</c:v>
                </c:pt>
                <c:pt idx="61">
                  <c:v>2.290354085677615E-2</c:v>
                </c:pt>
                <c:pt idx="62">
                  <c:v>-2.3935224187962123E-2</c:v>
                </c:pt>
                <c:pt idx="63">
                  <c:v>-2.525102375495103E-2</c:v>
                </c:pt>
                <c:pt idx="64">
                  <c:v>1.2327823691460127E-2</c:v>
                </c:pt>
                <c:pt idx="65">
                  <c:v>-2.7212735560241397E-3</c:v>
                </c:pt>
                <c:pt idx="66">
                  <c:v>-2.147876000116955E-2</c:v>
                </c:pt>
                <c:pt idx="67">
                  <c:v>6.3639713571492784E-3</c:v>
                </c:pt>
                <c:pt idx="68">
                  <c:v>-2.2761459900245473E-2</c:v>
                </c:pt>
                <c:pt idx="69">
                  <c:v>-8.3242192246931745E-3</c:v>
                </c:pt>
                <c:pt idx="70">
                  <c:v>-3.9703449543532887E-2</c:v>
                </c:pt>
                <c:pt idx="71">
                  <c:v>-6.5133244007741564E-2</c:v>
                </c:pt>
                <c:pt idx="72">
                  <c:v>1.9667170953101332E-2</c:v>
                </c:pt>
                <c:pt idx="73">
                  <c:v>2.5077530621806732E-2</c:v>
                </c:pt>
                <c:pt idx="74">
                  <c:v>2.5356404396561505E-3</c:v>
                </c:pt>
                <c:pt idx="75">
                  <c:v>2.7115921105478558E-2</c:v>
                </c:pt>
                <c:pt idx="76">
                  <c:v>-6.4679088151678998E-3</c:v>
                </c:pt>
                <c:pt idx="77">
                  <c:v>-2.2285100362731236E-2</c:v>
                </c:pt>
                <c:pt idx="78">
                  <c:v>-3.4967469591139499E-2</c:v>
                </c:pt>
                <c:pt idx="79">
                  <c:v>-4.6448703494926802E-3</c:v>
                </c:pt>
                <c:pt idx="80">
                  <c:v>5.2498640811888375E-2</c:v>
                </c:pt>
                <c:pt idx="81">
                  <c:v>-5.5648224874358387E-2</c:v>
                </c:pt>
                <c:pt idx="82">
                  <c:v>-1.286580362840728E-2</c:v>
                </c:pt>
                <c:pt idx="83">
                  <c:v>3.8904217124782203E-3</c:v>
                </c:pt>
                <c:pt idx="84">
                  <c:v>-1.4995400183992702E-2</c:v>
                </c:pt>
                <c:pt idx="85">
                  <c:v>-1.641449519006255E-2</c:v>
                </c:pt>
                <c:pt idx="86">
                  <c:v>-3.1525222551928689E-2</c:v>
                </c:pt>
                <c:pt idx="87">
                  <c:v>-5.8092506801970867E-2</c:v>
                </c:pt>
                <c:pt idx="88">
                  <c:v>-1.5601009706716629E-2</c:v>
                </c:pt>
                <c:pt idx="89">
                  <c:v>-9.6715352587403269E-2</c:v>
                </c:pt>
                <c:pt idx="90">
                  <c:v>7.5668003160759723E-2</c:v>
                </c:pt>
                <c:pt idx="91">
                  <c:v>4.755880232352494E-2</c:v>
                </c:pt>
                <c:pt idx="92">
                  <c:v>7.3748457892344854E-2</c:v>
                </c:pt>
                <c:pt idx="93">
                  <c:v>5.0505539161143531E-2</c:v>
                </c:pt>
                <c:pt idx="94">
                  <c:v>-4.9182592677872505E-2</c:v>
                </c:pt>
                <c:pt idx="95">
                  <c:v>7.349736039134136E-3</c:v>
                </c:pt>
                <c:pt idx="96">
                  <c:v>2.1840254823006111E-2</c:v>
                </c:pt>
                <c:pt idx="97">
                  <c:v>4.7322730908577526E-2</c:v>
                </c:pt>
                <c:pt idx="98">
                  <c:v>4.655472566968033E-2</c:v>
                </c:pt>
                <c:pt idx="99">
                  <c:v>-6.3318308649924826E-2</c:v>
                </c:pt>
                <c:pt idx="100">
                  <c:v>1.7277726856095299E-2</c:v>
                </c:pt>
                <c:pt idx="101">
                  <c:v>-9.179168356084122E-3</c:v>
                </c:pt>
                <c:pt idx="102">
                  <c:v>-4.160367385447783E-3</c:v>
                </c:pt>
                <c:pt idx="103">
                  <c:v>2.3023274395881588E-2</c:v>
                </c:pt>
                <c:pt idx="104">
                  <c:v>-0.10734847808622694</c:v>
                </c:pt>
                <c:pt idx="105">
                  <c:v>9.1571566066272592E-2</c:v>
                </c:pt>
                <c:pt idx="106">
                  <c:v>6.6071980670796782E-2</c:v>
                </c:pt>
                <c:pt idx="107">
                  <c:v>4.0558974854724594E-2</c:v>
                </c:pt>
                <c:pt idx="108">
                  <c:v>-9.4947096774193551E-2</c:v>
                </c:pt>
                <c:pt idx="109">
                  <c:v>7.2744277290509363E-2</c:v>
                </c:pt>
                <c:pt idx="110">
                  <c:v>-4.3942374142788676E-2</c:v>
                </c:pt>
                <c:pt idx="111">
                  <c:v>0.22242610262227269</c:v>
                </c:pt>
                <c:pt idx="112">
                  <c:v>0.10374534901703925</c:v>
                </c:pt>
                <c:pt idx="113">
                  <c:v>3.4460589975850331E-2</c:v>
                </c:pt>
                <c:pt idx="114">
                  <c:v>-2.6930554227617698E-3</c:v>
                </c:pt>
                <c:pt idx="115">
                  <c:v>-7.5017975553248739E-3</c:v>
                </c:pt>
                <c:pt idx="116">
                  <c:v>3.2616657678035343E-2</c:v>
                </c:pt>
                <c:pt idx="117">
                  <c:v>7.3041634511199494E-3</c:v>
                </c:pt>
                <c:pt idx="118">
                  <c:v>4.6432440798638286E-3</c:v>
                </c:pt>
                <c:pt idx="119">
                  <c:v>-1.4481589893700075E-3</c:v>
                </c:pt>
                <c:pt idx="120">
                  <c:v>-2.7778634904961685E-2</c:v>
                </c:pt>
                <c:pt idx="121">
                  <c:v>-2.0233117248930066E-3</c:v>
                </c:pt>
                <c:pt idx="122">
                  <c:v>2.3215875842768074E-3</c:v>
                </c:pt>
                <c:pt idx="123">
                  <c:v>-1.680838912333027E-2</c:v>
                </c:pt>
                <c:pt idx="124">
                  <c:v>1.8886800216218136E-2</c:v>
                </c:pt>
                <c:pt idx="125">
                  <c:v>1.2257502573442158E-2</c:v>
                </c:pt>
                <c:pt idx="126">
                  <c:v>3.093759289100273E-2</c:v>
                </c:pt>
                <c:pt idx="127">
                  <c:v>3.1944033446389408E-2</c:v>
                </c:pt>
                <c:pt idx="128">
                  <c:v>4.7793063388312795E-4</c:v>
                </c:pt>
                <c:pt idx="129">
                  <c:v>2.917658817650004E-2</c:v>
                </c:pt>
                <c:pt idx="130">
                  <c:v>-1.7459546694468697E-2</c:v>
                </c:pt>
                <c:pt idx="131">
                  <c:v>3.5917524874085061E-2</c:v>
                </c:pt>
                <c:pt idx="132">
                  <c:v>-2.6007647244536414E-2</c:v>
                </c:pt>
                <c:pt idx="133">
                  <c:v>1.8454490448612804E-2</c:v>
                </c:pt>
                <c:pt idx="134">
                  <c:v>-1.1358653370111216E-2</c:v>
                </c:pt>
                <c:pt idx="135">
                  <c:v>-5.3725748297372977E-3</c:v>
                </c:pt>
                <c:pt idx="136">
                  <c:v>-4.1357087885609878E-2</c:v>
                </c:pt>
                <c:pt idx="137">
                  <c:v>2.8188141023236302E-2</c:v>
                </c:pt>
                <c:pt idx="138">
                  <c:v>-4.0265615878575689E-2</c:v>
                </c:pt>
                <c:pt idx="139">
                  <c:v>1.0865102416325767E-2</c:v>
                </c:pt>
                <c:pt idx="140">
                  <c:v>-3.1116727215289797E-2</c:v>
                </c:pt>
                <c:pt idx="141">
                  <c:v>4.0601176890708857E-3</c:v>
                </c:pt>
                <c:pt idx="142">
                  <c:v>2.8808461615779102E-2</c:v>
                </c:pt>
                <c:pt idx="143">
                  <c:v>1.6894253098156398E-2</c:v>
                </c:pt>
                <c:pt idx="144">
                  <c:v>-2.305799232878214E-3</c:v>
                </c:pt>
                <c:pt idx="145">
                  <c:v>-1.3851954458921956E-2</c:v>
                </c:pt>
                <c:pt idx="146">
                  <c:v>4.817132255181078E-2</c:v>
                </c:pt>
                <c:pt idx="147">
                  <c:v>-4.6444797981969654E-2</c:v>
                </c:pt>
                <c:pt idx="148">
                  <c:v>-4.0733197556006573E-3</c:v>
                </c:pt>
                <c:pt idx="149">
                  <c:v>5.7221983262777387E-2</c:v>
                </c:pt>
                <c:pt idx="150">
                  <c:v>7.5730539178600065E-3</c:v>
                </c:pt>
                <c:pt idx="151">
                  <c:v>4.736368595170104E-2</c:v>
                </c:pt>
                <c:pt idx="152">
                  <c:v>4.0379035367166249E-3</c:v>
                </c:pt>
                <c:pt idx="153">
                  <c:v>-1.1121889441278343E-2</c:v>
                </c:pt>
                <c:pt idx="154">
                  <c:v>2.5007663748765285E-2</c:v>
                </c:pt>
                <c:pt idx="155">
                  <c:v>-1.5631438331583203E-2</c:v>
                </c:pt>
                <c:pt idx="156">
                  <c:v>-2.7303293409130847E-2</c:v>
                </c:pt>
                <c:pt idx="157">
                  <c:v>1.2521690844728317E-2</c:v>
                </c:pt>
                <c:pt idx="158">
                  <c:v>-3.4550365383824166E-3</c:v>
                </c:pt>
              </c:numCache>
            </c:numRef>
          </c:xVal>
          <c:yVal>
            <c:numRef>
              <c:f>WFMI!$C$28:$C$186</c:f>
              <c:numCache>
                <c:formatCode>General</c:formatCode>
                <c:ptCount val="159"/>
                <c:pt idx="0">
                  <c:v>-2.7653690704105505E-2</c:v>
                </c:pt>
                <c:pt idx="1">
                  <c:v>2.5158608619558098E-2</c:v>
                </c:pt>
                <c:pt idx="2">
                  <c:v>-2.923602219376864E-2</c:v>
                </c:pt>
                <c:pt idx="3">
                  <c:v>-0.12618157836887234</c:v>
                </c:pt>
                <c:pt idx="4">
                  <c:v>3.5220125786163958E-3</c:v>
                </c:pt>
                <c:pt idx="5">
                  <c:v>-3.9859613938330485E-2</c:v>
                </c:pt>
                <c:pt idx="6">
                  <c:v>-9.7389033942558711E-2</c:v>
                </c:pt>
                <c:pt idx="7">
                  <c:v>7.23170378941278E-2</c:v>
                </c:pt>
                <c:pt idx="8">
                  <c:v>0</c:v>
                </c:pt>
                <c:pt idx="9">
                  <c:v>5.3951982735367388E-4</c:v>
                </c:pt>
                <c:pt idx="10">
                  <c:v>-4.3677541116203922E-2</c:v>
                </c:pt>
                <c:pt idx="11">
                  <c:v>3.354947843247813E-2</c:v>
                </c:pt>
                <c:pt idx="12">
                  <c:v>-2.6186579378068564E-2</c:v>
                </c:pt>
                <c:pt idx="13">
                  <c:v>2.857142857142847E-2</c:v>
                </c:pt>
                <c:pt idx="14">
                  <c:v>-8.1699346405228468E-3</c:v>
                </c:pt>
                <c:pt idx="15">
                  <c:v>1.6474464579900872E-3</c:v>
                </c:pt>
                <c:pt idx="16">
                  <c:v>4.0844298245614086E-2</c:v>
                </c:pt>
                <c:pt idx="17">
                  <c:v>2.106926520937602E-2</c:v>
                </c:pt>
                <c:pt idx="18">
                  <c:v>-4.0237296879030215E-2</c:v>
                </c:pt>
                <c:pt idx="19">
                  <c:v>-1.4780972856759056E-2</c:v>
                </c:pt>
                <c:pt idx="20">
                  <c:v>-4.4735406437533931E-2</c:v>
                </c:pt>
                <c:pt idx="21">
                  <c:v>0.10479725870930889</c:v>
                </c:pt>
                <c:pt idx="22">
                  <c:v>4.3163608167485101E-2</c:v>
                </c:pt>
                <c:pt idx="23">
                  <c:v>-2.4281466798810603E-2</c:v>
                </c:pt>
                <c:pt idx="24">
                  <c:v>-1.9553072625698387E-2</c:v>
                </c:pt>
                <c:pt idx="25">
                  <c:v>4.7138047138047146E-2</c:v>
                </c:pt>
                <c:pt idx="26">
                  <c:v>-2.9433588919119402E-2</c:v>
                </c:pt>
                <c:pt idx="27">
                  <c:v>4.0519877675840865E-2</c:v>
                </c:pt>
                <c:pt idx="28">
                  <c:v>-0.10164095028165565</c:v>
                </c:pt>
                <c:pt idx="29">
                  <c:v>6.3794983642311953E-2</c:v>
                </c:pt>
                <c:pt idx="30">
                  <c:v>3.0240902101486444E-2</c:v>
                </c:pt>
                <c:pt idx="31">
                  <c:v>-2.7114427860696622E-2</c:v>
                </c:pt>
                <c:pt idx="32">
                  <c:v>-7.9263615443621038E-3</c:v>
                </c:pt>
                <c:pt idx="33">
                  <c:v>-4.8711340206185616E-2</c:v>
                </c:pt>
                <c:pt idx="34">
                  <c:v>-4.063939311839615E-2</c:v>
                </c:pt>
                <c:pt idx="35">
                  <c:v>1.1861056198813946E-2</c:v>
                </c:pt>
                <c:pt idx="36">
                  <c:v>1.3117499302260693E-2</c:v>
                </c:pt>
                <c:pt idx="37">
                  <c:v>-5.234159779614278E-3</c:v>
                </c:pt>
                <c:pt idx="38">
                  <c:v>-1.7169759069509793E-2</c:v>
                </c:pt>
                <c:pt idx="39">
                  <c:v>-5.1563820794590209E-2</c:v>
                </c:pt>
                <c:pt idx="40">
                  <c:v>-0.11616161616161602</c:v>
                </c:pt>
                <c:pt idx="41">
                  <c:v>-7.9663865546218515E-2</c:v>
                </c:pt>
                <c:pt idx="42">
                  <c:v>-5.8436815193572134E-3</c:v>
                </c:pt>
                <c:pt idx="43">
                  <c:v>4.5187362233651829E-2</c:v>
                </c:pt>
                <c:pt idx="44">
                  <c:v>-1.7574692442882234E-2</c:v>
                </c:pt>
                <c:pt idx="45">
                  <c:v>3.5778175313061489E-4</c:v>
                </c:pt>
                <c:pt idx="46">
                  <c:v>-1.8240343347639576E-2</c:v>
                </c:pt>
                <c:pt idx="47">
                  <c:v>3.4972677595628499E-2</c:v>
                </c:pt>
                <c:pt idx="48">
                  <c:v>-4.9982400563182039E-2</c:v>
                </c:pt>
                <c:pt idx="49">
                  <c:v>-1.1856243052982496E-2</c:v>
                </c:pt>
                <c:pt idx="50">
                  <c:v>-1.7622797150356306E-2</c:v>
                </c:pt>
                <c:pt idx="51">
                  <c:v>-1.1450381679389388E-2</c:v>
                </c:pt>
                <c:pt idx="52">
                  <c:v>1.776061776061777E-2</c:v>
                </c:pt>
                <c:pt idx="53">
                  <c:v>4.2867981790591703E-2</c:v>
                </c:pt>
                <c:pt idx="54">
                  <c:v>2.7646416878865043E-2</c:v>
                </c:pt>
                <c:pt idx="55">
                  <c:v>0.13486725663716825</c:v>
                </c:pt>
                <c:pt idx="56">
                  <c:v>4.0548970679974872E-2</c:v>
                </c:pt>
                <c:pt idx="57">
                  <c:v>1.1390887290168017E-2</c:v>
                </c:pt>
                <c:pt idx="58">
                  <c:v>-6.1351511558980443E-2</c:v>
                </c:pt>
                <c:pt idx="59">
                  <c:v>-7.7676034101673563E-2</c:v>
                </c:pt>
                <c:pt idx="60">
                  <c:v>-1.5063334474495038E-2</c:v>
                </c:pt>
                <c:pt idx="61">
                  <c:v>-5.9089329162320681E-3</c:v>
                </c:pt>
                <c:pt idx="62">
                  <c:v>-5.9440559440560037E-3</c:v>
                </c:pt>
                <c:pt idx="63">
                  <c:v>-2.7435807245867028E-2</c:v>
                </c:pt>
                <c:pt idx="64">
                  <c:v>5.2802893309222387E-2</c:v>
                </c:pt>
                <c:pt idx="65">
                  <c:v>-1.1336310546203987E-2</c:v>
                </c:pt>
                <c:pt idx="66">
                  <c:v>-2.3627519110493433E-2</c:v>
                </c:pt>
                <c:pt idx="67">
                  <c:v>1.1387900355871894E-2</c:v>
                </c:pt>
                <c:pt idx="68">
                  <c:v>-0.14883884588318086</c:v>
                </c:pt>
                <c:pt idx="69">
                  <c:v>-1.9016122364613475E-2</c:v>
                </c:pt>
                <c:pt idx="70">
                  <c:v>-7.8381795195954451E-2</c:v>
                </c:pt>
                <c:pt idx="71">
                  <c:v>-0.11979881115683588</c:v>
                </c:pt>
                <c:pt idx="72">
                  <c:v>-6.6493506493506604E-2</c:v>
                </c:pt>
                <c:pt idx="73">
                  <c:v>6.8447412353923154E-2</c:v>
                </c:pt>
                <c:pt idx="74">
                  <c:v>3.6458333333333481E-3</c:v>
                </c:pt>
                <c:pt idx="75">
                  <c:v>6.0716139076284481E-2</c:v>
                </c:pt>
                <c:pt idx="76">
                  <c:v>3.5225048923678948E-2</c:v>
                </c:pt>
                <c:pt idx="77">
                  <c:v>-0.10822306238185253</c:v>
                </c:pt>
                <c:pt idx="78">
                  <c:v>1.5898251192367763E-3</c:v>
                </c:pt>
                <c:pt idx="79">
                  <c:v>3.7566137566137581E-2</c:v>
                </c:pt>
                <c:pt idx="80">
                  <c:v>0.13054563997960233</c:v>
                </c:pt>
                <c:pt idx="81">
                  <c:v>-5.5931438881371309E-2</c:v>
                </c:pt>
                <c:pt idx="82">
                  <c:v>-5.6856187290969973E-2</c:v>
                </c:pt>
                <c:pt idx="83">
                  <c:v>-6.3829787234042423E-2</c:v>
                </c:pt>
                <c:pt idx="84">
                  <c:v>-6.4935064935065512E-3</c:v>
                </c:pt>
                <c:pt idx="85">
                  <c:v>1.5250544662309462E-2</c:v>
                </c:pt>
                <c:pt idx="86">
                  <c:v>-3.5944206008583834E-2</c:v>
                </c:pt>
                <c:pt idx="87">
                  <c:v>-0.14468558708959378</c:v>
                </c:pt>
                <c:pt idx="88">
                  <c:v>-6.4411190631099458E-2</c:v>
                </c:pt>
                <c:pt idx="89">
                  <c:v>-0.15994436717663429</c:v>
                </c:pt>
                <c:pt idx="90">
                  <c:v>5.7947019867550242E-3</c:v>
                </c:pt>
                <c:pt idx="91">
                  <c:v>5.679012345679002E-2</c:v>
                </c:pt>
                <c:pt idx="92">
                  <c:v>-0.22352024922118374</c:v>
                </c:pt>
                <c:pt idx="93">
                  <c:v>9.1273821464393112E-2</c:v>
                </c:pt>
                <c:pt idx="94">
                  <c:v>-5.7904411764705954E-2</c:v>
                </c:pt>
                <c:pt idx="95">
                  <c:v>0.1092682926829267</c:v>
                </c:pt>
                <c:pt idx="96">
                  <c:v>6.9481090589269989E-2</c:v>
                </c:pt>
                <c:pt idx="97">
                  <c:v>3.3717105263157965E-2</c:v>
                </c:pt>
                <c:pt idx="98">
                  <c:v>-0.21320604614160699</c:v>
                </c:pt>
                <c:pt idx="99">
                  <c:v>-0.10111223458038421</c:v>
                </c:pt>
                <c:pt idx="100">
                  <c:v>0.12035995500562424</c:v>
                </c:pt>
                <c:pt idx="101">
                  <c:v>3.9156626506023917E-2</c:v>
                </c:pt>
                <c:pt idx="102">
                  <c:v>2.4154589371980784E-2</c:v>
                </c:pt>
                <c:pt idx="103">
                  <c:v>-1.8867924528301883E-3</c:v>
                </c:pt>
                <c:pt idx="104">
                  <c:v>-0.22589792060491498</c:v>
                </c:pt>
                <c:pt idx="105">
                  <c:v>0.14529914529914545</c:v>
                </c:pt>
                <c:pt idx="106">
                  <c:v>7.1428571428571397E-2</c:v>
                </c:pt>
                <c:pt idx="107">
                  <c:v>6.6666666666666652E-2</c:v>
                </c:pt>
                <c:pt idx="108">
                  <c:v>1.8656716417910779E-3</c:v>
                </c:pt>
                <c:pt idx="109">
                  <c:v>0.3016759776536313</c:v>
                </c:pt>
                <c:pt idx="110">
                  <c:v>6.0801144492131698E-2</c:v>
                </c:pt>
                <c:pt idx="111">
                  <c:v>0.21375590020229263</c:v>
                </c:pt>
                <c:pt idx="112">
                  <c:v>0.14666666666666672</c:v>
                </c:pt>
                <c:pt idx="113">
                  <c:v>7.2674418604650182E-3</c:v>
                </c:pt>
                <c:pt idx="114">
                  <c:v>-0.11351611351611346</c:v>
                </c:pt>
                <c:pt idx="115">
                  <c:v>-1.6820401519262007E-2</c:v>
                </c:pt>
                <c:pt idx="116">
                  <c:v>1.0485651214127811E-2</c:v>
                </c:pt>
                <c:pt idx="117">
                  <c:v>7.0999453850355554E-3</c:v>
                </c:pt>
                <c:pt idx="118">
                  <c:v>6.778741865509752E-2</c:v>
                </c:pt>
                <c:pt idx="119">
                  <c:v>-5.2818689690198206E-2</c:v>
                </c:pt>
                <c:pt idx="120">
                  <c:v>0.14852546916890108</c:v>
                </c:pt>
                <c:pt idx="121">
                  <c:v>5.1353874883286466E-2</c:v>
                </c:pt>
                <c:pt idx="122">
                  <c:v>-5.0621669626998211E-2</c:v>
                </c:pt>
                <c:pt idx="123">
                  <c:v>-1.5902712815715647E-2</c:v>
                </c:pt>
                <c:pt idx="124">
                  <c:v>6.9866920152091394E-2</c:v>
                </c:pt>
                <c:pt idx="125">
                  <c:v>8.573967125721893E-2</c:v>
                </c:pt>
                <c:pt idx="126">
                  <c:v>6.7512274959083518E-2</c:v>
                </c:pt>
                <c:pt idx="127">
                  <c:v>3.219624377155994E-2</c:v>
                </c:pt>
                <c:pt idx="128">
                  <c:v>4.9015967322688425E-2</c:v>
                </c:pt>
                <c:pt idx="129">
                  <c:v>1.7699115044247815E-2</c:v>
                </c:pt>
                <c:pt idx="130">
                  <c:v>-4.765217391304355E-2</c:v>
                </c:pt>
                <c:pt idx="131">
                  <c:v>5.2227903579254997E-2</c:v>
                </c:pt>
                <c:pt idx="132">
                  <c:v>0.12808052759458532</c:v>
                </c:pt>
                <c:pt idx="133">
                  <c:v>6.7076923076923034E-2</c:v>
                </c:pt>
                <c:pt idx="134">
                  <c:v>-0.10841983852364467</c:v>
                </c:pt>
                <c:pt idx="135">
                  <c:v>5.6597671410090644E-2</c:v>
                </c:pt>
                <c:pt idx="136">
                  <c:v>-2.7854300581573344E-2</c:v>
                </c:pt>
                <c:pt idx="137">
                  <c:v>5.1637279596977281E-2</c:v>
                </c:pt>
                <c:pt idx="138">
                  <c:v>-4.1616766467065913E-2</c:v>
                </c:pt>
                <c:pt idx="139">
                  <c:v>5.3108403623867151E-3</c:v>
                </c:pt>
                <c:pt idx="140">
                  <c:v>-4.5369794903666882E-2</c:v>
                </c:pt>
                <c:pt idx="141">
                  <c:v>9.3098958333333259E-2</c:v>
                </c:pt>
                <c:pt idx="142">
                  <c:v>3.15664085765337E-2</c:v>
                </c:pt>
                <c:pt idx="143">
                  <c:v>4.5900692840646462E-2</c:v>
                </c:pt>
                <c:pt idx="144">
                  <c:v>6.4035329837151655E-2</c:v>
                </c:pt>
                <c:pt idx="145">
                  <c:v>6.7444876783400165E-3</c:v>
                </c:pt>
                <c:pt idx="146">
                  <c:v>3.5042514815769144E-2</c:v>
                </c:pt>
                <c:pt idx="147">
                  <c:v>-7.8665670898680706E-2</c:v>
                </c:pt>
                <c:pt idx="148">
                  <c:v>-6.5928127533099068E-2</c:v>
                </c:pt>
                <c:pt idx="149">
                  <c:v>6.9135088226786268E-2</c:v>
                </c:pt>
                <c:pt idx="150">
                  <c:v>5.4112554112553113E-3</c:v>
                </c:pt>
                <c:pt idx="151">
                  <c:v>9.714747039827798E-2</c:v>
                </c:pt>
                <c:pt idx="152">
                  <c:v>2.3546725533480251E-2</c:v>
                </c:pt>
                <c:pt idx="153">
                  <c:v>-4.6968607716271094E-2</c:v>
                </c:pt>
                <c:pt idx="154">
                  <c:v>6.0849886849383861E-2</c:v>
                </c:pt>
                <c:pt idx="155">
                  <c:v>-9.4809196492062764E-4</c:v>
                </c:pt>
                <c:pt idx="156">
                  <c:v>-5.243179122182684E-2</c:v>
                </c:pt>
                <c:pt idx="157">
                  <c:v>0.11166750125187774</c:v>
                </c:pt>
                <c:pt idx="158">
                  <c:v>-4.2567567567567632E-2</c:v>
                </c:pt>
              </c:numCache>
            </c:numRef>
          </c:yVal>
          <c:smooth val="0"/>
          <c:extLst>
            <c:ext xmlns:c16="http://schemas.microsoft.com/office/drawing/2014/chart" uri="{C3380CC4-5D6E-409C-BE32-E72D297353CC}">
              <c16:uniqueId val="{00000001-9D02-413C-8D8B-54B4BFD2B0FB}"/>
            </c:ext>
          </c:extLst>
        </c:ser>
        <c:dLbls>
          <c:showLegendKey val="0"/>
          <c:showVal val="0"/>
          <c:showCatName val="0"/>
          <c:showSerName val="0"/>
          <c:showPercent val="0"/>
          <c:showBubbleSize val="0"/>
        </c:dLbls>
        <c:axId val="249347392"/>
        <c:axId val="251854848"/>
      </c:scatterChart>
      <c:valAx>
        <c:axId val="249347392"/>
        <c:scaling>
          <c:orientation val="minMax"/>
        </c:scaling>
        <c:delete val="0"/>
        <c:axPos val="b"/>
        <c:numFmt formatCode="General" sourceLinked="1"/>
        <c:majorTickMark val="out"/>
        <c:minorTickMark val="none"/>
        <c:tickLblPos val="nextTo"/>
        <c:crossAx val="251854848"/>
        <c:crosses val="autoZero"/>
        <c:crossBetween val="midCat"/>
      </c:valAx>
      <c:valAx>
        <c:axId val="251854848"/>
        <c:scaling>
          <c:orientation val="minMax"/>
        </c:scaling>
        <c:delete val="0"/>
        <c:axPos val="l"/>
        <c:majorGridlines/>
        <c:numFmt formatCode="General" sourceLinked="1"/>
        <c:majorTickMark val="out"/>
        <c:minorTickMark val="none"/>
        <c:tickLblPos val="nextTo"/>
        <c:crossAx val="249347392"/>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71511</xdr:colOff>
      <xdr:row>1</xdr:row>
      <xdr:rowOff>290146</xdr:rowOff>
    </xdr:from>
    <xdr:to>
      <xdr:col>16</xdr:col>
      <xdr:colOff>375725</xdr:colOff>
      <xdr:row>16</xdr:row>
      <xdr:rowOff>92026</xdr:rowOff>
    </xdr:to>
    <xdr:graphicFrame macro="">
      <xdr:nvGraphicFramePr>
        <xdr:cNvPr id="4" name="Chart 3">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14</xdr:row>
      <xdr:rowOff>40871</xdr:rowOff>
    </xdr:from>
    <xdr:to>
      <xdr:col>6</xdr:col>
      <xdr:colOff>193361</xdr:colOff>
      <xdr:row>36</xdr:row>
      <xdr:rowOff>30855</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0.63173</cdr:x>
      <cdr:y>0.5846</cdr:y>
    </cdr:from>
    <cdr:to>
      <cdr:x>0.97613</cdr:x>
      <cdr:y>0.82075</cdr:y>
    </cdr:to>
    <cdr:sp macro="" textlink="'Ex(7an)'!$K$7">
      <cdr:nvSpPr>
        <cdr:cNvPr id="2" name="Rectangle 1"/>
        <cdr:cNvSpPr/>
      </cdr:nvSpPr>
      <cdr:spPr>
        <a:xfrm xmlns:a="http://schemas.openxmlformats.org/drawingml/2006/main">
          <a:off x="4261979" y="2310557"/>
          <a:ext cx="2323548" cy="933366"/>
        </a:xfrm>
        <a:prstGeom xmlns:a="http://schemas.openxmlformats.org/drawingml/2006/main" prst="rect">
          <a:avLst/>
        </a:prstGeom>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fld id="{7E837347-08B9-473D-AF94-A31B8763AA09}" type="TxLink">
            <a:rPr lang="en-US"/>
            <a:pPr/>
            <a:t>Beta of 1, asset should earn 2.00% + 9.00%*1 = 11.00%
Beta of 2, asset should earn 2.00% + 9.00%*2 = 20.00%</a:t>
          </a:fld>
          <a:endParaRPr lang="en-US"/>
        </a:p>
      </cdr:txBody>
    </cdr:sp>
  </cdr:relSizeAnchor>
</c:userShapes>
</file>

<file path=xl/drawings/drawing4.xml><?xml version="1.0" encoding="utf-8"?>
<xdr:wsDr xmlns:xdr="http://schemas.openxmlformats.org/drawingml/2006/spreadsheetDrawing" xmlns:a="http://schemas.openxmlformats.org/drawingml/2006/main">
  <xdr:twoCellAnchor>
    <xdr:from>
      <xdr:col>3</xdr:col>
      <xdr:colOff>206188</xdr:colOff>
      <xdr:row>1</xdr:row>
      <xdr:rowOff>255494</xdr:rowOff>
    </xdr:from>
    <xdr:to>
      <xdr:col>10</xdr:col>
      <xdr:colOff>152400</xdr:colOff>
      <xdr:row>15</xdr:row>
      <xdr:rowOff>183776</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mgirvin\Desktop\00-455-2025\02-VideosFilesHomework\Ch11\Files\ACCTG45-Ch11-Homework.xlsx" TargetMode="External"/><Relationship Id="rId1" Type="http://schemas.openxmlformats.org/officeDocument/2006/relationships/externalLinkPath" Target="ACCTG45-Ch11-Homewor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HW==&gt;&gt;"/>
      <sheetName val="CTCR"/>
      <sheetName val="CTCRan"/>
      <sheetName val="QP(2)"/>
      <sheetName val="QP(2an)"/>
      <sheetName val="QP(3)"/>
      <sheetName val="QP(3an)"/>
      <sheetName val="QP(7)"/>
      <sheetName val="QP(7an)"/>
      <sheetName val="QP(10)"/>
      <sheetName val="QP(10an)"/>
      <sheetName val="QP(11)"/>
      <sheetName val="QP(11an)"/>
      <sheetName val="QP(12)"/>
      <sheetName val="QP(12an)"/>
      <sheetName val="QP(13)"/>
      <sheetName val="QP(13an)"/>
      <sheetName val="QP(14)"/>
      <sheetName val="QP(14an)"/>
      <sheetName val="QP(15)"/>
      <sheetName val="QP(15an)"/>
      <sheetName val="QP(16)"/>
      <sheetName val="QP(16an)"/>
      <sheetName val="QP(17)"/>
      <sheetName val="QP(17an)"/>
      <sheetName val="QP(18)"/>
      <sheetName val="QP(18an)"/>
      <sheetName val="QP(19)"/>
      <sheetName val="QP(20)"/>
      <sheetName val="QP(20an)"/>
      <sheetName val="QP(21)"/>
      <sheetName val="QP(21an)"/>
      <sheetName val="QP(22)"/>
      <sheetName val="QP(22an)"/>
      <sheetName val="QP(23)"/>
      <sheetName val="QP(23an)"/>
      <sheetName val="QP(25)"/>
      <sheetName val="QP(25an)"/>
      <sheetName val="QP(30)"/>
      <sheetName val="QP(30an)"/>
      <sheetName val="Case"/>
      <sheetName val="Case an"/>
      <sheetName val="WFM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B8" t="str">
            <v>Portfolio Beta</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4">
          <cell r="B4">
            <v>1.6000000000000001E-3</v>
          </cell>
        </row>
      </sheetData>
      <sheetData sheetId="41"/>
      <sheetData sheetId="4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creen.finance.yahoo.com/stocks.html"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screen.finance.yahoo.com/stocks.html"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http://screen.finance.yahoo.com/stock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sheetPr>
  <dimension ref="A1:G100"/>
  <sheetViews>
    <sheetView tabSelected="1" zoomScale="115" zoomScaleNormal="115" workbookViewId="0">
      <selection activeCell="E14" sqref="E14"/>
    </sheetView>
  </sheetViews>
  <sheetFormatPr defaultRowHeight="14.4" x14ac:dyDescent="0.3"/>
  <cols>
    <col min="2" max="2" width="24.44140625" customWidth="1"/>
    <col min="3" max="4" width="13.21875" customWidth="1"/>
    <col min="5" max="5" width="21.5546875" customWidth="1"/>
    <col min="6" max="6" width="1" customWidth="1"/>
    <col min="8" max="8" width="1" customWidth="1"/>
    <col min="9" max="9" width="23.77734375" bestFit="1" customWidth="1"/>
  </cols>
  <sheetData>
    <row r="1" spans="1:7" x14ac:dyDescent="0.3">
      <c r="B1" t="s">
        <v>137</v>
      </c>
      <c r="E1" t="s">
        <v>151</v>
      </c>
    </row>
    <row r="2" spans="1:7" x14ac:dyDescent="0.3">
      <c r="B2" s="1" t="s">
        <v>138</v>
      </c>
      <c r="C2" s="2">
        <v>1925</v>
      </c>
      <c r="E2" t="s">
        <v>150</v>
      </c>
    </row>
    <row r="3" spans="1:7" x14ac:dyDescent="0.3">
      <c r="B3" s="1" t="s">
        <v>139</v>
      </c>
      <c r="C3" s="2">
        <v>2008</v>
      </c>
    </row>
    <row r="4" spans="1:7" x14ac:dyDescent="0.3">
      <c r="B4" s="1" t="s">
        <v>140</v>
      </c>
      <c r="C4" s="2">
        <f>C3-C2</f>
        <v>83</v>
      </c>
      <c r="E4" s="66" t="s">
        <v>154</v>
      </c>
    </row>
    <row r="5" spans="1:7" x14ac:dyDescent="0.3">
      <c r="B5" s="64"/>
      <c r="E5" s="2" t="s">
        <v>141</v>
      </c>
    </row>
    <row r="6" spans="1:7" s="64" customFormat="1" ht="28.8" x14ac:dyDescent="0.3">
      <c r="A6" s="25" t="s">
        <v>47</v>
      </c>
      <c r="B6" s="1" t="s">
        <v>142</v>
      </c>
      <c r="C6" s="1" t="str">
        <f>"$ Invested in "&amp;C2</f>
        <v>$ Invested in 1925</v>
      </c>
      <c r="D6" s="1" t="str">
        <f>"$ Withdrawn in "&amp;C3</f>
        <v>$ Withdrawn in 2008</v>
      </c>
      <c r="E6" s="1" t="s">
        <v>143</v>
      </c>
      <c r="G6" s="65" t="s">
        <v>144</v>
      </c>
    </row>
    <row r="7" spans="1:7" x14ac:dyDescent="0.3">
      <c r="A7" s="22">
        <v>0.16400000000000001</v>
      </c>
      <c r="B7" s="36" t="s">
        <v>145</v>
      </c>
      <c r="C7" s="13">
        <v>1</v>
      </c>
      <c r="D7" s="13">
        <v>9548.94</v>
      </c>
      <c r="E7" s="30"/>
      <c r="G7" s="5"/>
    </row>
    <row r="8" spans="1:7" x14ac:dyDescent="0.3">
      <c r="A8" s="22">
        <v>0.11700000000000001</v>
      </c>
      <c r="B8" s="36" t="s">
        <v>146</v>
      </c>
      <c r="C8" s="13">
        <v>1</v>
      </c>
      <c r="D8" s="13">
        <v>2049.4499999999998</v>
      </c>
      <c r="E8" s="30"/>
      <c r="G8" s="5"/>
    </row>
    <row r="9" spans="1:7" x14ac:dyDescent="0.3">
      <c r="A9" s="22">
        <v>6.0999999999999999E-2</v>
      </c>
      <c r="B9" s="36" t="s">
        <v>147</v>
      </c>
      <c r="C9" s="13">
        <v>1</v>
      </c>
      <c r="D9" s="13">
        <v>99.16</v>
      </c>
      <c r="E9" s="30"/>
      <c r="G9" s="5"/>
    </row>
    <row r="10" spans="1:7" x14ac:dyDescent="0.3">
      <c r="A10" s="22">
        <v>3.7999999999999999E-2</v>
      </c>
      <c r="B10" s="36" t="s">
        <v>148</v>
      </c>
      <c r="C10" s="13">
        <v>1</v>
      </c>
      <c r="D10" s="13">
        <v>20.51</v>
      </c>
      <c r="E10" s="30"/>
      <c r="G10" s="5"/>
    </row>
    <row r="11" spans="1:7" x14ac:dyDescent="0.3">
      <c r="A11" s="22">
        <v>3.1E-2</v>
      </c>
      <c r="B11" s="36" t="s">
        <v>149</v>
      </c>
      <c r="C11" s="13">
        <v>1</v>
      </c>
      <c r="D11" s="13">
        <v>11.73</v>
      </c>
      <c r="E11" s="30"/>
      <c r="G11" s="5"/>
    </row>
    <row r="12" spans="1:7" x14ac:dyDescent="0.3">
      <c r="A12" s="67"/>
      <c r="B12" s="36"/>
      <c r="C12" s="24"/>
      <c r="D12" s="24"/>
    </row>
    <row r="13" spans="1:7" x14ac:dyDescent="0.3">
      <c r="B13" s="66" t="s">
        <v>155</v>
      </c>
    </row>
    <row r="14" spans="1:7" ht="15.6" x14ac:dyDescent="0.35">
      <c r="B14" s="2" t="s">
        <v>153</v>
      </c>
      <c r="C14" s="2" t="s">
        <v>47</v>
      </c>
    </row>
    <row r="15" spans="1:7" x14ac:dyDescent="0.3">
      <c r="B15" s="68"/>
      <c r="C15" s="68"/>
    </row>
    <row r="17" spans="2:3" ht="43.2" x14ac:dyDescent="0.3">
      <c r="B17" s="14" t="s">
        <v>152</v>
      </c>
      <c r="C17" s="14" t="s">
        <v>146</v>
      </c>
    </row>
    <row r="18" spans="2:3" x14ac:dyDescent="0.3">
      <c r="B18" s="2">
        <v>1926</v>
      </c>
      <c r="C18" s="22">
        <v>0.1114</v>
      </c>
    </row>
    <row r="19" spans="2:3" x14ac:dyDescent="0.3">
      <c r="B19" s="2">
        <v>1927</v>
      </c>
      <c r="C19" s="22">
        <v>0.37130000000000002</v>
      </c>
    </row>
    <row r="20" spans="2:3" x14ac:dyDescent="0.3">
      <c r="B20" s="2">
        <v>1928</v>
      </c>
      <c r="C20" s="22">
        <v>0.43309999999999998</v>
      </c>
    </row>
    <row r="21" spans="2:3" x14ac:dyDescent="0.3">
      <c r="B21" s="2">
        <v>1929</v>
      </c>
      <c r="C21" s="22">
        <v>-8.9099999999999999E-2</v>
      </c>
    </row>
    <row r="22" spans="2:3" x14ac:dyDescent="0.3">
      <c r="B22" s="2">
        <v>1930</v>
      </c>
      <c r="C22" s="22">
        <v>-0.25259999999999999</v>
      </c>
    </row>
    <row r="23" spans="2:3" x14ac:dyDescent="0.3">
      <c r="B23" s="2">
        <v>1931</v>
      </c>
      <c r="C23" s="22">
        <v>-0.43859999999999999</v>
      </c>
    </row>
    <row r="24" spans="2:3" x14ac:dyDescent="0.3">
      <c r="B24" s="2">
        <v>1932</v>
      </c>
      <c r="C24" s="22">
        <v>-8.8499999999999995E-2</v>
      </c>
    </row>
    <row r="25" spans="2:3" x14ac:dyDescent="0.3">
      <c r="B25" s="2">
        <v>1933</v>
      </c>
      <c r="C25" s="22">
        <v>0.52880000000000005</v>
      </c>
    </row>
    <row r="26" spans="2:3" x14ac:dyDescent="0.3">
      <c r="B26" s="2">
        <v>1934</v>
      </c>
      <c r="C26" s="22">
        <v>-2.3400000000000001E-2</v>
      </c>
    </row>
    <row r="27" spans="2:3" x14ac:dyDescent="0.3">
      <c r="B27" s="2">
        <v>1935</v>
      </c>
      <c r="C27" s="22">
        <v>0.47220000000000001</v>
      </c>
    </row>
    <row r="28" spans="2:3" x14ac:dyDescent="0.3">
      <c r="B28" s="2">
        <v>1936</v>
      </c>
      <c r="C28" s="22">
        <v>0.32800000000000001</v>
      </c>
    </row>
    <row r="29" spans="2:3" x14ac:dyDescent="0.3">
      <c r="B29" s="2">
        <v>1937</v>
      </c>
      <c r="C29" s="22">
        <v>-0.35260000000000002</v>
      </c>
    </row>
    <row r="30" spans="2:3" x14ac:dyDescent="0.3">
      <c r="B30" s="2">
        <v>1938</v>
      </c>
      <c r="C30" s="22">
        <v>0.33200000000000002</v>
      </c>
    </row>
    <row r="31" spans="2:3" x14ac:dyDescent="0.3">
      <c r="B31" s="2">
        <v>1939</v>
      </c>
      <c r="C31" s="22">
        <v>-9.1000000000000004E-3</v>
      </c>
    </row>
    <row r="32" spans="2:3" x14ac:dyDescent="0.3">
      <c r="B32" s="2">
        <v>1940</v>
      </c>
      <c r="C32" s="22">
        <v>-0.1008</v>
      </c>
    </row>
    <row r="33" spans="2:3" x14ac:dyDescent="0.3">
      <c r="B33" s="2">
        <v>1941</v>
      </c>
      <c r="C33" s="22">
        <v>-0.1177</v>
      </c>
    </row>
    <row r="34" spans="2:3" x14ac:dyDescent="0.3">
      <c r="B34" s="2">
        <v>1942</v>
      </c>
      <c r="C34" s="22">
        <v>0.2107</v>
      </c>
    </row>
    <row r="35" spans="2:3" x14ac:dyDescent="0.3">
      <c r="B35" s="2">
        <v>1943</v>
      </c>
      <c r="C35" s="22">
        <v>0.2576</v>
      </c>
    </row>
    <row r="36" spans="2:3" x14ac:dyDescent="0.3">
      <c r="B36" s="2">
        <v>1944</v>
      </c>
      <c r="C36" s="22">
        <v>0.19689999999999999</v>
      </c>
    </row>
    <row r="37" spans="2:3" x14ac:dyDescent="0.3">
      <c r="B37" s="2">
        <v>1945</v>
      </c>
      <c r="C37" s="22">
        <v>0.36459999999999998</v>
      </c>
    </row>
    <row r="38" spans="2:3" x14ac:dyDescent="0.3">
      <c r="B38" s="2">
        <v>1946</v>
      </c>
      <c r="C38" s="22">
        <v>-8.1799999999999998E-2</v>
      </c>
    </row>
    <row r="39" spans="2:3" x14ac:dyDescent="0.3">
      <c r="B39" s="2">
        <v>1947</v>
      </c>
      <c r="C39" s="22">
        <v>5.2400000000000002E-2</v>
      </c>
    </row>
    <row r="40" spans="2:3" x14ac:dyDescent="0.3">
      <c r="B40" s="2">
        <v>1948</v>
      </c>
      <c r="C40" s="22">
        <v>5.0999999999999997E-2</v>
      </c>
    </row>
    <row r="41" spans="2:3" x14ac:dyDescent="0.3">
      <c r="B41" s="2">
        <v>1949</v>
      </c>
      <c r="C41" s="22">
        <v>0.18060000000000001</v>
      </c>
    </row>
    <row r="42" spans="2:3" x14ac:dyDescent="0.3">
      <c r="B42" s="2">
        <v>1950</v>
      </c>
      <c r="C42" s="22">
        <v>0.30580000000000002</v>
      </c>
    </row>
    <row r="43" spans="2:3" x14ac:dyDescent="0.3">
      <c r="B43" s="2">
        <v>1951</v>
      </c>
      <c r="C43" s="22">
        <v>0.2455</v>
      </c>
    </row>
    <row r="44" spans="2:3" x14ac:dyDescent="0.3">
      <c r="B44" s="2">
        <v>1952</v>
      </c>
      <c r="C44" s="22">
        <v>0.185</v>
      </c>
    </row>
    <row r="45" spans="2:3" x14ac:dyDescent="0.3">
      <c r="B45" s="2">
        <v>1953</v>
      </c>
      <c r="C45" s="22">
        <v>-1.0999999999999999E-2</v>
      </c>
    </row>
    <row r="46" spans="2:3" x14ac:dyDescent="0.3">
      <c r="B46" s="2">
        <v>1954</v>
      </c>
      <c r="C46" s="22">
        <v>0.52400000000000002</v>
      </c>
    </row>
    <row r="47" spans="2:3" x14ac:dyDescent="0.3">
      <c r="B47" s="2">
        <v>1955</v>
      </c>
      <c r="C47" s="22">
        <v>0.31430000000000002</v>
      </c>
    </row>
    <row r="48" spans="2:3" x14ac:dyDescent="0.3">
      <c r="B48" s="2">
        <v>1956</v>
      </c>
      <c r="C48" s="22">
        <v>6.6299999999999998E-2</v>
      </c>
    </row>
    <row r="49" spans="2:3" x14ac:dyDescent="0.3">
      <c r="B49" s="2">
        <v>1957</v>
      </c>
      <c r="C49" s="22">
        <v>-0.1085</v>
      </c>
    </row>
    <row r="50" spans="2:3" x14ac:dyDescent="0.3">
      <c r="B50" s="2">
        <v>1958</v>
      </c>
      <c r="C50" s="22">
        <v>0.43340000000000001</v>
      </c>
    </row>
    <row r="51" spans="2:3" x14ac:dyDescent="0.3">
      <c r="B51" s="2">
        <v>1959</v>
      </c>
      <c r="C51" s="22">
        <v>0.11899999999999999</v>
      </c>
    </row>
    <row r="52" spans="2:3" x14ac:dyDescent="0.3">
      <c r="B52" s="2">
        <v>1960</v>
      </c>
      <c r="C52" s="22">
        <v>4.7999999999999996E-3</v>
      </c>
    </row>
    <row r="53" spans="2:3" x14ac:dyDescent="0.3">
      <c r="B53" s="2">
        <v>1961</v>
      </c>
      <c r="C53" s="22">
        <v>0.2681</v>
      </c>
    </row>
    <row r="54" spans="2:3" x14ac:dyDescent="0.3">
      <c r="B54" s="2">
        <v>1962</v>
      </c>
      <c r="C54" s="22">
        <v>-8.7800000000000003E-2</v>
      </c>
    </row>
    <row r="55" spans="2:3" x14ac:dyDescent="0.3">
      <c r="B55" s="2">
        <v>1963</v>
      </c>
      <c r="C55" s="22">
        <v>0.22689999999999999</v>
      </c>
    </row>
    <row r="56" spans="2:3" x14ac:dyDescent="0.3">
      <c r="B56" s="2">
        <v>1964</v>
      </c>
      <c r="C56" s="22">
        <v>0.1636</v>
      </c>
    </row>
    <row r="57" spans="2:3" x14ac:dyDescent="0.3">
      <c r="B57" s="2">
        <v>1965</v>
      </c>
      <c r="C57" s="22">
        <v>0.1236</v>
      </c>
    </row>
    <row r="58" spans="2:3" x14ac:dyDescent="0.3">
      <c r="B58" s="2">
        <v>1966</v>
      </c>
      <c r="C58" s="22">
        <v>-0.10100000000000001</v>
      </c>
    </row>
    <row r="59" spans="2:3" x14ac:dyDescent="0.3">
      <c r="B59" s="2">
        <v>1967</v>
      </c>
      <c r="C59" s="22">
        <v>0.2394</v>
      </c>
    </row>
    <row r="60" spans="2:3" x14ac:dyDescent="0.3">
      <c r="B60" s="2">
        <v>1968</v>
      </c>
      <c r="C60" s="22">
        <v>0.11</v>
      </c>
    </row>
    <row r="61" spans="2:3" x14ac:dyDescent="0.3">
      <c r="B61" s="2">
        <v>1969</v>
      </c>
      <c r="C61" s="22">
        <v>-8.4699999999999998E-2</v>
      </c>
    </row>
    <row r="62" spans="2:3" x14ac:dyDescent="0.3">
      <c r="B62" s="2">
        <v>1970</v>
      </c>
      <c r="C62" s="22">
        <v>3.9399999999999998E-2</v>
      </c>
    </row>
    <row r="63" spans="2:3" x14ac:dyDescent="0.3">
      <c r="B63" s="2">
        <v>1971</v>
      </c>
      <c r="C63" s="22">
        <v>0.14299999999999999</v>
      </c>
    </row>
    <row r="64" spans="2:3" x14ac:dyDescent="0.3">
      <c r="B64" s="2">
        <v>1972</v>
      </c>
      <c r="C64" s="22">
        <v>0.18990000000000001</v>
      </c>
    </row>
    <row r="65" spans="2:3" x14ac:dyDescent="0.3">
      <c r="B65" s="2">
        <v>1973</v>
      </c>
      <c r="C65" s="22">
        <v>-0.1469</v>
      </c>
    </row>
    <row r="66" spans="2:3" x14ac:dyDescent="0.3">
      <c r="B66" s="2">
        <v>1974</v>
      </c>
      <c r="C66" s="22">
        <v>-0.26469999999999999</v>
      </c>
    </row>
    <row r="67" spans="2:3" x14ac:dyDescent="0.3">
      <c r="B67" s="2">
        <v>1975</v>
      </c>
      <c r="C67" s="22">
        <v>0.37230000000000002</v>
      </c>
    </row>
    <row r="68" spans="2:3" x14ac:dyDescent="0.3">
      <c r="B68" s="2">
        <v>1976</v>
      </c>
      <c r="C68" s="22">
        <v>0.23930000000000001</v>
      </c>
    </row>
    <row r="69" spans="2:3" x14ac:dyDescent="0.3">
      <c r="B69" s="2">
        <v>1977</v>
      </c>
      <c r="C69" s="22">
        <v>-7.1599999999999997E-2</v>
      </c>
    </row>
    <row r="70" spans="2:3" x14ac:dyDescent="0.3">
      <c r="B70" s="2">
        <v>1978</v>
      </c>
      <c r="C70" s="22">
        <v>6.5699999999999995E-2</v>
      </c>
    </row>
    <row r="71" spans="2:3" x14ac:dyDescent="0.3">
      <c r="B71" s="2">
        <v>1979</v>
      </c>
      <c r="C71" s="22">
        <v>0.18609999999999999</v>
      </c>
    </row>
    <row r="72" spans="2:3" x14ac:dyDescent="0.3">
      <c r="B72" s="2">
        <v>1980</v>
      </c>
      <c r="C72" s="22">
        <v>0.32500000000000001</v>
      </c>
    </row>
    <row r="73" spans="2:3" x14ac:dyDescent="0.3">
      <c r="B73" s="2">
        <v>1981</v>
      </c>
      <c r="C73" s="22">
        <v>-4.9200000000000001E-2</v>
      </c>
    </row>
    <row r="74" spans="2:3" x14ac:dyDescent="0.3">
      <c r="B74" s="2">
        <v>1982</v>
      </c>
      <c r="C74" s="22">
        <v>0.2155</v>
      </c>
    </row>
    <row r="75" spans="2:3" x14ac:dyDescent="0.3">
      <c r="B75" s="2">
        <v>1983</v>
      </c>
      <c r="C75" s="22">
        <v>0.22559999999999999</v>
      </c>
    </row>
    <row r="76" spans="2:3" x14ac:dyDescent="0.3">
      <c r="B76" s="2">
        <v>1984</v>
      </c>
      <c r="C76" s="22">
        <v>6.2700000000000006E-2</v>
      </c>
    </row>
    <row r="77" spans="2:3" x14ac:dyDescent="0.3">
      <c r="B77" s="2">
        <v>1985</v>
      </c>
      <c r="C77" s="22">
        <v>0.31730000000000003</v>
      </c>
    </row>
    <row r="78" spans="2:3" x14ac:dyDescent="0.3">
      <c r="B78" s="2">
        <v>1986</v>
      </c>
      <c r="C78" s="22">
        <v>0.1867</v>
      </c>
    </row>
    <row r="79" spans="2:3" x14ac:dyDescent="0.3">
      <c r="B79" s="2">
        <v>1987</v>
      </c>
      <c r="C79" s="22">
        <v>5.2499999999999998E-2</v>
      </c>
    </row>
    <row r="80" spans="2:3" x14ac:dyDescent="0.3">
      <c r="B80" s="2">
        <v>1988</v>
      </c>
      <c r="C80" s="22">
        <v>0.1661</v>
      </c>
    </row>
    <row r="81" spans="2:3" x14ac:dyDescent="0.3">
      <c r="B81" s="2">
        <v>1989</v>
      </c>
      <c r="C81" s="22">
        <v>0.31690000000000002</v>
      </c>
    </row>
    <row r="82" spans="2:3" x14ac:dyDescent="0.3">
      <c r="B82" s="2">
        <v>1990</v>
      </c>
      <c r="C82" s="22">
        <v>-3.1E-2</v>
      </c>
    </row>
    <row r="83" spans="2:3" x14ac:dyDescent="0.3">
      <c r="B83" s="2">
        <v>1991</v>
      </c>
      <c r="C83" s="22">
        <v>0.30459999999999998</v>
      </c>
    </row>
    <row r="84" spans="2:3" x14ac:dyDescent="0.3">
      <c r="B84" s="2">
        <v>1992</v>
      </c>
      <c r="C84" s="22">
        <v>7.6200000000000004E-2</v>
      </c>
    </row>
    <row r="85" spans="2:3" x14ac:dyDescent="0.3">
      <c r="B85" s="2">
        <v>1993</v>
      </c>
      <c r="C85" s="22">
        <v>0.1008</v>
      </c>
    </row>
    <row r="86" spans="2:3" x14ac:dyDescent="0.3">
      <c r="B86" s="2">
        <v>1994</v>
      </c>
      <c r="C86" s="22">
        <v>1.32E-2</v>
      </c>
    </row>
    <row r="87" spans="2:3" x14ac:dyDescent="0.3">
      <c r="B87" s="2">
        <v>1995</v>
      </c>
      <c r="C87" s="22">
        <v>0.37580000000000002</v>
      </c>
    </row>
    <row r="88" spans="2:3" x14ac:dyDescent="0.3">
      <c r="B88" s="2">
        <v>1996</v>
      </c>
      <c r="C88" s="22">
        <v>0.2296</v>
      </c>
    </row>
    <row r="89" spans="2:3" x14ac:dyDescent="0.3">
      <c r="B89" s="2">
        <v>1997</v>
      </c>
      <c r="C89" s="22">
        <v>0.33360000000000001</v>
      </c>
    </row>
    <row r="90" spans="2:3" x14ac:dyDescent="0.3">
      <c r="B90" s="2">
        <v>1998</v>
      </c>
      <c r="C90" s="22">
        <v>0.2858</v>
      </c>
    </row>
    <row r="91" spans="2:3" x14ac:dyDescent="0.3">
      <c r="B91" s="2">
        <v>1999</v>
      </c>
      <c r="C91" s="22">
        <v>0.2104</v>
      </c>
    </row>
    <row r="92" spans="2:3" x14ac:dyDescent="0.3">
      <c r="B92" s="2">
        <v>2000</v>
      </c>
      <c r="C92" s="22">
        <v>-9.0999999999999998E-2</v>
      </c>
    </row>
    <row r="93" spans="2:3" x14ac:dyDescent="0.3">
      <c r="B93" s="2">
        <v>2001</v>
      </c>
      <c r="C93" s="22">
        <v>-0.11890000000000001</v>
      </c>
    </row>
    <row r="94" spans="2:3" x14ac:dyDescent="0.3">
      <c r="B94" s="2">
        <v>2002</v>
      </c>
      <c r="C94" s="22">
        <v>-0.221</v>
      </c>
    </row>
    <row r="95" spans="2:3" x14ac:dyDescent="0.3">
      <c r="B95" s="2">
        <v>2003</v>
      </c>
      <c r="C95" s="22">
        <v>0.2868</v>
      </c>
    </row>
    <row r="96" spans="2:3" x14ac:dyDescent="0.3">
      <c r="B96" s="2">
        <v>2004</v>
      </c>
      <c r="C96" s="22">
        <v>0.10879999999999999</v>
      </c>
    </row>
    <row r="97" spans="2:3" x14ac:dyDescent="0.3">
      <c r="B97" s="2">
        <v>2005</v>
      </c>
      <c r="C97" s="22">
        <v>4.9099999999999998E-2</v>
      </c>
    </row>
    <row r="98" spans="2:3" x14ac:dyDescent="0.3">
      <c r="B98" s="2">
        <v>2006</v>
      </c>
      <c r="C98" s="22">
        <v>0.15790000000000001</v>
      </c>
    </row>
    <row r="99" spans="2:3" x14ac:dyDescent="0.3">
      <c r="B99" s="2">
        <v>2007</v>
      </c>
      <c r="C99" s="22">
        <v>5.4899999999999997E-2</v>
      </c>
    </row>
    <row r="100" spans="2:3" x14ac:dyDescent="0.3">
      <c r="B100" s="2">
        <v>2008</v>
      </c>
      <c r="C100" s="22">
        <v>-0.37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L100"/>
  <sheetViews>
    <sheetView zoomScale="85" zoomScaleNormal="85" workbookViewId="0">
      <selection activeCell="L7" sqref="L7"/>
    </sheetView>
  </sheetViews>
  <sheetFormatPr defaultRowHeight="14.4" x14ac:dyDescent="0.3"/>
  <cols>
    <col min="2" max="2" width="24.44140625" customWidth="1"/>
    <col min="3" max="3" width="13.21875" customWidth="1"/>
    <col min="4" max="4" width="16.44140625" customWidth="1"/>
    <col min="5" max="5" width="21.5546875" customWidth="1"/>
    <col min="6" max="6" width="1" customWidth="1"/>
    <col min="8" max="8" width="1" customWidth="1"/>
    <col min="9" max="9" width="2.88671875" customWidth="1"/>
    <col min="10" max="10" width="21.5546875" customWidth="1"/>
    <col min="11" max="11" width="1" customWidth="1"/>
    <col min="12" max="12" width="9.88671875" bestFit="1" customWidth="1"/>
  </cols>
  <sheetData>
    <row r="1" spans="1:12" x14ac:dyDescent="0.3">
      <c r="B1" t="s">
        <v>137</v>
      </c>
      <c r="E1" t="s">
        <v>151</v>
      </c>
    </row>
    <row r="2" spans="1:12" x14ac:dyDescent="0.3">
      <c r="B2" s="1" t="s">
        <v>138</v>
      </c>
      <c r="C2" s="2">
        <v>1925</v>
      </c>
      <c r="E2" t="s">
        <v>150</v>
      </c>
    </row>
    <row r="3" spans="1:12" x14ac:dyDescent="0.3">
      <c r="B3" s="1" t="s">
        <v>139</v>
      </c>
      <c r="C3" s="2">
        <v>2008</v>
      </c>
    </row>
    <row r="4" spans="1:12" x14ac:dyDescent="0.3">
      <c r="B4" s="1" t="s">
        <v>140</v>
      </c>
      <c r="C4" s="2">
        <f>C3-C2</f>
        <v>83</v>
      </c>
      <c r="E4" s="66" t="s">
        <v>154</v>
      </c>
      <c r="J4" s="71" t="s">
        <v>162</v>
      </c>
    </row>
    <row r="5" spans="1:12" x14ac:dyDescent="0.3">
      <c r="B5" s="64"/>
      <c r="E5" s="2" t="s">
        <v>141</v>
      </c>
    </row>
    <row r="6" spans="1:12" s="64" customFormat="1" ht="28.8" x14ac:dyDescent="0.3">
      <c r="A6" s="25" t="s">
        <v>47</v>
      </c>
      <c r="B6" s="1" t="s">
        <v>142</v>
      </c>
      <c r="C6" s="1" t="str">
        <f>"$ Invested in "&amp;C2</f>
        <v>$ Invested in 1925</v>
      </c>
      <c r="D6" s="1" t="str">
        <f>"$ Withdrawn in "&amp;C3</f>
        <v>$ Withdrawn in 2008</v>
      </c>
      <c r="E6" s="1" t="s">
        <v>143</v>
      </c>
      <c r="G6" s="65" t="s">
        <v>144</v>
      </c>
      <c r="J6" s="1" t="s">
        <v>143</v>
      </c>
      <c r="L6" s="65" t="s">
        <v>144</v>
      </c>
    </row>
    <row r="7" spans="1:12" x14ac:dyDescent="0.3">
      <c r="A7" s="22">
        <v>0.16400000000000001</v>
      </c>
      <c r="B7" s="36" t="s">
        <v>145</v>
      </c>
      <c r="C7" s="13">
        <v>1</v>
      </c>
      <c r="D7" s="13">
        <v>9548.94</v>
      </c>
      <c r="E7" s="30">
        <f>(D7/C7)^(1/$C$4)-1</f>
        <v>0.11673792959606288</v>
      </c>
      <c r="G7" s="5">
        <f>C7*(1+E7)^$C$4</f>
        <v>9548.9399999999132</v>
      </c>
      <c r="J7" s="30" cm="1">
        <f t="array" ref="J7:J11">(D7:D11/C7:C11)^(1/C4)-1</f>
        <v>0.11673792959606288</v>
      </c>
      <c r="L7" s="50" cm="1">
        <f t="array" ref="L7:L11">C7:C11*(1+_xlfn.ANCHORARRAY(J7))^C4</f>
        <v>9548.9399999999132</v>
      </c>
    </row>
    <row r="8" spans="1:12" x14ac:dyDescent="0.3">
      <c r="A8" s="22">
        <v>0.11700000000000001</v>
      </c>
      <c r="B8" s="36" t="s">
        <v>146</v>
      </c>
      <c r="C8" s="13">
        <v>1</v>
      </c>
      <c r="D8" s="13">
        <v>2049.4499999999998</v>
      </c>
      <c r="E8" s="30">
        <f t="shared" ref="E8:E11" si="0">(D8/C8)^(1/$C$4)-1</f>
        <v>9.6223845807786645E-2</v>
      </c>
      <c r="G8" s="5">
        <f t="shared" ref="G8:G11" si="1">C8*(1+E8)^$C$4</f>
        <v>2049.4499999999907</v>
      </c>
      <c r="J8" s="30">
        <v>9.6223845807786645E-2</v>
      </c>
      <c r="L8" s="5">
        <v>2049.4499999999907</v>
      </c>
    </row>
    <row r="9" spans="1:12" x14ac:dyDescent="0.3">
      <c r="A9" s="22">
        <v>6.0999999999999999E-2</v>
      </c>
      <c r="B9" s="36" t="s">
        <v>147</v>
      </c>
      <c r="C9" s="13">
        <v>1</v>
      </c>
      <c r="D9" s="13">
        <v>99.16</v>
      </c>
      <c r="E9" s="30">
        <f t="shared" si="0"/>
        <v>5.6944655852270598E-2</v>
      </c>
      <c r="G9" s="5">
        <f t="shared" si="1"/>
        <v>99.160000000000238</v>
      </c>
      <c r="J9" s="30">
        <v>5.6944655852270598E-2</v>
      </c>
      <c r="L9" s="5">
        <v>99.160000000000238</v>
      </c>
    </row>
    <row r="10" spans="1:12" x14ac:dyDescent="0.3">
      <c r="A10" s="22">
        <v>3.7999999999999999E-2</v>
      </c>
      <c r="B10" s="36" t="s">
        <v>148</v>
      </c>
      <c r="C10" s="13">
        <v>1</v>
      </c>
      <c r="D10" s="13">
        <v>20.51</v>
      </c>
      <c r="E10" s="30">
        <f t="shared" si="0"/>
        <v>3.7067000417353668E-2</v>
      </c>
      <c r="G10" s="5">
        <f t="shared" si="1"/>
        <v>20.509999999999913</v>
      </c>
      <c r="J10" s="30">
        <v>3.7067000417353668E-2</v>
      </c>
      <c r="L10" s="5">
        <v>20.509999999999913</v>
      </c>
    </row>
    <row r="11" spans="1:12" x14ac:dyDescent="0.3">
      <c r="A11" s="22">
        <v>3.1E-2</v>
      </c>
      <c r="B11" s="36" t="s">
        <v>149</v>
      </c>
      <c r="C11" s="13">
        <v>1</v>
      </c>
      <c r="D11" s="13">
        <v>11.73</v>
      </c>
      <c r="E11" s="30">
        <f t="shared" si="0"/>
        <v>3.0108826820032242E-2</v>
      </c>
      <c r="G11" s="5">
        <f t="shared" si="1"/>
        <v>11.730000000000018</v>
      </c>
      <c r="J11" s="30">
        <v>3.0108826820032242E-2</v>
      </c>
      <c r="L11" s="5">
        <v>11.730000000000018</v>
      </c>
    </row>
    <row r="12" spans="1:12" x14ac:dyDescent="0.3">
      <c r="A12" s="67"/>
      <c r="B12" s="36"/>
      <c r="C12" s="24"/>
      <c r="D12" s="24"/>
    </row>
    <row r="13" spans="1:12" x14ac:dyDescent="0.3">
      <c r="B13" s="66" t="s">
        <v>155</v>
      </c>
    </row>
    <row r="14" spans="1:12" ht="15.6" x14ac:dyDescent="0.35">
      <c r="B14" s="2" t="s">
        <v>153</v>
      </c>
      <c r="C14" s="2" t="s">
        <v>47</v>
      </c>
    </row>
    <row r="15" spans="1:12" x14ac:dyDescent="0.3">
      <c r="B15" s="68">
        <f>SUMPRODUCT(GEOMEAN(C18:C100+1))-1</f>
        <v>9.5109610533986144E-2</v>
      </c>
      <c r="C15" s="68"/>
    </row>
    <row r="17" spans="2:3" ht="43.2" x14ac:dyDescent="0.3">
      <c r="B17" s="14" t="s">
        <v>152</v>
      </c>
      <c r="C17" s="14" t="s">
        <v>146</v>
      </c>
    </row>
    <row r="18" spans="2:3" x14ac:dyDescent="0.3">
      <c r="B18" s="2">
        <v>1926</v>
      </c>
      <c r="C18" s="22">
        <v>0.1114</v>
      </c>
    </row>
    <row r="19" spans="2:3" x14ac:dyDescent="0.3">
      <c r="B19" s="2">
        <v>1927</v>
      </c>
      <c r="C19" s="22">
        <v>0.37130000000000002</v>
      </c>
    </row>
    <row r="20" spans="2:3" x14ac:dyDescent="0.3">
      <c r="B20" s="2">
        <v>1928</v>
      </c>
      <c r="C20" s="22">
        <v>0.43309999999999998</v>
      </c>
    </row>
    <row r="21" spans="2:3" x14ac:dyDescent="0.3">
      <c r="B21" s="2">
        <v>1929</v>
      </c>
      <c r="C21" s="22">
        <v>-8.9099999999999999E-2</v>
      </c>
    </row>
    <row r="22" spans="2:3" x14ac:dyDescent="0.3">
      <c r="B22" s="2">
        <v>1930</v>
      </c>
      <c r="C22" s="22">
        <v>-0.25259999999999999</v>
      </c>
    </row>
    <row r="23" spans="2:3" x14ac:dyDescent="0.3">
      <c r="B23" s="2">
        <v>1931</v>
      </c>
      <c r="C23" s="22">
        <v>-0.43859999999999999</v>
      </c>
    </row>
    <row r="24" spans="2:3" x14ac:dyDescent="0.3">
      <c r="B24" s="2">
        <v>1932</v>
      </c>
      <c r="C24" s="22">
        <v>-8.8499999999999995E-2</v>
      </c>
    </row>
    <row r="25" spans="2:3" x14ac:dyDescent="0.3">
      <c r="B25" s="2">
        <v>1933</v>
      </c>
      <c r="C25" s="22">
        <v>0.52880000000000005</v>
      </c>
    </row>
    <row r="26" spans="2:3" x14ac:dyDescent="0.3">
      <c r="B26" s="2">
        <v>1934</v>
      </c>
      <c r="C26" s="22">
        <v>-2.3400000000000001E-2</v>
      </c>
    </row>
    <row r="27" spans="2:3" x14ac:dyDescent="0.3">
      <c r="B27" s="2">
        <v>1935</v>
      </c>
      <c r="C27" s="22">
        <v>0.47220000000000001</v>
      </c>
    </row>
    <row r="28" spans="2:3" x14ac:dyDescent="0.3">
      <c r="B28" s="2">
        <v>1936</v>
      </c>
      <c r="C28" s="22">
        <v>0.32800000000000001</v>
      </c>
    </row>
    <row r="29" spans="2:3" x14ac:dyDescent="0.3">
      <c r="B29" s="2">
        <v>1937</v>
      </c>
      <c r="C29" s="22">
        <v>-0.35260000000000002</v>
      </c>
    </row>
    <row r="30" spans="2:3" x14ac:dyDescent="0.3">
      <c r="B30" s="2">
        <v>1938</v>
      </c>
      <c r="C30" s="22">
        <v>0.33200000000000002</v>
      </c>
    </row>
    <row r="31" spans="2:3" x14ac:dyDescent="0.3">
      <c r="B31" s="2">
        <v>1939</v>
      </c>
      <c r="C31" s="22">
        <v>-9.1000000000000004E-3</v>
      </c>
    </row>
    <row r="32" spans="2:3" x14ac:dyDescent="0.3">
      <c r="B32" s="2">
        <v>1940</v>
      </c>
      <c r="C32" s="22">
        <v>-0.1008</v>
      </c>
    </row>
    <row r="33" spans="2:3" x14ac:dyDescent="0.3">
      <c r="B33" s="2">
        <v>1941</v>
      </c>
      <c r="C33" s="22">
        <v>-0.1177</v>
      </c>
    </row>
    <row r="34" spans="2:3" x14ac:dyDescent="0.3">
      <c r="B34" s="2">
        <v>1942</v>
      </c>
      <c r="C34" s="22">
        <v>0.2107</v>
      </c>
    </row>
    <row r="35" spans="2:3" x14ac:dyDescent="0.3">
      <c r="B35" s="2">
        <v>1943</v>
      </c>
      <c r="C35" s="22">
        <v>0.2576</v>
      </c>
    </row>
    <row r="36" spans="2:3" x14ac:dyDescent="0.3">
      <c r="B36" s="2">
        <v>1944</v>
      </c>
      <c r="C36" s="22">
        <v>0.19689999999999999</v>
      </c>
    </row>
    <row r="37" spans="2:3" x14ac:dyDescent="0.3">
      <c r="B37" s="2">
        <v>1945</v>
      </c>
      <c r="C37" s="22">
        <v>0.36459999999999998</v>
      </c>
    </row>
    <row r="38" spans="2:3" x14ac:dyDescent="0.3">
      <c r="B38" s="2">
        <v>1946</v>
      </c>
      <c r="C38" s="22">
        <v>-8.1799999999999998E-2</v>
      </c>
    </row>
    <row r="39" spans="2:3" x14ac:dyDescent="0.3">
      <c r="B39" s="2">
        <v>1947</v>
      </c>
      <c r="C39" s="22">
        <v>5.2400000000000002E-2</v>
      </c>
    </row>
    <row r="40" spans="2:3" x14ac:dyDescent="0.3">
      <c r="B40" s="2">
        <v>1948</v>
      </c>
      <c r="C40" s="22">
        <v>5.0999999999999997E-2</v>
      </c>
    </row>
    <row r="41" spans="2:3" x14ac:dyDescent="0.3">
      <c r="B41" s="2">
        <v>1949</v>
      </c>
      <c r="C41" s="22">
        <v>0.18060000000000001</v>
      </c>
    </row>
    <row r="42" spans="2:3" x14ac:dyDescent="0.3">
      <c r="B42" s="2">
        <v>1950</v>
      </c>
      <c r="C42" s="22">
        <v>0.30580000000000002</v>
      </c>
    </row>
    <row r="43" spans="2:3" x14ac:dyDescent="0.3">
      <c r="B43" s="2">
        <v>1951</v>
      </c>
      <c r="C43" s="22">
        <v>0.2455</v>
      </c>
    </row>
    <row r="44" spans="2:3" x14ac:dyDescent="0.3">
      <c r="B44" s="2">
        <v>1952</v>
      </c>
      <c r="C44" s="22">
        <v>0.185</v>
      </c>
    </row>
    <row r="45" spans="2:3" x14ac:dyDescent="0.3">
      <c r="B45" s="2">
        <v>1953</v>
      </c>
      <c r="C45" s="22">
        <v>-1.0999999999999999E-2</v>
      </c>
    </row>
    <row r="46" spans="2:3" x14ac:dyDescent="0.3">
      <c r="B46" s="2">
        <v>1954</v>
      </c>
      <c r="C46" s="22">
        <v>0.52400000000000002</v>
      </c>
    </row>
    <row r="47" spans="2:3" x14ac:dyDescent="0.3">
      <c r="B47" s="2">
        <v>1955</v>
      </c>
      <c r="C47" s="22">
        <v>0.31430000000000002</v>
      </c>
    </row>
    <row r="48" spans="2:3" x14ac:dyDescent="0.3">
      <c r="B48" s="2">
        <v>1956</v>
      </c>
      <c r="C48" s="22">
        <v>6.6299999999999998E-2</v>
      </c>
    </row>
    <row r="49" spans="2:3" x14ac:dyDescent="0.3">
      <c r="B49" s="2">
        <v>1957</v>
      </c>
      <c r="C49" s="22">
        <v>-0.1085</v>
      </c>
    </row>
    <row r="50" spans="2:3" x14ac:dyDescent="0.3">
      <c r="B50" s="2">
        <v>1958</v>
      </c>
      <c r="C50" s="22">
        <v>0.43340000000000001</v>
      </c>
    </row>
    <row r="51" spans="2:3" x14ac:dyDescent="0.3">
      <c r="B51" s="2">
        <v>1959</v>
      </c>
      <c r="C51" s="22">
        <v>0.11899999999999999</v>
      </c>
    </row>
    <row r="52" spans="2:3" x14ac:dyDescent="0.3">
      <c r="B52" s="2">
        <v>1960</v>
      </c>
      <c r="C52" s="22">
        <v>4.7999999999999996E-3</v>
      </c>
    </row>
    <row r="53" spans="2:3" x14ac:dyDescent="0.3">
      <c r="B53" s="2">
        <v>1961</v>
      </c>
      <c r="C53" s="22">
        <v>0.2681</v>
      </c>
    </row>
    <row r="54" spans="2:3" x14ac:dyDescent="0.3">
      <c r="B54" s="2">
        <v>1962</v>
      </c>
      <c r="C54" s="22">
        <v>-8.7800000000000003E-2</v>
      </c>
    </row>
    <row r="55" spans="2:3" x14ac:dyDescent="0.3">
      <c r="B55" s="2">
        <v>1963</v>
      </c>
      <c r="C55" s="22">
        <v>0.22689999999999999</v>
      </c>
    </row>
    <row r="56" spans="2:3" x14ac:dyDescent="0.3">
      <c r="B56" s="2">
        <v>1964</v>
      </c>
      <c r="C56" s="22">
        <v>0.1636</v>
      </c>
    </row>
    <row r="57" spans="2:3" x14ac:dyDescent="0.3">
      <c r="B57" s="2">
        <v>1965</v>
      </c>
      <c r="C57" s="22">
        <v>0.1236</v>
      </c>
    </row>
    <row r="58" spans="2:3" x14ac:dyDescent="0.3">
      <c r="B58" s="2">
        <v>1966</v>
      </c>
      <c r="C58" s="22">
        <v>-0.10100000000000001</v>
      </c>
    </row>
    <row r="59" spans="2:3" x14ac:dyDescent="0.3">
      <c r="B59" s="2">
        <v>1967</v>
      </c>
      <c r="C59" s="22">
        <v>0.2394</v>
      </c>
    </row>
    <row r="60" spans="2:3" x14ac:dyDescent="0.3">
      <c r="B60" s="2">
        <v>1968</v>
      </c>
      <c r="C60" s="22">
        <v>0.11</v>
      </c>
    </row>
    <row r="61" spans="2:3" x14ac:dyDescent="0.3">
      <c r="B61" s="2">
        <v>1969</v>
      </c>
      <c r="C61" s="22">
        <v>-8.4699999999999998E-2</v>
      </c>
    </row>
    <row r="62" spans="2:3" x14ac:dyDescent="0.3">
      <c r="B62" s="2">
        <v>1970</v>
      </c>
      <c r="C62" s="22">
        <v>3.9399999999999998E-2</v>
      </c>
    </row>
    <row r="63" spans="2:3" x14ac:dyDescent="0.3">
      <c r="B63" s="2">
        <v>1971</v>
      </c>
      <c r="C63" s="22">
        <v>0.14299999999999999</v>
      </c>
    </row>
    <row r="64" spans="2:3" x14ac:dyDescent="0.3">
      <c r="B64" s="2">
        <v>1972</v>
      </c>
      <c r="C64" s="22">
        <v>0.18990000000000001</v>
      </c>
    </row>
    <row r="65" spans="2:3" x14ac:dyDescent="0.3">
      <c r="B65" s="2">
        <v>1973</v>
      </c>
      <c r="C65" s="22">
        <v>-0.1469</v>
      </c>
    </row>
    <row r="66" spans="2:3" x14ac:dyDescent="0.3">
      <c r="B66" s="2">
        <v>1974</v>
      </c>
      <c r="C66" s="22">
        <v>-0.26469999999999999</v>
      </c>
    </row>
    <row r="67" spans="2:3" x14ac:dyDescent="0.3">
      <c r="B67" s="2">
        <v>1975</v>
      </c>
      <c r="C67" s="22">
        <v>0.37230000000000002</v>
      </c>
    </row>
    <row r="68" spans="2:3" x14ac:dyDescent="0.3">
      <c r="B68" s="2">
        <v>1976</v>
      </c>
      <c r="C68" s="22">
        <v>0.23930000000000001</v>
      </c>
    </row>
    <row r="69" spans="2:3" x14ac:dyDescent="0.3">
      <c r="B69" s="2">
        <v>1977</v>
      </c>
      <c r="C69" s="22">
        <v>-7.1599999999999997E-2</v>
      </c>
    </row>
    <row r="70" spans="2:3" x14ac:dyDescent="0.3">
      <c r="B70" s="2">
        <v>1978</v>
      </c>
      <c r="C70" s="22">
        <v>6.5699999999999995E-2</v>
      </c>
    </row>
    <row r="71" spans="2:3" x14ac:dyDescent="0.3">
      <c r="B71" s="2">
        <v>1979</v>
      </c>
      <c r="C71" s="22">
        <v>0.18609999999999999</v>
      </c>
    </row>
    <row r="72" spans="2:3" x14ac:dyDescent="0.3">
      <c r="B72" s="2">
        <v>1980</v>
      </c>
      <c r="C72" s="22">
        <v>0.32500000000000001</v>
      </c>
    </row>
    <row r="73" spans="2:3" x14ac:dyDescent="0.3">
      <c r="B73" s="2">
        <v>1981</v>
      </c>
      <c r="C73" s="22">
        <v>-4.9200000000000001E-2</v>
      </c>
    </row>
    <row r="74" spans="2:3" x14ac:dyDescent="0.3">
      <c r="B74" s="2">
        <v>1982</v>
      </c>
      <c r="C74" s="22">
        <v>0.2155</v>
      </c>
    </row>
    <row r="75" spans="2:3" x14ac:dyDescent="0.3">
      <c r="B75" s="2">
        <v>1983</v>
      </c>
      <c r="C75" s="22">
        <v>0.22559999999999999</v>
      </c>
    </row>
    <row r="76" spans="2:3" x14ac:dyDescent="0.3">
      <c r="B76" s="2">
        <v>1984</v>
      </c>
      <c r="C76" s="22">
        <v>6.2700000000000006E-2</v>
      </c>
    </row>
    <row r="77" spans="2:3" x14ac:dyDescent="0.3">
      <c r="B77" s="2">
        <v>1985</v>
      </c>
      <c r="C77" s="22">
        <v>0.31730000000000003</v>
      </c>
    </row>
    <row r="78" spans="2:3" x14ac:dyDescent="0.3">
      <c r="B78" s="2">
        <v>1986</v>
      </c>
      <c r="C78" s="22">
        <v>0.1867</v>
      </c>
    </row>
    <row r="79" spans="2:3" x14ac:dyDescent="0.3">
      <c r="B79" s="2">
        <v>1987</v>
      </c>
      <c r="C79" s="22">
        <v>5.2499999999999998E-2</v>
      </c>
    </row>
    <row r="80" spans="2:3" x14ac:dyDescent="0.3">
      <c r="B80" s="2">
        <v>1988</v>
      </c>
      <c r="C80" s="22">
        <v>0.1661</v>
      </c>
    </row>
    <row r="81" spans="2:3" x14ac:dyDescent="0.3">
      <c r="B81" s="2">
        <v>1989</v>
      </c>
      <c r="C81" s="22">
        <v>0.31690000000000002</v>
      </c>
    </row>
    <row r="82" spans="2:3" x14ac:dyDescent="0.3">
      <c r="B82" s="2">
        <v>1990</v>
      </c>
      <c r="C82" s="22">
        <v>-3.1E-2</v>
      </c>
    </row>
    <row r="83" spans="2:3" x14ac:dyDescent="0.3">
      <c r="B83" s="2">
        <v>1991</v>
      </c>
      <c r="C83" s="22">
        <v>0.30459999999999998</v>
      </c>
    </row>
    <row r="84" spans="2:3" x14ac:dyDescent="0.3">
      <c r="B84" s="2">
        <v>1992</v>
      </c>
      <c r="C84" s="22">
        <v>7.6200000000000004E-2</v>
      </c>
    </row>
    <row r="85" spans="2:3" x14ac:dyDescent="0.3">
      <c r="B85" s="2">
        <v>1993</v>
      </c>
      <c r="C85" s="22">
        <v>0.1008</v>
      </c>
    </row>
    <row r="86" spans="2:3" x14ac:dyDescent="0.3">
      <c r="B86" s="2">
        <v>1994</v>
      </c>
      <c r="C86" s="22">
        <v>1.32E-2</v>
      </c>
    </row>
    <row r="87" spans="2:3" x14ac:dyDescent="0.3">
      <c r="B87" s="2">
        <v>1995</v>
      </c>
      <c r="C87" s="22">
        <v>0.37580000000000002</v>
      </c>
    </row>
    <row r="88" spans="2:3" x14ac:dyDescent="0.3">
      <c r="B88" s="2">
        <v>1996</v>
      </c>
      <c r="C88" s="22">
        <v>0.2296</v>
      </c>
    </row>
    <row r="89" spans="2:3" x14ac:dyDescent="0.3">
      <c r="B89" s="2">
        <v>1997</v>
      </c>
      <c r="C89" s="22">
        <v>0.33360000000000001</v>
      </c>
    </row>
    <row r="90" spans="2:3" x14ac:dyDescent="0.3">
      <c r="B90" s="2">
        <v>1998</v>
      </c>
      <c r="C90" s="22">
        <v>0.2858</v>
      </c>
    </row>
    <row r="91" spans="2:3" x14ac:dyDescent="0.3">
      <c r="B91" s="2">
        <v>1999</v>
      </c>
      <c r="C91" s="22">
        <v>0.2104</v>
      </c>
    </row>
    <row r="92" spans="2:3" x14ac:dyDescent="0.3">
      <c r="B92" s="2">
        <v>2000</v>
      </c>
      <c r="C92" s="22">
        <v>-9.0999999999999998E-2</v>
      </c>
    </row>
    <row r="93" spans="2:3" x14ac:dyDescent="0.3">
      <c r="B93" s="2">
        <v>2001</v>
      </c>
      <c r="C93" s="22">
        <v>-0.11890000000000001</v>
      </c>
    </row>
    <row r="94" spans="2:3" x14ac:dyDescent="0.3">
      <c r="B94" s="2">
        <v>2002</v>
      </c>
      <c r="C94" s="22">
        <v>-0.221</v>
      </c>
    </row>
    <row r="95" spans="2:3" x14ac:dyDescent="0.3">
      <c r="B95" s="2">
        <v>2003</v>
      </c>
      <c r="C95" s="22">
        <v>0.2868</v>
      </c>
    </row>
    <row r="96" spans="2:3" x14ac:dyDescent="0.3">
      <c r="B96" s="2">
        <v>2004</v>
      </c>
      <c r="C96" s="22">
        <v>0.10879999999999999</v>
      </c>
    </row>
    <row r="97" spans="2:3" x14ac:dyDescent="0.3">
      <c r="B97" s="2">
        <v>2005</v>
      </c>
      <c r="C97" s="22">
        <v>4.9099999999999998E-2</v>
      </c>
    </row>
    <row r="98" spans="2:3" x14ac:dyDescent="0.3">
      <c r="B98" s="2">
        <v>2006</v>
      </c>
      <c r="C98" s="22">
        <v>0.15790000000000001</v>
      </c>
    </row>
    <row r="99" spans="2:3" x14ac:dyDescent="0.3">
      <c r="B99" s="2">
        <v>2007</v>
      </c>
      <c r="C99" s="22">
        <v>5.4899999999999997E-2</v>
      </c>
    </row>
    <row r="100" spans="2:3" x14ac:dyDescent="0.3">
      <c r="B100" s="2">
        <v>2008</v>
      </c>
      <c r="C100" s="22">
        <v>-0.37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FF"/>
  </sheetPr>
  <dimension ref="A1:H28"/>
  <sheetViews>
    <sheetView zoomScale="115" zoomScaleNormal="115" workbookViewId="0">
      <selection activeCell="C9" sqref="C9"/>
    </sheetView>
  </sheetViews>
  <sheetFormatPr defaultRowHeight="14.4" x14ac:dyDescent="0.3"/>
  <cols>
    <col min="1" max="1" width="19.21875" customWidth="1"/>
    <col min="2" max="2" width="8.88671875" customWidth="1"/>
    <col min="3" max="3" width="15.109375" customWidth="1"/>
    <col min="4" max="4" width="15.109375" bestFit="1" customWidth="1"/>
    <col min="6" max="7" width="16.109375" customWidth="1"/>
    <col min="8" max="9" width="15.109375" bestFit="1" customWidth="1"/>
  </cols>
  <sheetData>
    <row r="1" spans="1:8" ht="25.8" x14ac:dyDescent="0.5">
      <c r="A1" s="43" t="s">
        <v>86</v>
      </c>
      <c r="B1" s="44"/>
      <c r="C1" s="44"/>
      <c r="D1" s="44"/>
      <c r="E1" s="45"/>
    </row>
    <row r="2" spans="1:8" ht="43.2" x14ac:dyDescent="0.3">
      <c r="A2" s="42" t="s">
        <v>0</v>
      </c>
      <c r="B2" s="42" t="s">
        <v>1</v>
      </c>
      <c r="C2" s="42" t="s">
        <v>2</v>
      </c>
      <c r="D2" s="42" t="s">
        <v>3</v>
      </c>
    </row>
    <row r="3" spans="1:8" x14ac:dyDescent="0.3">
      <c r="A3" s="2" t="s">
        <v>4</v>
      </c>
      <c r="B3" s="2">
        <f>1-B4-B5</f>
        <v>0.45</v>
      </c>
      <c r="C3" s="2">
        <v>-0.05</v>
      </c>
      <c r="D3" s="2">
        <v>-0.2</v>
      </c>
    </row>
    <row r="4" spans="1:8" x14ac:dyDescent="0.3">
      <c r="A4" s="2" t="s">
        <v>5</v>
      </c>
      <c r="B4" s="2">
        <v>0.5</v>
      </c>
      <c r="C4" s="2">
        <v>0.12</v>
      </c>
      <c r="D4" s="2">
        <v>0.22</v>
      </c>
    </row>
    <row r="5" spans="1:8" x14ac:dyDescent="0.3">
      <c r="A5" s="2" t="s">
        <v>37</v>
      </c>
      <c r="B5" s="2">
        <v>0.05</v>
      </c>
      <c r="C5" s="2">
        <v>0.15</v>
      </c>
      <c r="D5" s="2">
        <v>0.28000000000000003</v>
      </c>
    </row>
    <row r="7" spans="1:8" ht="28.8" x14ac:dyDescent="0.3">
      <c r="C7" s="3" t="s">
        <v>7</v>
      </c>
      <c r="D7" s="3"/>
    </row>
    <row r="8" spans="1:8" x14ac:dyDescent="0.3">
      <c r="C8" s="4" t="s">
        <v>8</v>
      </c>
      <c r="D8" s="4" t="s">
        <v>8</v>
      </c>
    </row>
    <row r="9" spans="1:8" x14ac:dyDescent="0.3">
      <c r="C9" s="5"/>
      <c r="D9" s="5"/>
    </row>
    <row r="10" spans="1:8" x14ac:dyDescent="0.3">
      <c r="C10" s="5"/>
      <c r="D10" s="5"/>
    </row>
    <row r="11" spans="1:8" x14ac:dyDescent="0.3">
      <c r="C11" s="5"/>
      <c r="D11" s="5"/>
    </row>
    <row r="12" spans="1:8" ht="15.6" x14ac:dyDescent="0.35">
      <c r="C12" s="6" t="s">
        <v>9</v>
      </c>
      <c r="D12" s="6" t="s">
        <v>10</v>
      </c>
    </row>
    <row r="13" spans="1:8" x14ac:dyDescent="0.3">
      <c r="B13" s="4" t="s">
        <v>11</v>
      </c>
      <c r="C13" s="5"/>
      <c r="D13" s="5"/>
    </row>
    <row r="15" spans="1:8" ht="15.6" x14ac:dyDescent="0.35">
      <c r="C15" s="7" t="s">
        <v>9</v>
      </c>
      <c r="D15" s="7" t="s">
        <v>10</v>
      </c>
    </row>
    <row r="16" spans="1:8" ht="28.8" x14ac:dyDescent="0.3">
      <c r="C16" s="5"/>
      <c r="D16" s="5"/>
      <c r="E16" s="8" t="s">
        <v>12</v>
      </c>
      <c r="F16" s="9"/>
      <c r="G16" s="9"/>
      <c r="H16" s="10"/>
    </row>
    <row r="18" spans="2:8" ht="43.2" x14ac:dyDescent="0.3">
      <c r="C18" s="3" t="s">
        <v>13</v>
      </c>
      <c r="D18" s="3"/>
    </row>
    <row r="19" spans="2:8" ht="15.6" x14ac:dyDescent="0.35">
      <c r="C19" s="11" t="s">
        <v>94</v>
      </c>
      <c r="D19" s="11" t="s">
        <v>95</v>
      </c>
    </row>
    <row r="20" spans="2:8" x14ac:dyDescent="0.3">
      <c r="C20" s="5"/>
      <c r="D20" s="5"/>
    </row>
    <row r="21" spans="2:8" x14ac:dyDescent="0.3">
      <c r="C21" s="5"/>
      <c r="D21" s="5"/>
    </row>
    <row r="22" spans="2:8" x14ac:dyDescent="0.3">
      <c r="C22" s="5"/>
      <c r="D22" s="5"/>
    </row>
    <row r="23" spans="2:8" x14ac:dyDescent="0.3">
      <c r="B23" t="s">
        <v>11</v>
      </c>
      <c r="C23" s="5"/>
      <c r="D23" s="5"/>
      <c r="E23" t="s">
        <v>97</v>
      </c>
    </row>
    <row r="24" spans="2:8" ht="15.6" x14ac:dyDescent="0.35">
      <c r="C24" s="6" t="s">
        <v>14</v>
      </c>
      <c r="D24" s="6" t="s">
        <v>15</v>
      </c>
    </row>
    <row r="25" spans="2:8" x14ac:dyDescent="0.3">
      <c r="B25" t="s">
        <v>16</v>
      </c>
      <c r="C25" s="5">
        <f>SQRT(C23)</f>
        <v>0</v>
      </c>
      <c r="D25" s="5">
        <f>SQRT(D23)</f>
        <v>0</v>
      </c>
      <c r="E25" t="s">
        <v>17</v>
      </c>
    </row>
    <row r="27" spans="2:8" ht="15.6" x14ac:dyDescent="0.35">
      <c r="C27" s="7" t="s">
        <v>14</v>
      </c>
      <c r="D27" s="7" t="s">
        <v>15</v>
      </c>
    </row>
    <row r="28" spans="2:8" ht="43.2" x14ac:dyDescent="0.3">
      <c r="C28" s="5"/>
      <c r="D28" s="5"/>
      <c r="E28" s="8" t="s">
        <v>18</v>
      </c>
      <c r="F28" s="9"/>
      <c r="G28" s="9"/>
      <c r="H28" s="1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28"/>
  <sheetViews>
    <sheetView topLeftCell="A17" zoomScale="115" zoomScaleNormal="115" workbookViewId="0">
      <selection activeCell="J28" sqref="J28"/>
    </sheetView>
  </sheetViews>
  <sheetFormatPr defaultRowHeight="14.4" x14ac:dyDescent="0.3"/>
  <cols>
    <col min="1" max="1" width="19.21875" customWidth="1"/>
    <col min="2" max="2" width="8.88671875" customWidth="1"/>
    <col min="3" max="3" width="15.109375" customWidth="1"/>
    <col min="4" max="4" width="15.109375" bestFit="1" customWidth="1"/>
    <col min="6" max="7" width="16.109375" customWidth="1"/>
    <col min="8" max="8" width="15.109375" bestFit="1" customWidth="1"/>
    <col min="9" max="9" width="2.33203125" customWidth="1"/>
    <col min="10" max="11" width="10.21875" customWidth="1"/>
  </cols>
  <sheetData>
    <row r="1" spans="1:11" ht="25.8" x14ac:dyDescent="0.5">
      <c r="A1" s="43" t="s">
        <v>86</v>
      </c>
      <c r="B1" s="44"/>
      <c r="C1" s="44"/>
      <c r="D1" s="44"/>
      <c r="E1" s="45"/>
    </row>
    <row r="2" spans="1:11" ht="43.2" x14ac:dyDescent="0.3">
      <c r="A2" s="42" t="s">
        <v>0</v>
      </c>
      <c r="B2" s="42" t="s">
        <v>1</v>
      </c>
      <c r="C2" s="42" t="s">
        <v>2</v>
      </c>
      <c r="D2" s="42" t="s">
        <v>3</v>
      </c>
    </row>
    <row r="3" spans="1:11" x14ac:dyDescent="0.3">
      <c r="A3" s="2" t="s">
        <v>4</v>
      </c>
      <c r="B3" s="2">
        <f>1-B4-B5</f>
        <v>0.45</v>
      </c>
      <c r="C3" s="2">
        <v>-0.05</v>
      </c>
      <c r="D3" s="2">
        <v>-0.2</v>
      </c>
    </row>
    <row r="4" spans="1:11" x14ac:dyDescent="0.3">
      <c r="A4" s="2" t="s">
        <v>5</v>
      </c>
      <c r="B4" s="2">
        <v>0.5</v>
      </c>
      <c r="C4" s="2">
        <v>0.12</v>
      </c>
      <c r="D4" s="2">
        <v>0.22</v>
      </c>
    </row>
    <row r="5" spans="1:11" x14ac:dyDescent="0.3">
      <c r="A5" s="2" t="s">
        <v>37</v>
      </c>
      <c r="B5" s="2">
        <v>0.05</v>
      </c>
      <c r="C5" s="2">
        <v>0.15</v>
      </c>
      <c r="D5" s="2">
        <v>0.28000000000000003</v>
      </c>
    </row>
    <row r="6" spans="1:11" x14ac:dyDescent="0.3">
      <c r="F6" s="71" t="s">
        <v>162</v>
      </c>
    </row>
    <row r="7" spans="1:11" ht="28.8" x14ac:dyDescent="0.3">
      <c r="C7" s="3" t="s">
        <v>7</v>
      </c>
      <c r="D7" s="3"/>
    </row>
    <row r="8" spans="1:11" x14ac:dyDescent="0.3">
      <c r="C8" s="4" t="s">
        <v>8</v>
      </c>
      <c r="D8" s="4" t="s">
        <v>8</v>
      </c>
      <c r="F8" s="4" t="s">
        <v>8</v>
      </c>
      <c r="G8" s="4" t="s">
        <v>8</v>
      </c>
    </row>
    <row r="9" spans="1:11" x14ac:dyDescent="0.3">
      <c r="C9" s="5">
        <f>B3*C3</f>
        <v>-2.2500000000000003E-2</v>
      </c>
      <c r="D9" s="5">
        <f>B3*D3</f>
        <v>-9.0000000000000011E-2</v>
      </c>
      <c r="F9" s="5" cm="1">
        <f t="array" ref="F9:G11">B3:B5*C3:D5</f>
        <v>-2.2500000000000003E-2</v>
      </c>
      <c r="G9" s="5">
        <v>-9.0000000000000011E-2</v>
      </c>
    </row>
    <row r="10" spans="1:11" x14ac:dyDescent="0.3">
      <c r="C10" s="5">
        <f t="shared" ref="C10:C11" si="0">B4*C4</f>
        <v>0.06</v>
      </c>
      <c r="D10" s="5">
        <f t="shared" ref="D10:D11" si="1">B4*D4</f>
        <v>0.11</v>
      </c>
      <c r="F10" s="5">
        <v>0.06</v>
      </c>
      <c r="G10" s="5">
        <v>0.11</v>
      </c>
    </row>
    <row r="11" spans="1:11" x14ac:dyDescent="0.3">
      <c r="C11" s="5">
        <f t="shared" si="0"/>
        <v>7.4999999999999997E-3</v>
      </c>
      <c r="D11" s="5">
        <f t="shared" si="1"/>
        <v>1.4000000000000002E-2</v>
      </c>
      <c r="F11" s="5">
        <v>7.4999999999999997E-3</v>
      </c>
      <c r="G11" s="5">
        <v>1.4000000000000002E-2</v>
      </c>
    </row>
    <row r="12" spans="1:11" ht="15.6" x14ac:dyDescent="0.35">
      <c r="C12" s="6" t="s">
        <v>9</v>
      </c>
      <c r="D12" s="6" t="s">
        <v>10</v>
      </c>
    </row>
    <row r="13" spans="1:11" x14ac:dyDescent="0.3">
      <c r="B13" s="4" t="s">
        <v>11</v>
      </c>
      <c r="C13" s="5">
        <f>SUM(C9:C11)</f>
        <v>4.4999999999999991E-2</v>
      </c>
      <c r="D13" s="5">
        <f>SUM(D9:D11)</f>
        <v>3.3999999999999989E-2</v>
      </c>
      <c r="J13" s="71" t="s">
        <v>162</v>
      </c>
    </row>
    <row r="15" spans="1:11" ht="15.6" x14ac:dyDescent="0.35">
      <c r="C15" s="7" t="s">
        <v>9</v>
      </c>
      <c r="D15" s="7" t="s">
        <v>10</v>
      </c>
      <c r="J15" s="7" t="s">
        <v>9</v>
      </c>
      <c r="K15" s="7" t="s">
        <v>10</v>
      </c>
    </row>
    <row r="16" spans="1:11" ht="28.8" x14ac:dyDescent="0.3">
      <c r="C16" s="5">
        <f>SUMPRODUCT($B$3:$B$5,C3:C5)</f>
        <v>4.4999999999999991E-2</v>
      </c>
      <c r="D16" s="5">
        <f>SUMPRODUCT($B$3:$B$5,D3:D5)</f>
        <v>3.3999999999999989E-2</v>
      </c>
      <c r="E16" s="8" t="s">
        <v>12</v>
      </c>
      <c r="F16" s="9"/>
      <c r="G16" s="9"/>
      <c r="H16" s="10"/>
      <c r="J16" s="5" cm="1">
        <f t="array" ref="J16:K16">_xlfn.BYCOL(B3:B5*C3:D5,_xleta.SUM)</f>
        <v>4.4999999999999991E-2</v>
      </c>
      <c r="K16" s="5">
        <v>3.3999999999999989E-2</v>
      </c>
    </row>
    <row r="18" spans="2:11" ht="43.2" x14ac:dyDescent="0.3">
      <c r="C18" s="3" t="s">
        <v>13</v>
      </c>
      <c r="D18" s="3"/>
      <c r="F18" s="71" t="s">
        <v>162</v>
      </c>
    </row>
    <row r="19" spans="2:11" ht="15.6" x14ac:dyDescent="0.35">
      <c r="C19" s="11" t="s">
        <v>94</v>
      </c>
      <c r="D19" s="11" t="s">
        <v>95</v>
      </c>
      <c r="F19" s="11" t="s">
        <v>94</v>
      </c>
      <c r="G19" s="11" t="s">
        <v>95</v>
      </c>
    </row>
    <row r="20" spans="2:11" x14ac:dyDescent="0.3">
      <c r="C20" s="5">
        <f>(C3-$C$16)^2*B3</f>
        <v>4.0612499999999998E-3</v>
      </c>
      <c r="D20" s="5">
        <f>(D3-$D$16)^2*B3</f>
        <v>2.4640199999999998E-2</v>
      </c>
      <c r="F20" s="5" cm="1">
        <f t="array" ref="F20:G22">(C3:D5-C16:D16)^2*B3:B5</f>
        <v>4.0612499999999998E-3</v>
      </c>
      <c r="G20" s="5">
        <v>2.4640199999999998E-2</v>
      </c>
    </row>
    <row r="21" spans="2:11" x14ac:dyDescent="0.3">
      <c r="C21" s="5">
        <f>(C4-$C$16)^2*B4</f>
        <v>2.8125000000000008E-3</v>
      </c>
      <c r="D21" s="5">
        <f t="shared" ref="D21:D22" si="2">(D4-$D$16)^2*B4</f>
        <v>1.7298000000000001E-2</v>
      </c>
      <c r="F21" s="5">
        <v>2.8125000000000008E-3</v>
      </c>
      <c r="G21" s="5">
        <v>1.7298000000000001E-2</v>
      </c>
    </row>
    <row r="22" spans="2:11" x14ac:dyDescent="0.3">
      <c r="C22" s="5">
        <f t="shared" ref="C22" si="3">(C5-$C$16)^2*B5</f>
        <v>5.5125000000000009E-4</v>
      </c>
      <c r="D22" s="5">
        <f t="shared" si="2"/>
        <v>3.0258000000000017E-3</v>
      </c>
      <c r="F22" s="5">
        <v>5.5125000000000009E-4</v>
      </c>
      <c r="G22" s="5">
        <v>3.0258000000000017E-3</v>
      </c>
    </row>
    <row r="23" spans="2:11" x14ac:dyDescent="0.3">
      <c r="B23" t="s">
        <v>11</v>
      </c>
      <c r="C23" s="5">
        <f>SUM(C20:C22)</f>
        <v>7.425000000000001E-3</v>
      </c>
      <c r="D23" s="5">
        <f>SUM(D20:D22)</f>
        <v>4.4963999999999997E-2</v>
      </c>
      <c r="E23" t="s">
        <v>97</v>
      </c>
    </row>
    <row r="24" spans="2:11" ht="15.6" x14ac:dyDescent="0.35">
      <c r="C24" s="6" t="s">
        <v>14</v>
      </c>
      <c r="D24" s="6" t="s">
        <v>15</v>
      </c>
    </row>
    <row r="25" spans="2:11" x14ac:dyDescent="0.3">
      <c r="B25" t="s">
        <v>16</v>
      </c>
      <c r="C25" s="5">
        <f>SQRT(C23)</f>
        <v>8.6168439698070434E-2</v>
      </c>
      <c r="D25" s="5">
        <f>SQRT(D23)</f>
        <v>0.2120471645648675</v>
      </c>
      <c r="E25" t="s">
        <v>17</v>
      </c>
      <c r="J25" s="71" t="s">
        <v>162</v>
      </c>
    </row>
    <row r="27" spans="2:11" ht="15.6" x14ac:dyDescent="0.35">
      <c r="C27" s="7" t="s">
        <v>14</v>
      </c>
      <c r="D27" s="7" t="s">
        <v>15</v>
      </c>
      <c r="J27" s="7" t="s">
        <v>14</v>
      </c>
      <c r="K27" s="7" t="s">
        <v>15</v>
      </c>
    </row>
    <row r="28" spans="2:11" ht="43.2" x14ac:dyDescent="0.3">
      <c r="C28" s="5">
        <f>SQRT(SUMPRODUCT((C3:C5-C16)^2,$B$3:$B$5))</f>
        <v>8.6168439698070434E-2</v>
      </c>
      <c r="D28" s="5">
        <f>SQRT(SUMPRODUCT((D3:D5-D16)^2,$B$3:$B$5))</f>
        <v>0.2120471645648675</v>
      </c>
      <c r="E28" s="8" t="s">
        <v>18</v>
      </c>
      <c r="F28" s="9"/>
      <c r="G28" s="9"/>
      <c r="H28" s="10"/>
      <c r="J28" s="5" cm="1">
        <f t="array" ref="J28:K28">_xlfn.BYCOL(_xlfn.BYCOL((C3:D5-C16:D16)^2*B3:B5,_xleta.SUM),_xleta.SQRT)</f>
        <v>8.6168439698070434E-2</v>
      </c>
      <c r="K28" s="5">
        <v>0.2120471645648675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G16"/>
  <sheetViews>
    <sheetView zoomScale="115" zoomScaleNormal="115" workbookViewId="0">
      <selection activeCell="C4" sqref="C4"/>
    </sheetView>
  </sheetViews>
  <sheetFormatPr defaultRowHeight="14.4" x14ac:dyDescent="0.3"/>
  <cols>
    <col min="1" max="1" width="10.5546875" customWidth="1"/>
    <col min="2" max="2" width="8.88671875" customWidth="1"/>
    <col min="3" max="4" width="15.109375" bestFit="1" customWidth="1"/>
    <col min="5" max="5" width="17.88671875" customWidth="1"/>
    <col min="6" max="6" width="22.109375" bestFit="1" customWidth="1"/>
    <col min="7" max="7" width="16.109375" customWidth="1"/>
    <col min="8" max="9" width="15.109375" bestFit="1" customWidth="1"/>
  </cols>
  <sheetData>
    <row r="1" spans="1:7" ht="25.8" x14ac:dyDescent="0.5">
      <c r="A1" s="43" t="s">
        <v>87</v>
      </c>
      <c r="B1" s="44"/>
      <c r="C1" s="44"/>
      <c r="D1" s="44"/>
      <c r="E1" s="45"/>
    </row>
    <row r="2" spans="1:7" x14ac:dyDescent="0.3">
      <c r="B2" s="46" t="s">
        <v>19</v>
      </c>
      <c r="C2" s="47" t="s">
        <v>20</v>
      </c>
      <c r="D2" s="47" t="s">
        <v>21</v>
      </c>
    </row>
    <row r="3" spans="1:7" x14ac:dyDescent="0.3">
      <c r="B3" s="12" t="s">
        <v>22</v>
      </c>
      <c r="C3" s="13">
        <v>10000</v>
      </c>
      <c r="D3" s="13">
        <v>15000</v>
      </c>
    </row>
    <row r="4" spans="1:7" x14ac:dyDescent="0.3">
      <c r="B4" s="12" t="s">
        <v>23</v>
      </c>
      <c r="C4" s="5"/>
      <c r="D4" s="5"/>
    </row>
    <row r="6" spans="1:7" ht="58.8" x14ac:dyDescent="0.35">
      <c r="A6" s="1" t="s">
        <v>0</v>
      </c>
      <c r="B6" s="1" t="s">
        <v>1</v>
      </c>
      <c r="C6" s="1" t="s">
        <v>2</v>
      </c>
      <c r="D6" s="1" t="s">
        <v>3</v>
      </c>
      <c r="E6" s="14" t="s">
        <v>96</v>
      </c>
      <c r="F6" s="14" t="s">
        <v>24</v>
      </c>
    </row>
    <row r="7" spans="1:7" x14ac:dyDescent="0.3">
      <c r="A7" s="2" t="s">
        <v>4</v>
      </c>
      <c r="B7" s="2">
        <f>'Ex(1)'!B3</f>
        <v>0.45</v>
      </c>
      <c r="C7" s="2">
        <f>'Ex(1)'!C3</f>
        <v>-0.05</v>
      </c>
      <c r="D7" s="2">
        <f>'Ex(1)'!D3</f>
        <v>-0.2</v>
      </c>
      <c r="E7" s="5"/>
      <c r="F7" s="5"/>
    </row>
    <row r="8" spans="1:7" x14ac:dyDescent="0.3">
      <c r="A8" s="2" t="s">
        <v>5</v>
      </c>
      <c r="B8" s="2">
        <f>'Ex(1)'!B4</f>
        <v>0.5</v>
      </c>
      <c r="C8" s="2">
        <f>'Ex(1)'!C4</f>
        <v>0.12</v>
      </c>
      <c r="D8" s="2">
        <f>'Ex(1)'!D4</f>
        <v>0.22</v>
      </c>
      <c r="E8" s="5"/>
      <c r="F8" s="5"/>
    </row>
    <row r="9" spans="1:7" x14ac:dyDescent="0.3">
      <c r="A9" s="2" t="s">
        <v>6</v>
      </c>
      <c r="B9" s="2">
        <f>'Ex(1)'!B5</f>
        <v>0.05</v>
      </c>
      <c r="C9" s="2">
        <f>'Ex(1)'!C5</f>
        <v>0.15</v>
      </c>
      <c r="D9" s="2">
        <f>'Ex(1)'!D5</f>
        <v>0.28000000000000003</v>
      </c>
      <c r="E9" s="5"/>
      <c r="F9" s="5"/>
    </row>
    <row r="10" spans="1:7" x14ac:dyDescent="0.3">
      <c r="E10" s="15" t="s">
        <v>25</v>
      </c>
      <c r="F10" s="7" t="s">
        <v>26</v>
      </c>
    </row>
    <row r="11" spans="1:7" x14ac:dyDescent="0.3">
      <c r="E11" s="16"/>
      <c r="F11" s="5"/>
      <c r="G11" s="2" t="s">
        <v>11</v>
      </c>
    </row>
    <row r="12" spans="1:7" x14ac:dyDescent="0.3">
      <c r="F12" s="7" t="s">
        <v>27</v>
      </c>
    </row>
    <row r="13" spans="1:7" x14ac:dyDescent="0.3">
      <c r="F13" s="5"/>
      <c r="G13" s="2" t="s">
        <v>16</v>
      </c>
    </row>
    <row r="15" spans="1:7" x14ac:dyDescent="0.3">
      <c r="E15" s="7" t="s">
        <v>25</v>
      </c>
      <c r="F15" s="7" t="s">
        <v>27</v>
      </c>
    </row>
    <row r="16" spans="1:7" x14ac:dyDescent="0.3">
      <c r="E16" s="5"/>
      <c r="F16" s="5"/>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20"/>
  <sheetViews>
    <sheetView workbookViewId="0">
      <selection activeCell="H17" sqref="H17"/>
    </sheetView>
  </sheetViews>
  <sheetFormatPr defaultRowHeight="14.4" x14ac:dyDescent="0.3"/>
  <cols>
    <col min="1" max="1" width="10.5546875" customWidth="1"/>
    <col min="2" max="2" width="8.88671875" customWidth="1"/>
    <col min="3" max="4" width="15.109375" bestFit="1" customWidth="1"/>
    <col min="5" max="5" width="17.88671875" customWidth="1"/>
    <col min="6" max="6" width="22.109375" bestFit="1" customWidth="1"/>
    <col min="7" max="7" width="16.109375" customWidth="1"/>
    <col min="8" max="8" width="17.88671875" customWidth="1"/>
    <col min="9" max="9" width="22.109375" bestFit="1" customWidth="1"/>
  </cols>
  <sheetData>
    <row r="1" spans="1:9" ht="25.8" x14ac:dyDescent="0.5">
      <c r="A1" s="43" t="s">
        <v>87</v>
      </c>
      <c r="B1" s="44"/>
      <c r="C1" s="44"/>
      <c r="D1" s="44"/>
      <c r="E1" s="45"/>
    </row>
    <row r="2" spans="1:9" x14ac:dyDescent="0.3">
      <c r="B2" s="46" t="s">
        <v>19</v>
      </c>
      <c r="C2" s="47" t="s">
        <v>20</v>
      </c>
      <c r="D2" s="47" t="s">
        <v>21</v>
      </c>
    </row>
    <row r="3" spans="1:9" x14ac:dyDescent="0.3">
      <c r="B3" s="12" t="s">
        <v>22</v>
      </c>
      <c r="C3" s="13">
        <v>10000</v>
      </c>
      <c r="D3" s="13">
        <v>15000</v>
      </c>
    </row>
    <row r="4" spans="1:9" x14ac:dyDescent="0.3">
      <c r="B4" s="12" t="s">
        <v>23</v>
      </c>
      <c r="C4" s="5">
        <f>C3/SUM($C$3:$D$3)</f>
        <v>0.4</v>
      </c>
      <c r="D4" s="5">
        <f>D3/SUM($C$3:$D$3)</f>
        <v>0.6</v>
      </c>
      <c r="H4" s="71" t="s">
        <v>162</v>
      </c>
    </row>
    <row r="6" spans="1:9" ht="58.8" x14ac:dyDescent="0.35">
      <c r="A6" s="1" t="s">
        <v>0</v>
      </c>
      <c r="B6" s="1" t="s">
        <v>1</v>
      </c>
      <c r="C6" s="1" t="s">
        <v>2</v>
      </c>
      <c r="D6" s="1" t="s">
        <v>3</v>
      </c>
      <c r="E6" s="14" t="s">
        <v>96</v>
      </c>
      <c r="F6" s="14" t="s">
        <v>24</v>
      </c>
      <c r="H6" s="14" t="s">
        <v>96</v>
      </c>
      <c r="I6" s="14" t="s">
        <v>24</v>
      </c>
    </row>
    <row r="7" spans="1:9" x14ac:dyDescent="0.3">
      <c r="A7" s="2" t="s">
        <v>4</v>
      </c>
      <c r="B7" s="2">
        <f>'Ex(1)'!B3</f>
        <v>0.45</v>
      </c>
      <c r="C7" s="2">
        <f>'Ex(1)'!C3</f>
        <v>-0.05</v>
      </c>
      <c r="D7" s="2">
        <f>'Ex(1)'!D3</f>
        <v>-0.2</v>
      </c>
      <c r="E7" s="5">
        <f>C7*$C$4+D7*$D$4</f>
        <v>-0.14000000000000001</v>
      </c>
      <c r="F7" s="5">
        <f>(E7-$E$11)^2*B7</f>
        <v>1.4321952000000002E-2</v>
      </c>
      <c r="H7" s="5" cm="1">
        <f t="array" ref="H7:H9">C7:C9*C4+D7:D9*D4</f>
        <v>-0.14000000000000001</v>
      </c>
      <c r="I7" s="5" cm="1">
        <f t="array" ref="I7:I9">(_xlfn.ANCHORARRAY(H7)-E11)^2*B7:B9</f>
        <v>1.4321952000000002E-2</v>
      </c>
    </row>
    <row r="8" spans="1:9" x14ac:dyDescent="0.3">
      <c r="A8" s="2" t="s">
        <v>5</v>
      </c>
      <c r="B8" s="2">
        <f>'Ex(1)'!B4</f>
        <v>0.5</v>
      </c>
      <c r="C8" s="2">
        <f>'Ex(1)'!C4</f>
        <v>0.12</v>
      </c>
      <c r="D8" s="2">
        <f>'Ex(1)'!D4</f>
        <v>0.22</v>
      </c>
      <c r="E8" s="5">
        <f>C8*$C$4+D8*$D$4</f>
        <v>0.18</v>
      </c>
      <c r="F8" s="5">
        <f>(E8-$E$11)^2*B8</f>
        <v>1.0025280000000001E-2</v>
      </c>
      <c r="H8" s="5">
        <v>0.18</v>
      </c>
      <c r="I8" s="5">
        <v>1.0025280000000001E-2</v>
      </c>
    </row>
    <row r="9" spans="1:9" x14ac:dyDescent="0.3">
      <c r="A9" s="2" t="s">
        <v>6</v>
      </c>
      <c r="B9" s="2">
        <f>'Ex(1)'!B5</f>
        <v>0.05</v>
      </c>
      <c r="C9" s="2">
        <f>'Ex(1)'!C5</f>
        <v>0.15</v>
      </c>
      <c r="D9" s="2">
        <f>'Ex(1)'!D5</f>
        <v>0.28000000000000003</v>
      </c>
      <c r="E9" s="5">
        <f>C9*$C$4+D9*$D$4</f>
        <v>0.22800000000000001</v>
      </c>
      <c r="F9" s="5">
        <f>(E9-$E$11)^2*B9</f>
        <v>1.7974080000000003E-3</v>
      </c>
      <c r="H9" s="5">
        <v>0.22800000000000001</v>
      </c>
      <c r="I9" s="5">
        <v>1.7974080000000003E-3</v>
      </c>
    </row>
    <row r="10" spans="1:9" x14ac:dyDescent="0.3">
      <c r="E10" s="15" t="s">
        <v>25</v>
      </c>
      <c r="F10" s="7" t="s">
        <v>26</v>
      </c>
    </row>
    <row r="11" spans="1:9" x14ac:dyDescent="0.3">
      <c r="C11">
        <f t="shared" ref="C11:D13" si="0">C7*$B7*C$4</f>
        <v>-9.0000000000000011E-3</v>
      </c>
      <c r="D11">
        <f t="shared" si="0"/>
        <v>-5.4000000000000006E-2</v>
      </c>
      <c r="E11" s="16">
        <f>E7*B7+E8*B8+E9*B9</f>
        <v>3.8399999999999983E-2</v>
      </c>
      <c r="F11" s="5">
        <f>SUM(F7:F9)</f>
        <v>2.6144640000000004E-2</v>
      </c>
      <c r="G11" s="2" t="s">
        <v>11</v>
      </c>
    </row>
    <row r="12" spans="1:9" x14ac:dyDescent="0.3">
      <c r="C12">
        <f t="shared" si="0"/>
        <v>2.4E-2</v>
      </c>
      <c r="D12">
        <f t="shared" si="0"/>
        <v>6.6000000000000003E-2</v>
      </c>
      <c r="F12" s="7" t="s">
        <v>27</v>
      </c>
    </row>
    <row r="13" spans="1:9" x14ac:dyDescent="0.3">
      <c r="C13">
        <f t="shared" si="0"/>
        <v>3.0000000000000001E-3</v>
      </c>
      <c r="D13">
        <f t="shared" si="0"/>
        <v>8.4000000000000012E-3</v>
      </c>
      <c r="F13" s="5">
        <f>SQRT(F11)</f>
        <v>0.16169304252193414</v>
      </c>
      <c r="G13" s="2" t="s">
        <v>16</v>
      </c>
    </row>
    <row r="14" spans="1:9" x14ac:dyDescent="0.3">
      <c r="C14">
        <f>SUM(C11:D13)</f>
        <v>3.8400000000000004E-2</v>
      </c>
    </row>
    <row r="15" spans="1:9" x14ac:dyDescent="0.3">
      <c r="E15" s="7" t="s">
        <v>25</v>
      </c>
      <c r="F15" s="7" t="s">
        <v>27</v>
      </c>
    </row>
    <row r="16" spans="1:9" x14ac:dyDescent="0.3">
      <c r="E16" s="5">
        <f>SUMPRODUCT(C7:D9*B7:B9*C4:D4)</f>
        <v>3.8400000000000004E-2</v>
      </c>
      <c r="F16" s="5">
        <f>SQRT(SUMPRODUCT((C7:C9*C4+D7:D9*D4-E16)^2,B7:B9))</f>
        <v>0.16169304252193414</v>
      </c>
    </row>
    <row r="17" spans="5:9" x14ac:dyDescent="0.3">
      <c r="H17" s="71" t="s">
        <v>162</v>
      </c>
    </row>
    <row r="19" spans="5:9" x14ac:dyDescent="0.3">
      <c r="H19" s="7" t="s">
        <v>25</v>
      </c>
      <c r="I19" s="7" t="s">
        <v>27</v>
      </c>
    </row>
    <row r="20" spans="5:9" x14ac:dyDescent="0.3">
      <c r="E20" s="5">
        <f>SUMPRODUCT(MMULT(B7:B9,C4:D4),C7:D9)</f>
        <v>3.8400000000000004E-2</v>
      </c>
      <c r="F20" s="5">
        <f>SQRT(SUMPRODUCT((C7:C9*C4+D7:D9*D4-E20)^2,B7:B9))</f>
        <v>0.16169304252193414</v>
      </c>
      <c r="H20" s="5" cm="1">
        <f t="array" ref="H20">SUM(C7:D9*B7:B9*C4:D4)</f>
        <v>3.8400000000000004E-2</v>
      </c>
      <c r="I20" s="5" cm="1">
        <f t="array" ref="I20">SQRT(SUM((_xlfn.BYROW(C7:D9*C4:D4,_xleta.SUM)-H20)^2*B7:B9))</f>
        <v>0.16169304252193414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B5"/>
  <sheetViews>
    <sheetView zoomScale="220" zoomScaleNormal="220" workbookViewId="0">
      <selection activeCell="B5" sqref="B5"/>
    </sheetView>
  </sheetViews>
  <sheetFormatPr defaultRowHeight="14.4" x14ac:dyDescent="0.3"/>
  <cols>
    <col min="1" max="1" width="20.88671875" customWidth="1"/>
  </cols>
  <sheetData>
    <row r="1" spans="1:2" ht="41.4" x14ac:dyDescent="0.3">
      <c r="A1" s="69" t="s">
        <v>156</v>
      </c>
      <c r="B1" s="70"/>
    </row>
    <row r="3" spans="1:2" x14ac:dyDescent="0.3">
      <c r="A3" s="2" t="s">
        <v>101</v>
      </c>
      <c r="B3" s="2">
        <v>45.07</v>
      </c>
    </row>
    <row r="4" spans="1:2" x14ac:dyDescent="0.3">
      <c r="A4" s="2" t="s">
        <v>99</v>
      </c>
      <c r="B4" s="2">
        <v>33</v>
      </c>
    </row>
    <row r="5" spans="1:2" x14ac:dyDescent="0.3">
      <c r="A5" s="2" t="s">
        <v>100</v>
      </c>
      <c r="B5" s="5"/>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5"/>
  <sheetViews>
    <sheetView zoomScale="160" zoomScaleNormal="160" workbookViewId="0">
      <selection activeCell="B13" sqref="B13"/>
    </sheetView>
  </sheetViews>
  <sheetFormatPr defaultRowHeight="14.4" x14ac:dyDescent="0.3"/>
  <cols>
    <col min="1" max="1" width="20.88671875" customWidth="1"/>
  </cols>
  <sheetData>
    <row r="1" spans="1:2" ht="41.4" x14ac:dyDescent="0.3">
      <c r="A1" s="48" t="s">
        <v>98</v>
      </c>
      <c r="B1" s="49"/>
    </row>
    <row r="3" spans="1:2" x14ac:dyDescent="0.3">
      <c r="A3" s="2" t="s">
        <v>101</v>
      </c>
      <c r="B3" s="2">
        <v>45.07</v>
      </c>
    </row>
    <row r="4" spans="1:2" x14ac:dyDescent="0.3">
      <c r="A4" s="2" t="s">
        <v>99</v>
      </c>
      <c r="B4" s="2">
        <v>33</v>
      </c>
    </row>
    <row r="5" spans="1:2" x14ac:dyDescent="0.3">
      <c r="A5" s="2" t="s">
        <v>100</v>
      </c>
      <c r="B5" s="5">
        <f>B4/B3-1</f>
        <v>-0.26780563567783444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H162"/>
  <sheetViews>
    <sheetView zoomScaleNormal="100" workbookViewId="0">
      <selection activeCell="D4" sqref="D4"/>
    </sheetView>
  </sheetViews>
  <sheetFormatPr defaultRowHeight="14.4" x14ac:dyDescent="0.3"/>
  <cols>
    <col min="1" max="1" width="10.88671875" bestFit="1" customWidth="1"/>
    <col min="2" max="2" width="11.109375" bestFit="1" customWidth="1"/>
    <col min="3" max="3" width="14" bestFit="1" customWidth="1"/>
    <col min="4" max="4" width="18.109375" bestFit="1" customWidth="1"/>
    <col min="5" max="5" width="18.77734375" bestFit="1" customWidth="1"/>
    <col min="6" max="6" width="2" customWidth="1"/>
    <col min="7" max="7" width="22.5546875" customWidth="1"/>
  </cols>
  <sheetData>
    <row r="1" spans="1:8" ht="28.8" x14ac:dyDescent="0.55000000000000004">
      <c r="A1" s="55" t="s">
        <v>30</v>
      </c>
    </row>
    <row r="2" spans="1:8" ht="28.8" x14ac:dyDescent="0.3">
      <c r="A2" s="12" t="s">
        <v>46</v>
      </c>
      <c r="B2" s="12" t="s">
        <v>49</v>
      </c>
      <c r="C2" s="12" t="s">
        <v>48</v>
      </c>
      <c r="D2" s="64" t="s">
        <v>103</v>
      </c>
      <c r="E2" s="64" t="s">
        <v>102</v>
      </c>
    </row>
    <row r="3" spans="1:8" x14ac:dyDescent="0.3">
      <c r="A3" s="33">
        <v>39395</v>
      </c>
      <c r="B3" s="2">
        <v>1453.7</v>
      </c>
      <c r="C3" s="2">
        <v>42.51</v>
      </c>
      <c r="D3" s="12" t="s">
        <v>71</v>
      </c>
      <c r="E3" s="12" t="s">
        <v>70</v>
      </c>
      <c r="G3" t="s">
        <v>84</v>
      </c>
    </row>
    <row r="4" spans="1:8" x14ac:dyDescent="0.3">
      <c r="A4" s="33">
        <v>39398</v>
      </c>
      <c r="B4" s="2">
        <v>1458.74</v>
      </c>
      <c r="C4" s="2">
        <v>44.4</v>
      </c>
      <c r="D4" s="5"/>
      <c r="E4" s="5"/>
      <c r="G4" s="5"/>
      <c r="H4" t="s">
        <v>85</v>
      </c>
    </row>
    <row r="5" spans="1:8" ht="15.6" x14ac:dyDescent="0.35">
      <c r="A5" s="33">
        <v>39405</v>
      </c>
      <c r="B5" s="2">
        <v>1440.7</v>
      </c>
      <c r="C5" s="2">
        <v>39.94</v>
      </c>
      <c r="D5" s="5"/>
      <c r="E5" s="5"/>
      <c r="G5" t="s">
        <v>161</v>
      </c>
    </row>
    <row r="6" spans="1:8" x14ac:dyDescent="0.3">
      <c r="A6" s="33">
        <v>39412</v>
      </c>
      <c r="B6" s="2">
        <v>1481.14</v>
      </c>
      <c r="C6" s="2">
        <v>42.15</v>
      </c>
      <c r="D6" s="5"/>
      <c r="E6" s="5"/>
      <c r="G6" s="5"/>
    </row>
    <row r="7" spans="1:8" x14ac:dyDescent="0.3">
      <c r="A7" s="33">
        <v>39419</v>
      </c>
      <c r="B7" s="2">
        <v>1504.66</v>
      </c>
      <c r="C7" s="2">
        <v>42.19</v>
      </c>
      <c r="D7" s="5"/>
      <c r="E7" s="5"/>
    </row>
    <row r="8" spans="1:8" x14ac:dyDescent="0.3">
      <c r="A8" s="33">
        <v>39426</v>
      </c>
      <c r="B8" s="2">
        <v>1467.95</v>
      </c>
      <c r="C8" s="2">
        <v>39.770000000000003</v>
      </c>
      <c r="D8" s="5"/>
      <c r="E8" s="5"/>
      <c r="G8" t="s">
        <v>158</v>
      </c>
    </row>
    <row r="9" spans="1:8" ht="15.6" x14ac:dyDescent="0.35">
      <c r="A9" s="33">
        <v>39433</v>
      </c>
      <c r="B9" s="2">
        <v>1484.46</v>
      </c>
      <c r="C9" s="2">
        <v>41.73</v>
      </c>
      <c r="D9" s="5"/>
      <c r="E9" s="5"/>
      <c r="G9" t="s">
        <v>159</v>
      </c>
    </row>
    <row r="10" spans="1:8" x14ac:dyDescent="0.3">
      <c r="A10" s="33">
        <v>39440</v>
      </c>
      <c r="B10" s="2">
        <v>1478.49</v>
      </c>
      <c r="C10" s="2">
        <v>40.770000000000003</v>
      </c>
      <c r="D10" s="5"/>
      <c r="E10" s="5"/>
      <c r="G10" t="s">
        <v>160</v>
      </c>
    </row>
    <row r="11" spans="1:8" x14ac:dyDescent="0.3">
      <c r="A11" s="33">
        <v>39447</v>
      </c>
      <c r="B11" s="2">
        <v>1411.63</v>
      </c>
      <c r="C11" s="2">
        <v>37.159999999999997</v>
      </c>
      <c r="D11" s="5"/>
      <c r="E11" s="5"/>
    </row>
    <row r="12" spans="1:8" x14ac:dyDescent="0.3">
      <c r="A12" s="33">
        <v>39454</v>
      </c>
      <c r="B12" s="2">
        <v>1401.02</v>
      </c>
      <c r="C12" s="2">
        <v>36.96</v>
      </c>
      <c r="D12" s="5"/>
      <c r="E12" s="5"/>
    </row>
    <row r="13" spans="1:8" x14ac:dyDescent="0.3">
      <c r="A13" s="33">
        <v>39461</v>
      </c>
      <c r="B13" s="2">
        <v>1325.19</v>
      </c>
      <c r="C13" s="2">
        <v>34.57</v>
      </c>
      <c r="D13" s="5"/>
      <c r="E13" s="5"/>
    </row>
    <row r="14" spans="1:8" x14ac:dyDescent="0.3">
      <c r="A14" s="33">
        <v>39469</v>
      </c>
      <c r="B14" s="2">
        <v>1330.61</v>
      </c>
      <c r="C14" s="2">
        <v>37.01</v>
      </c>
      <c r="D14" s="5"/>
      <c r="E14" s="5"/>
    </row>
    <row r="15" spans="1:8" x14ac:dyDescent="0.3">
      <c r="A15" s="33">
        <v>39475</v>
      </c>
      <c r="B15" s="2">
        <v>1395.42</v>
      </c>
      <c r="C15" s="2">
        <v>40.17</v>
      </c>
      <c r="D15" s="5"/>
      <c r="E15" s="5"/>
    </row>
    <row r="16" spans="1:8" x14ac:dyDescent="0.3">
      <c r="A16" s="33">
        <v>39482</v>
      </c>
      <c r="B16" s="2">
        <v>1331.29</v>
      </c>
      <c r="C16" s="2">
        <v>38.81</v>
      </c>
      <c r="D16" s="5"/>
      <c r="E16" s="5"/>
    </row>
    <row r="17" spans="1:5" x14ac:dyDescent="0.3">
      <c r="A17" s="33">
        <v>39489</v>
      </c>
      <c r="B17" s="2">
        <v>1349.99</v>
      </c>
      <c r="C17" s="2">
        <v>38.549999999999997</v>
      </c>
      <c r="D17" s="5"/>
      <c r="E17" s="5"/>
    </row>
    <row r="18" spans="1:5" x14ac:dyDescent="0.3">
      <c r="A18" s="33">
        <v>39497</v>
      </c>
      <c r="B18" s="2">
        <v>1353.11</v>
      </c>
      <c r="C18" s="2">
        <v>36.229999999999997</v>
      </c>
      <c r="D18" s="5"/>
      <c r="E18" s="5"/>
    </row>
    <row r="19" spans="1:5" x14ac:dyDescent="0.3">
      <c r="A19" s="33">
        <v>39503</v>
      </c>
      <c r="B19" s="2">
        <v>1330.63</v>
      </c>
      <c r="C19" s="2">
        <v>34.64</v>
      </c>
      <c r="D19" s="5"/>
      <c r="E19" s="5"/>
    </row>
    <row r="20" spans="1:5" x14ac:dyDescent="0.3">
      <c r="A20" s="33">
        <v>39510</v>
      </c>
      <c r="B20" s="2">
        <v>1293.3699999999999</v>
      </c>
      <c r="C20" s="2">
        <v>33.58</v>
      </c>
      <c r="D20" s="5"/>
      <c r="E20" s="5"/>
    </row>
    <row r="21" spans="1:5" x14ac:dyDescent="0.3">
      <c r="A21" s="33">
        <v>39517</v>
      </c>
      <c r="B21" s="2">
        <v>1288.1400000000001</v>
      </c>
      <c r="C21" s="2">
        <v>30.72</v>
      </c>
      <c r="D21" s="5"/>
      <c r="E21" s="5"/>
    </row>
    <row r="22" spans="1:5" x14ac:dyDescent="0.3">
      <c r="A22" s="33">
        <v>39524</v>
      </c>
      <c r="B22" s="2">
        <v>1329.51</v>
      </c>
      <c r="C22" s="2">
        <v>32.18</v>
      </c>
      <c r="D22" s="5"/>
      <c r="E22" s="5"/>
    </row>
    <row r="23" spans="1:5" x14ac:dyDescent="0.3">
      <c r="A23" s="33">
        <v>39531</v>
      </c>
      <c r="B23" s="2">
        <v>1315.22</v>
      </c>
      <c r="C23" s="2">
        <v>32.01</v>
      </c>
      <c r="D23" s="5"/>
      <c r="E23" s="5"/>
    </row>
    <row r="24" spans="1:5" x14ac:dyDescent="0.3">
      <c r="A24" s="33">
        <v>39538</v>
      </c>
      <c r="B24" s="2">
        <v>1370.4</v>
      </c>
      <c r="C24" s="2">
        <v>33.4</v>
      </c>
      <c r="D24" s="5"/>
      <c r="E24" s="5"/>
    </row>
    <row r="25" spans="1:5" x14ac:dyDescent="0.3">
      <c r="A25" s="33">
        <v>39545</v>
      </c>
      <c r="B25" s="2">
        <v>1332.83</v>
      </c>
      <c r="C25" s="2">
        <v>31.76</v>
      </c>
      <c r="D25" s="5"/>
      <c r="E25" s="5"/>
    </row>
    <row r="26" spans="1:5" x14ac:dyDescent="0.3">
      <c r="A26" s="33">
        <v>39552</v>
      </c>
      <c r="B26" s="2">
        <v>1390.33</v>
      </c>
      <c r="C26" s="2">
        <v>32.67</v>
      </c>
      <c r="D26" s="5"/>
      <c r="E26" s="5"/>
    </row>
    <row r="27" spans="1:5" x14ac:dyDescent="0.3">
      <c r="A27" s="33">
        <v>39559</v>
      </c>
      <c r="B27" s="2">
        <v>1397.84</v>
      </c>
      <c r="C27" s="2">
        <v>30.92</v>
      </c>
      <c r="D27" s="5"/>
      <c r="E27" s="5"/>
    </row>
    <row r="28" spans="1:5" x14ac:dyDescent="0.3">
      <c r="A28" s="33">
        <v>39566</v>
      </c>
      <c r="B28" s="2">
        <v>1413.9</v>
      </c>
      <c r="C28" s="2">
        <v>34.68</v>
      </c>
      <c r="D28" s="5"/>
      <c r="E28" s="5"/>
    </row>
    <row r="29" spans="1:5" x14ac:dyDescent="0.3">
      <c r="A29" s="33">
        <v>39573</v>
      </c>
      <c r="B29" s="2">
        <v>1388.28</v>
      </c>
      <c r="C29" s="2">
        <v>32.5</v>
      </c>
      <c r="D29" s="5"/>
      <c r="E29" s="5"/>
    </row>
    <row r="30" spans="1:5" x14ac:dyDescent="0.3">
      <c r="A30" s="33">
        <v>39580</v>
      </c>
      <c r="B30" s="2">
        <v>1425.35</v>
      </c>
      <c r="C30" s="2">
        <v>28.81</v>
      </c>
      <c r="D30" s="5"/>
      <c r="E30" s="5"/>
    </row>
    <row r="31" spans="1:5" x14ac:dyDescent="0.3">
      <c r="A31" s="33">
        <v>39587</v>
      </c>
      <c r="B31" s="2">
        <v>1375.93</v>
      </c>
      <c r="C31" s="2">
        <v>27.38</v>
      </c>
      <c r="D31" s="5"/>
      <c r="E31" s="5"/>
    </row>
    <row r="32" spans="1:5" x14ac:dyDescent="0.3">
      <c r="A32" s="33">
        <v>39595</v>
      </c>
      <c r="B32" s="2">
        <v>1400.38</v>
      </c>
      <c r="C32" s="2">
        <v>28.75</v>
      </c>
      <c r="D32" s="5"/>
      <c r="E32" s="5"/>
    </row>
    <row r="33" spans="1:5" x14ac:dyDescent="0.3">
      <c r="A33" s="33">
        <v>39601</v>
      </c>
      <c r="B33" s="2">
        <v>1360.68</v>
      </c>
      <c r="C33" s="2">
        <v>28.25</v>
      </c>
      <c r="D33" s="5"/>
      <c r="E33" s="5"/>
    </row>
    <row r="34" spans="1:5" x14ac:dyDescent="0.3">
      <c r="A34" s="33">
        <v>39608</v>
      </c>
      <c r="B34" s="2">
        <v>1360.03</v>
      </c>
      <c r="C34" s="2">
        <v>26.93</v>
      </c>
      <c r="D34" s="5"/>
      <c r="E34" s="5"/>
    </row>
    <row r="35" spans="1:5" x14ac:dyDescent="0.3">
      <c r="A35" s="33">
        <v>39615</v>
      </c>
      <c r="B35" s="2">
        <v>1317.93</v>
      </c>
      <c r="C35" s="2">
        <v>26.09</v>
      </c>
      <c r="D35" s="5"/>
      <c r="E35" s="5"/>
    </row>
    <row r="36" spans="1:5" x14ac:dyDescent="0.3">
      <c r="A36" s="33">
        <v>39622</v>
      </c>
      <c r="B36" s="2">
        <v>1278.3800000000001</v>
      </c>
      <c r="C36" s="2">
        <v>24.44</v>
      </c>
      <c r="D36" s="5"/>
      <c r="E36" s="5"/>
    </row>
    <row r="37" spans="1:5" x14ac:dyDescent="0.3">
      <c r="A37" s="33">
        <v>39629</v>
      </c>
      <c r="B37" s="2">
        <v>1262.9000000000001</v>
      </c>
      <c r="C37" s="2">
        <v>22.51</v>
      </c>
      <c r="D37" s="5"/>
      <c r="E37" s="5"/>
    </row>
    <row r="38" spans="1:5" x14ac:dyDescent="0.3">
      <c r="A38" s="33">
        <v>39636</v>
      </c>
      <c r="B38" s="2">
        <v>1239.49</v>
      </c>
      <c r="C38" s="2">
        <v>21.04</v>
      </c>
      <c r="D38" s="5"/>
      <c r="E38" s="5"/>
    </row>
    <row r="39" spans="1:5" x14ac:dyDescent="0.3">
      <c r="A39" s="33">
        <v>39643</v>
      </c>
      <c r="B39" s="2">
        <v>1260.68</v>
      </c>
      <c r="C39" s="2">
        <v>21.38</v>
      </c>
      <c r="D39" s="5"/>
      <c r="E39" s="5"/>
    </row>
    <row r="40" spans="1:5" x14ac:dyDescent="0.3">
      <c r="A40" s="33">
        <v>39650</v>
      </c>
      <c r="B40" s="2">
        <v>1257.76</v>
      </c>
      <c r="C40" s="2">
        <v>22.52</v>
      </c>
      <c r="D40" s="5"/>
      <c r="E40" s="5"/>
    </row>
    <row r="41" spans="1:5" x14ac:dyDescent="0.3">
      <c r="A41" s="33">
        <v>39657</v>
      </c>
      <c r="B41" s="2">
        <v>1260.31</v>
      </c>
      <c r="C41" s="2">
        <v>21.42</v>
      </c>
      <c r="D41" s="5"/>
      <c r="E41" s="5"/>
    </row>
    <row r="42" spans="1:5" x14ac:dyDescent="0.3">
      <c r="A42" s="33">
        <v>39664</v>
      </c>
      <c r="B42" s="2">
        <v>1296.32</v>
      </c>
      <c r="C42" s="2">
        <v>18.649999999999999</v>
      </c>
      <c r="D42" s="5"/>
      <c r="E42" s="5"/>
    </row>
    <row r="43" spans="1:5" x14ac:dyDescent="0.3">
      <c r="A43" s="33">
        <v>39671</v>
      </c>
      <c r="B43" s="2">
        <v>1298.2</v>
      </c>
      <c r="C43" s="2">
        <v>19.690000000000001</v>
      </c>
      <c r="D43" s="5"/>
      <c r="E43" s="5"/>
    </row>
    <row r="44" spans="1:5" x14ac:dyDescent="0.3">
      <c r="A44" s="33">
        <v>39678</v>
      </c>
      <c r="B44" s="2">
        <v>1292.2</v>
      </c>
      <c r="C44" s="2">
        <v>18.440000000000001</v>
      </c>
      <c r="D44" s="5"/>
      <c r="E44" s="5"/>
    </row>
    <row r="45" spans="1:5" x14ac:dyDescent="0.3">
      <c r="A45" s="33">
        <v>39685</v>
      </c>
      <c r="B45" s="2">
        <v>1282.83</v>
      </c>
      <c r="C45" s="2">
        <v>18.309999999999999</v>
      </c>
      <c r="D45" s="5"/>
      <c r="E45" s="5"/>
    </row>
    <row r="46" spans="1:5" x14ac:dyDescent="0.3">
      <c r="A46" s="33">
        <v>39693</v>
      </c>
      <c r="B46" s="2">
        <v>1242.31</v>
      </c>
      <c r="C46" s="2">
        <v>18.12</v>
      </c>
      <c r="D46" s="5"/>
      <c r="E46" s="5"/>
    </row>
    <row r="47" spans="1:5" x14ac:dyDescent="0.3">
      <c r="A47" s="33">
        <v>39699</v>
      </c>
      <c r="B47" s="2">
        <v>1251.7</v>
      </c>
      <c r="C47" s="2">
        <v>18.43</v>
      </c>
      <c r="D47" s="5"/>
      <c r="E47" s="5"/>
    </row>
    <row r="48" spans="1:5" x14ac:dyDescent="0.3">
      <c r="A48" s="33">
        <v>39706</v>
      </c>
      <c r="B48" s="2">
        <v>1255.08</v>
      </c>
      <c r="C48" s="2">
        <v>20.79</v>
      </c>
      <c r="D48" s="5"/>
      <c r="E48" s="5"/>
    </row>
    <row r="49" spans="1:5" x14ac:dyDescent="0.3">
      <c r="A49" s="33">
        <v>39713</v>
      </c>
      <c r="B49" s="2">
        <v>1213.27</v>
      </c>
      <c r="C49" s="2">
        <v>20.64</v>
      </c>
      <c r="D49" s="5"/>
      <c r="E49" s="5"/>
    </row>
    <row r="50" spans="1:5" x14ac:dyDescent="0.3">
      <c r="A50" s="33">
        <v>39720</v>
      </c>
      <c r="B50" s="2">
        <v>1099.23</v>
      </c>
      <c r="C50" s="2">
        <v>18</v>
      </c>
      <c r="D50" s="5"/>
      <c r="E50" s="5"/>
    </row>
    <row r="51" spans="1:5" x14ac:dyDescent="0.3">
      <c r="A51" s="33">
        <v>39727</v>
      </c>
      <c r="B51" s="2">
        <v>899.22</v>
      </c>
      <c r="C51" s="2">
        <v>14.83</v>
      </c>
      <c r="D51" s="5"/>
      <c r="E51" s="5"/>
    </row>
    <row r="52" spans="1:5" x14ac:dyDescent="0.3">
      <c r="A52" s="33">
        <v>39734</v>
      </c>
      <c r="B52" s="2">
        <v>940.55</v>
      </c>
      <c r="C52" s="2">
        <v>13.98</v>
      </c>
      <c r="D52" s="5"/>
      <c r="E52" s="5"/>
    </row>
    <row r="53" spans="1:5" x14ac:dyDescent="0.3">
      <c r="A53" s="33">
        <v>39741</v>
      </c>
      <c r="B53" s="2">
        <v>876.77</v>
      </c>
      <c r="C53" s="2">
        <v>10.74</v>
      </c>
      <c r="D53" s="5"/>
      <c r="E53" s="5"/>
    </row>
    <row r="54" spans="1:5" x14ac:dyDescent="0.3">
      <c r="A54" s="33">
        <v>39748</v>
      </c>
      <c r="B54" s="2">
        <v>968.75</v>
      </c>
      <c r="C54" s="2">
        <v>10.72</v>
      </c>
      <c r="D54" s="5"/>
      <c r="E54" s="5"/>
    </row>
    <row r="55" spans="1:5" x14ac:dyDescent="0.3">
      <c r="A55" s="33">
        <v>39755</v>
      </c>
      <c r="B55" s="2">
        <v>930.99</v>
      </c>
      <c r="C55" s="2">
        <v>10.050000000000001</v>
      </c>
      <c r="D55" s="5"/>
      <c r="E55" s="5"/>
    </row>
    <row r="56" spans="1:5" x14ac:dyDescent="0.3">
      <c r="A56" s="33">
        <v>39762</v>
      </c>
      <c r="B56" s="2">
        <v>873.29</v>
      </c>
      <c r="C56" s="2">
        <v>9.3800000000000008</v>
      </c>
      <c r="D56" s="5"/>
      <c r="E56" s="5"/>
    </row>
    <row r="57" spans="1:5" x14ac:dyDescent="0.3">
      <c r="A57" s="33">
        <v>39769</v>
      </c>
      <c r="B57" s="2">
        <v>800.03</v>
      </c>
      <c r="C57" s="2">
        <v>8.19</v>
      </c>
      <c r="D57" s="5"/>
      <c r="E57" s="5"/>
    </row>
    <row r="58" spans="1:5" x14ac:dyDescent="0.3">
      <c r="A58" s="33">
        <v>39776</v>
      </c>
      <c r="B58" s="2">
        <v>896.24</v>
      </c>
      <c r="C58" s="2">
        <v>10.58</v>
      </c>
      <c r="D58" s="5"/>
      <c r="E58" s="5"/>
    </row>
    <row r="59" spans="1:5" x14ac:dyDescent="0.3">
      <c r="A59" s="33">
        <v>39783</v>
      </c>
      <c r="B59" s="2">
        <v>876.07</v>
      </c>
      <c r="C59" s="2">
        <v>10.6</v>
      </c>
      <c r="D59" s="5"/>
      <c r="E59" s="5"/>
    </row>
    <row r="60" spans="1:5" x14ac:dyDescent="0.3">
      <c r="A60" s="33">
        <v>39790</v>
      </c>
      <c r="B60" s="2">
        <v>879.73</v>
      </c>
      <c r="C60" s="2">
        <v>10.35</v>
      </c>
      <c r="D60" s="5"/>
      <c r="E60" s="5"/>
    </row>
    <row r="61" spans="1:5" x14ac:dyDescent="0.3">
      <c r="A61" s="33">
        <v>39797</v>
      </c>
      <c r="B61" s="2">
        <v>887.88</v>
      </c>
      <c r="C61" s="2">
        <v>9.9600000000000009</v>
      </c>
      <c r="D61" s="5"/>
      <c r="E61" s="5"/>
    </row>
    <row r="62" spans="1:5" x14ac:dyDescent="0.3">
      <c r="A62" s="33">
        <v>39804</v>
      </c>
      <c r="B62" s="2">
        <v>872.8</v>
      </c>
      <c r="C62" s="2">
        <v>8.89</v>
      </c>
      <c r="D62" s="5"/>
      <c r="E62" s="5"/>
    </row>
    <row r="63" spans="1:5" x14ac:dyDescent="0.3">
      <c r="A63" s="33">
        <v>39811</v>
      </c>
      <c r="B63" s="2">
        <v>931.8</v>
      </c>
      <c r="C63" s="2">
        <v>9.89</v>
      </c>
      <c r="D63" s="5"/>
      <c r="E63" s="5"/>
    </row>
    <row r="64" spans="1:5" x14ac:dyDescent="0.3">
      <c r="A64" s="33">
        <v>39818</v>
      </c>
      <c r="B64" s="2">
        <v>890.35</v>
      </c>
      <c r="C64" s="2">
        <v>12.57</v>
      </c>
      <c r="D64" s="5"/>
      <c r="E64" s="5"/>
    </row>
    <row r="65" spans="1:5" x14ac:dyDescent="0.3">
      <c r="A65" s="33">
        <v>39825</v>
      </c>
      <c r="B65" s="2">
        <v>850.12</v>
      </c>
      <c r="C65" s="2">
        <v>12.16</v>
      </c>
      <c r="D65" s="5"/>
      <c r="E65" s="5"/>
    </row>
    <row r="66" spans="1:5" x14ac:dyDescent="0.3">
      <c r="A66" s="33">
        <v>39833</v>
      </c>
      <c r="B66" s="2">
        <v>831.95</v>
      </c>
      <c r="C66" s="2">
        <v>11.37</v>
      </c>
      <c r="D66" s="5"/>
      <c r="E66" s="5"/>
    </row>
    <row r="67" spans="1:5" x14ac:dyDescent="0.3">
      <c r="A67" s="33">
        <v>39839</v>
      </c>
      <c r="B67" s="2">
        <v>825.88</v>
      </c>
      <c r="C67" s="2">
        <v>10.25</v>
      </c>
      <c r="D67" s="5"/>
      <c r="E67" s="5"/>
    </row>
    <row r="68" spans="1:5" x14ac:dyDescent="0.3">
      <c r="A68" s="33">
        <v>39846</v>
      </c>
      <c r="B68" s="2">
        <v>868.6</v>
      </c>
      <c r="C68" s="2">
        <v>10.88</v>
      </c>
      <c r="D68" s="5"/>
      <c r="E68" s="5"/>
    </row>
    <row r="69" spans="1:5" x14ac:dyDescent="0.3">
      <c r="A69" s="33">
        <v>39853</v>
      </c>
      <c r="B69" s="2">
        <v>826.84</v>
      </c>
      <c r="C69" s="2">
        <v>9.9700000000000006</v>
      </c>
      <c r="D69" s="5"/>
      <c r="E69" s="5"/>
    </row>
    <row r="70" spans="1:5" x14ac:dyDescent="0.3">
      <c r="A70" s="33">
        <v>39861</v>
      </c>
      <c r="B70" s="2">
        <v>770.05</v>
      </c>
      <c r="C70" s="2">
        <v>12.84</v>
      </c>
      <c r="D70" s="5"/>
      <c r="E70" s="5"/>
    </row>
    <row r="71" spans="1:5" x14ac:dyDescent="0.3">
      <c r="A71" s="33">
        <v>39867</v>
      </c>
      <c r="B71" s="2">
        <v>735.09</v>
      </c>
      <c r="C71" s="2">
        <v>12.15</v>
      </c>
      <c r="D71" s="5"/>
      <c r="E71" s="5"/>
    </row>
    <row r="72" spans="1:5" x14ac:dyDescent="0.3">
      <c r="A72" s="33">
        <v>39874</v>
      </c>
      <c r="B72" s="2">
        <v>683.38</v>
      </c>
      <c r="C72" s="2">
        <v>12.08</v>
      </c>
      <c r="D72" s="5"/>
      <c r="E72" s="5"/>
    </row>
    <row r="73" spans="1:5" x14ac:dyDescent="0.3">
      <c r="A73" s="33">
        <v>39881</v>
      </c>
      <c r="B73" s="2">
        <v>756.55</v>
      </c>
      <c r="C73" s="2">
        <v>14.38</v>
      </c>
      <c r="D73" s="5"/>
      <c r="E73" s="5"/>
    </row>
    <row r="74" spans="1:5" x14ac:dyDescent="0.3">
      <c r="A74" s="33">
        <v>39888</v>
      </c>
      <c r="B74" s="2">
        <v>768.54</v>
      </c>
      <c r="C74" s="2">
        <v>15.37</v>
      </c>
      <c r="D74" s="5"/>
      <c r="E74" s="5"/>
    </row>
    <row r="75" spans="1:5" x14ac:dyDescent="0.3">
      <c r="A75" s="33">
        <v>39895</v>
      </c>
      <c r="B75" s="2">
        <v>815.94</v>
      </c>
      <c r="C75" s="2">
        <v>17.97</v>
      </c>
      <c r="D75" s="5"/>
      <c r="E75" s="5"/>
    </row>
    <row r="76" spans="1:5" x14ac:dyDescent="0.3">
      <c r="A76" s="33">
        <v>39902</v>
      </c>
      <c r="B76" s="2">
        <v>842.5</v>
      </c>
      <c r="C76" s="2">
        <v>18.64</v>
      </c>
      <c r="D76" s="5"/>
      <c r="E76" s="5"/>
    </row>
    <row r="77" spans="1:5" x14ac:dyDescent="0.3">
      <c r="A77" s="33">
        <v>39909</v>
      </c>
      <c r="B77" s="2">
        <v>856.56</v>
      </c>
      <c r="C77" s="2">
        <v>18.36</v>
      </c>
      <c r="D77" s="5"/>
      <c r="E77" s="5"/>
    </row>
    <row r="78" spans="1:5" x14ac:dyDescent="0.3">
      <c r="A78" s="33">
        <v>39916</v>
      </c>
      <c r="B78" s="2">
        <v>869.6</v>
      </c>
      <c r="C78" s="2">
        <v>18.48</v>
      </c>
      <c r="D78" s="5"/>
      <c r="E78" s="5"/>
    </row>
    <row r="79" spans="1:5" x14ac:dyDescent="0.3">
      <c r="A79" s="33">
        <v>39923</v>
      </c>
      <c r="B79" s="2">
        <v>866.23</v>
      </c>
      <c r="C79" s="2">
        <v>19.739999999999998</v>
      </c>
      <c r="D79" s="5"/>
      <c r="E79" s="5"/>
    </row>
    <row r="80" spans="1:5" x14ac:dyDescent="0.3">
      <c r="A80" s="33">
        <v>39930</v>
      </c>
      <c r="B80" s="2">
        <v>877.52</v>
      </c>
      <c r="C80" s="2">
        <v>20.93</v>
      </c>
      <c r="D80" s="5"/>
      <c r="E80" s="5"/>
    </row>
    <row r="81" spans="1:5" x14ac:dyDescent="0.3">
      <c r="A81" s="33">
        <v>39937</v>
      </c>
      <c r="B81" s="2">
        <v>929.23</v>
      </c>
      <c r="C81" s="2">
        <v>22.17</v>
      </c>
      <c r="D81" s="5"/>
      <c r="E81" s="5"/>
    </row>
    <row r="82" spans="1:5" x14ac:dyDescent="0.3">
      <c r="A82" s="33">
        <v>39944</v>
      </c>
      <c r="B82" s="2">
        <v>882.88</v>
      </c>
      <c r="C82" s="2">
        <v>19.61</v>
      </c>
      <c r="D82" s="5"/>
      <c r="E82" s="5"/>
    </row>
    <row r="83" spans="1:5" x14ac:dyDescent="0.3">
      <c r="A83" s="33">
        <v>39951</v>
      </c>
      <c r="B83" s="2">
        <v>887</v>
      </c>
      <c r="C83" s="2">
        <v>18.899999999999999</v>
      </c>
      <c r="D83" s="5"/>
      <c r="E83" s="5"/>
    </row>
    <row r="84" spans="1:5" x14ac:dyDescent="0.3">
      <c r="A84" s="33">
        <v>39959</v>
      </c>
      <c r="B84" s="2">
        <v>919.14</v>
      </c>
      <c r="C84" s="2">
        <v>18.87</v>
      </c>
      <c r="D84" s="5"/>
      <c r="E84" s="5"/>
    </row>
    <row r="85" spans="1:5" x14ac:dyDescent="0.3">
      <c r="A85" s="33">
        <v>39965</v>
      </c>
      <c r="B85" s="2">
        <v>940.09</v>
      </c>
      <c r="C85" s="2">
        <v>21.16</v>
      </c>
      <c r="D85" s="5"/>
      <c r="E85" s="5"/>
    </row>
    <row r="86" spans="1:5" x14ac:dyDescent="0.3">
      <c r="A86" s="33">
        <v>39972</v>
      </c>
      <c r="B86" s="2">
        <v>946.21</v>
      </c>
      <c r="C86" s="2">
        <v>20.440000000000001</v>
      </c>
      <c r="D86" s="5"/>
      <c r="E86" s="5"/>
    </row>
    <row r="87" spans="1:5" x14ac:dyDescent="0.3">
      <c r="A87" s="33">
        <v>39979</v>
      </c>
      <c r="B87" s="2">
        <v>921.23</v>
      </c>
      <c r="C87" s="2">
        <v>19.27</v>
      </c>
      <c r="D87" s="5"/>
      <c r="E87" s="5"/>
    </row>
    <row r="88" spans="1:5" x14ac:dyDescent="0.3">
      <c r="A88" s="33">
        <v>39986</v>
      </c>
      <c r="B88" s="2">
        <v>918.9</v>
      </c>
      <c r="C88" s="2">
        <v>19.2</v>
      </c>
      <c r="D88" s="5"/>
      <c r="E88" s="5"/>
    </row>
    <row r="89" spans="1:5" x14ac:dyDescent="0.3">
      <c r="A89" s="33">
        <v>39993</v>
      </c>
      <c r="B89" s="2">
        <v>896.42</v>
      </c>
      <c r="C89" s="2">
        <v>17.97</v>
      </c>
      <c r="D89" s="5"/>
      <c r="E89" s="5"/>
    </row>
    <row r="90" spans="1:5" x14ac:dyDescent="0.3">
      <c r="A90" s="33">
        <v>40000</v>
      </c>
      <c r="B90" s="2">
        <v>879.13</v>
      </c>
      <c r="C90" s="2">
        <v>19.25</v>
      </c>
      <c r="D90" s="5"/>
      <c r="E90" s="5"/>
    </row>
    <row r="91" spans="1:5" x14ac:dyDescent="0.3">
      <c r="A91" s="33">
        <v>40007</v>
      </c>
      <c r="B91" s="2">
        <v>940.38</v>
      </c>
      <c r="C91" s="2">
        <v>21.87</v>
      </c>
      <c r="D91" s="5"/>
      <c r="E91" s="5"/>
    </row>
    <row r="92" spans="1:5" x14ac:dyDescent="0.3">
      <c r="A92" s="33">
        <v>40014</v>
      </c>
      <c r="B92" s="2">
        <v>979.26</v>
      </c>
      <c r="C92" s="2">
        <v>23.73</v>
      </c>
      <c r="D92" s="5"/>
      <c r="E92" s="5"/>
    </row>
    <row r="93" spans="1:5" x14ac:dyDescent="0.3">
      <c r="A93" s="33">
        <v>40021</v>
      </c>
      <c r="B93" s="2">
        <v>987.48</v>
      </c>
      <c r="C93" s="2">
        <v>24.19</v>
      </c>
      <c r="D93" s="5"/>
      <c r="E93" s="5"/>
    </row>
    <row r="94" spans="1:5" x14ac:dyDescent="0.3">
      <c r="A94" s="33">
        <v>40028</v>
      </c>
      <c r="B94" s="2">
        <v>1010.48</v>
      </c>
      <c r="C94" s="2">
        <v>28.42</v>
      </c>
      <c r="D94" s="5"/>
      <c r="E94" s="5"/>
    </row>
    <row r="95" spans="1:5" x14ac:dyDescent="0.3">
      <c r="A95" s="33">
        <v>40035</v>
      </c>
      <c r="B95" s="2">
        <v>1004.09</v>
      </c>
      <c r="C95" s="2">
        <v>28.1</v>
      </c>
      <c r="D95" s="5"/>
      <c r="E95" s="5"/>
    </row>
    <row r="96" spans="1:5" x14ac:dyDescent="0.3">
      <c r="A96" s="33">
        <v>40042</v>
      </c>
      <c r="B96" s="2">
        <v>1026.1300000000001</v>
      </c>
      <c r="C96" s="2">
        <v>28.78</v>
      </c>
      <c r="D96" s="5"/>
      <c r="E96" s="5"/>
    </row>
    <row r="97" spans="1:5" x14ac:dyDescent="0.3">
      <c r="A97" s="33">
        <v>40049</v>
      </c>
      <c r="B97" s="2">
        <v>1028.93</v>
      </c>
      <c r="C97" s="2">
        <v>29.11</v>
      </c>
      <c r="D97" s="5"/>
      <c r="E97" s="5"/>
    </row>
    <row r="98" spans="1:5" x14ac:dyDescent="0.3">
      <c r="A98" s="33">
        <v>40056</v>
      </c>
      <c r="B98" s="2">
        <v>1016.4</v>
      </c>
      <c r="C98" s="2">
        <v>27.65</v>
      </c>
      <c r="D98" s="5"/>
      <c r="E98" s="5"/>
    </row>
    <row r="99" spans="1:5" x14ac:dyDescent="0.3">
      <c r="A99" s="33">
        <v>40064</v>
      </c>
      <c r="B99" s="2">
        <v>1042.73</v>
      </c>
      <c r="C99" s="2">
        <v>28.43</v>
      </c>
      <c r="D99" s="5"/>
      <c r="E99" s="5"/>
    </row>
    <row r="100" spans="1:5" x14ac:dyDescent="0.3">
      <c r="A100" s="33">
        <v>40070</v>
      </c>
      <c r="B100" s="2">
        <v>1068.3</v>
      </c>
      <c r="C100" s="2">
        <v>28.6</v>
      </c>
      <c r="D100" s="5"/>
      <c r="E100" s="5"/>
    </row>
    <row r="101" spans="1:5" x14ac:dyDescent="0.3">
      <c r="A101" s="33">
        <v>40077</v>
      </c>
      <c r="B101" s="2">
        <v>1044.3800000000001</v>
      </c>
      <c r="C101" s="2">
        <v>28.77</v>
      </c>
      <c r="D101" s="5"/>
      <c r="E101" s="5"/>
    </row>
    <row r="102" spans="1:5" x14ac:dyDescent="0.3">
      <c r="A102" s="33">
        <v>40084</v>
      </c>
      <c r="B102" s="2">
        <v>1025.21</v>
      </c>
      <c r="C102" s="2">
        <v>29.21</v>
      </c>
      <c r="D102" s="5"/>
      <c r="E102" s="5"/>
    </row>
    <row r="103" spans="1:5" x14ac:dyDescent="0.3">
      <c r="A103" s="33">
        <v>40091</v>
      </c>
      <c r="B103" s="2">
        <v>1071.49</v>
      </c>
      <c r="C103" s="2">
        <v>31.67</v>
      </c>
      <c r="D103" s="5"/>
      <c r="E103" s="5"/>
    </row>
    <row r="104" spans="1:5" x14ac:dyDescent="0.3">
      <c r="A104" s="33">
        <v>40098</v>
      </c>
      <c r="B104" s="2">
        <v>1087.68</v>
      </c>
      <c r="C104" s="2">
        <v>33.74</v>
      </c>
      <c r="D104" s="5"/>
      <c r="E104" s="5"/>
    </row>
    <row r="105" spans="1:5" x14ac:dyDescent="0.3">
      <c r="A105" s="33">
        <v>40105</v>
      </c>
      <c r="B105" s="2">
        <v>1079.5999999999999</v>
      </c>
      <c r="C105" s="2">
        <v>33.36</v>
      </c>
      <c r="D105" s="5"/>
      <c r="E105" s="5"/>
    </row>
    <row r="106" spans="1:5" x14ac:dyDescent="0.3">
      <c r="A106" s="33">
        <v>40112</v>
      </c>
      <c r="B106" s="2">
        <v>1036.19</v>
      </c>
      <c r="C106" s="2">
        <v>32.06</v>
      </c>
      <c r="D106" s="5"/>
      <c r="E106" s="5"/>
    </row>
    <row r="107" spans="1:5" x14ac:dyDescent="0.3">
      <c r="A107" s="33">
        <v>40119</v>
      </c>
      <c r="B107" s="2">
        <v>1069.3</v>
      </c>
      <c r="C107" s="2">
        <v>28.25</v>
      </c>
      <c r="D107" s="5"/>
      <c r="E107" s="5"/>
    </row>
    <row r="108" spans="1:5" x14ac:dyDescent="0.3">
      <c r="A108" s="33">
        <v>40126</v>
      </c>
      <c r="B108" s="2">
        <v>1093.48</v>
      </c>
      <c r="C108" s="2">
        <v>27.49</v>
      </c>
      <c r="D108" s="5"/>
      <c r="E108" s="5"/>
    </row>
    <row r="109" spans="1:5" x14ac:dyDescent="0.3">
      <c r="A109" s="33">
        <v>40133</v>
      </c>
      <c r="B109" s="2">
        <v>1091.3800000000001</v>
      </c>
      <c r="C109" s="2">
        <v>26.36</v>
      </c>
      <c r="D109" s="5"/>
      <c r="E109" s="5"/>
    </row>
    <row r="110" spans="1:5" x14ac:dyDescent="0.3">
      <c r="A110" s="33">
        <v>40140</v>
      </c>
      <c r="B110" s="2">
        <v>1091.49</v>
      </c>
      <c r="C110" s="2">
        <v>25.9</v>
      </c>
      <c r="D110" s="5"/>
      <c r="E110" s="5"/>
    </row>
    <row r="111" spans="1:5" x14ac:dyDescent="0.3">
      <c r="A111" s="33">
        <v>40147</v>
      </c>
      <c r="B111" s="2">
        <v>1105.98</v>
      </c>
      <c r="C111" s="2">
        <v>26.2</v>
      </c>
      <c r="D111" s="5"/>
      <c r="E111" s="5"/>
    </row>
    <row r="112" spans="1:5" x14ac:dyDescent="0.3">
      <c r="A112" s="33">
        <v>40154</v>
      </c>
      <c r="B112" s="2">
        <v>1106.4100000000001</v>
      </c>
      <c r="C112" s="2">
        <v>26.67</v>
      </c>
      <c r="D112" s="5"/>
      <c r="E112" s="5"/>
    </row>
    <row r="113" spans="1:5" x14ac:dyDescent="0.3">
      <c r="A113" s="33">
        <v>40161</v>
      </c>
      <c r="B113" s="2">
        <v>1102.47</v>
      </c>
      <c r="C113" s="2">
        <v>26.99</v>
      </c>
      <c r="D113" s="5"/>
      <c r="E113" s="5"/>
    </row>
    <row r="114" spans="1:5" x14ac:dyDescent="0.3">
      <c r="A114" s="33">
        <v>40168</v>
      </c>
      <c r="B114" s="2">
        <v>1126.48</v>
      </c>
      <c r="C114" s="2">
        <v>28.41</v>
      </c>
      <c r="D114" s="5"/>
      <c r="E114" s="5"/>
    </row>
    <row r="115" spans="1:5" x14ac:dyDescent="0.3">
      <c r="A115" s="33">
        <v>40175</v>
      </c>
      <c r="B115" s="2">
        <v>1115.0999999999999</v>
      </c>
      <c r="C115" s="2">
        <v>27.45</v>
      </c>
      <c r="D115" s="5"/>
      <c r="E115" s="5"/>
    </row>
    <row r="116" spans="1:5" x14ac:dyDescent="0.3">
      <c r="A116" s="33">
        <v>40182</v>
      </c>
      <c r="B116" s="2">
        <v>1144.98</v>
      </c>
      <c r="C116" s="2">
        <v>27.96</v>
      </c>
      <c r="D116" s="5"/>
      <c r="E116" s="5"/>
    </row>
    <row r="117" spans="1:5" x14ac:dyDescent="0.3">
      <c r="A117" s="33">
        <v>40189</v>
      </c>
      <c r="B117" s="2">
        <v>1136.03</v>
      </c>
      <c r="C117" s="2">
        <v>27.95</v>
      </c>
      <c r="D117" s="5"/>
      <c r="E117" s="5"/>
    </row>
    <row r="118" spans="1:5" x14ac:dyDescent="0.3">
      <c r="A118" s="33">
        <v>40197</v>
      </c>
      <c r="B118" s="2">
        <v>1091.76</v>
      </c>
      <c r="C118" s="2">
        <v>28.45</v>
      </c>
      <c r="D118" s="5"/>
      <c r="E118" s="5"/>
    </row>
    <row r="119" spans="1:5" x14ac:dyDescent="0.3">
      <c r="A119" s="33">
        <v>40203</v>
      </c>
      <c r="B119" s="2">
        <v>1073.8699999999999</v>
      </c>
      <c r="C119" s="2">
        <v>27.22</v>
      </c>
      <c r="D119" s="5"/>
      <c r="E119" s="5"/>
    </row>
    <row r="120" spans="1:5" x14ac:dyDescent="0.3">
      <c r="A120" s="33">
        <v>40210</v>
      </c>
      <c r="B120" s="2">
        <v>1066.19</v>
      </c>
      <c r="C120" s="2">
        <v>27.38</v>
      </c>
      <c r="D120" s="5"/>
      <c r="E120" s="5"/>
    </row>
    <row r="121" spans="1:5" x14ac:dyDescent="0.3">
      <c r="A121" s="33">
        <v>40217</v>
      </c>
      <c r="B121" s="2">
        <v>1075.51</v>
      </c>
      <c r="C121" s="2">
        <v>29.75</v>
      </c>
      <c r="D121" s="5"/>
      <c r="E121" s="5"/>
    </row>
    <row r="122" spans="1:5" x14ac:dyDescent="0.3">
      <c r="A122" s="33">
        <v>40225</v>
      </c>
      <c r="B122" s="2">
        <v>1109.17</v>
      </c>
      <c r="C122" s="2">
        <v>33.659999999999997</v>
      </c>
      <c r="D122" s="5"/>
      <c r="E122" s="5"/>
    </row>
    <row r="123" spans="1:5" x14ac:dyDescent="0.3">
      <c r="A123" s="33">
        <v>40231</v>
      </c>
      <c r="B123" s="2">
        <v>1104.49</v>
      </c>
      <c r="C123" s="2">
        <v>35.49</v>
      </c>
      <c r="D123" s="5"/>
      <c r="E123" s="5"/>
    </row>
    <row r="124" spans="1:5" x14ac:dyDescent="0.3">
      <c r="A124" s="33">
        <v>40238</v>
      </c>
      <c r="B124" s="2">
        <v>1138.7</v>
      </c>
      <c r="C124" s="2">
        <v>36.11</v>
      </c>
      <c r="D124" s="5"/>
      <c r="E124" s="5"/>
    </row>
    <row r="125" spans="1:5" x14ac:dyDescent="0.3">
      <c r="A125" s="33">
        <v>40245</v>
      </c>
      <c r="B125" s="2">
        <v>1149.99</v>
      </c>
      <c r="C125" s="2">
        <v>36.299999999999997</v>
      </c>
      <c r="D125" s="5"/>
      <c r="E125" s="5"/>
    </row>
    <row r="126" spans="1:5" x14ac:dyDescent="0.3">
      <c r="A126" s="33">
        <v>40252</v>
      </c>
      <c r="B126" s="2">
        <v>1159.9000000000001</v>
      </c>
      <c r="C126" s="2">
        <v>35.83</v>
      </c>
      <c r="D126" s="5"/>
      <c r="E126" s="5"/>
    </row>
    <row r="127" spans="1:5" x14ac:dyDescent="0.3">
      <c r="A127" s="33">
        <v>40259</v>
      </c>
      <c r="B127" s="2">
        <v>1166.5899999999999</v>
      </c>
      <c r="C127" s="2">
        <v>35.409999999999997</v>
      </c>
      <c r="D127" s="5"/>
      <c r="E127" s="5"/>
    </row>
    <row r="128" spans="1:5" x14ac:dyDescent="0.3">
      <c r="A128" s="33">
        <v>40266</v>
      </c>
      <c r="B128" s="2">
        <v>1178.0999999999999</v>
      </c>
      <c r="C128" s="2">
        <v>36.909999999999997</v>
      </c>
      <c r="D128" s="5"/>
      <c r="E128" s="5"/>
    </row>
    <row r="129" spans="1:5" x14ac:dyDescent="0.3">
      <c r="A129" s="33">
        <v>40273</v>
      </c>
      <c r="B129" s="2">
        <v>1194.3699999999999</v>
      </c>
      <c r="C129" s="2">
        <v>38.799999999999997</v>
      </c>
      <c r="D129" s="5"/>
      <c r="E129" s="5"/>
    </row>
    <row r="130" spans="1:5" x14ac:dyDescent="0.3">
      <c r="A130" s="33">
        <v>40280</v>
      </c>
      <c r="B130" s="2">
        <v>1192.1300000000001</v>
      </c>
      <c r="C130" s="2">
        <v>39.11</v>
      </c>
      <c r="D130" s="5"/>
      <c r="E130" s="5"/>
    </row>
    <row r="131" spans="1:5" x14ac:dyDescent="0.3">
      <c r="A131" s="33">
        <v>40287</v>
      </c>
      <c r="B131" s="2">
        <v>1217.28</v>
      </c>
      <c r="C131" s="2">
        <v>40.200000000000003</v>
      </c>
      <c r="D131" s="5"/>
      <c r="E131" s="5"/>
    </row>
    <row r="132" spans="1:5" x14ac:dyDescent="0.3">
      <c r="A132" s="33">
        <v>40294</v>
      </c>
      <c r="B132" s="2">
        <v>1186.69</v>
      </c>
      <c r="C132" s="2">
        <v>39.020000000000003</v>
      </c>
      <c r="D132" s="5"/>
      <c r="E132" s="5"/>
    </row>
    <row r="133" spans="1:5" x14ac:dyDescent="0.3">
      <c r="A133" s="33">
        <v>40301</v>
      </c>
      <c r="B133" s="2">
        <v>1110.8800000000001</v>
      </c>
      <c r="C133" s="2">
        <v>36.68</v>
      </c>
      <c r="D133" s="5"/>
      <c r="E133" s="5"/>
    </row>
    <row r="134" spans="1:5" x14ac:dyDescent="0.3">
      <c r="A134" s="33">
        <v>40308</v>
      </c>
      <c r="B134" s="2">
        <v>1135.68</v>
      </c>
      <c r="C134" s="2">
        <v>40.83</v>
      </c>
      <c r="D134" s="5"/>
      <c r="E134" s="5"/>
    </row>
    <row r="135" spans="1:5" x14ac:dyDescent="0.3">
      <c r="A135" s="33">
        <v>40315</v>
      </c>
      <c r="B135" s="2">
        <v>1087.69</v>
      </c>
      <c r="C135" s="2">
        <v>39.24</v>
      </c>
      <c r="D135" s="5"/>
      <c r="E135" s="5"/>
    </row>
    <row r="136" spans="1:5" x14ac:dyDescent="0.3">
      <c r="A136" s="33">
        <v>40322</v>
      </c>
      <c r="B136" s="2">
        <v>1089.4100000000001</v>
      </c>
      <c r="C136" s="2">
        <v>40.43</v>
      </c>
      <c r="D136" s="5"/>
      <c r="E136" s="5"/>
    </row>
    <row r="137" spans="1:5" x14ac:dyDescent="0.3">
      <c r="A137" s="33">
        <v>40330</v>
      </c>
      <c r="B137" s="2">
        <v>1064.8800000000001</v>
      </c>
      <c r="C137" s="2">
        <v>38.61</v>
      </c>
      <c r="D137" s="5"/>
      <c r="E137" s="5"/>
    </row>
    <row r="138" spans="1:5" x14ac:dyDescent="0.3">
      <c r="A138" s="33">
        <v>40336</v>
      </c>
      <c r="B138" s="2">
        <v>1091.5999999999999</v>
      </c>
      <c r="C138" s="2">
        <v>39.380000000000003</v>
      </c>
      <c r="D138" s="5"/>
      <c r="E138" s="5"/>
    </row>
    <row r="139" spans="1:5" x14ac:dyDescent="0.3">
      <c r="A139" s="33">
        <v>40343</v>
      </c>
      <c r="B139" s="2">
        <v>1117.51</v>
      </c>
      <c r="C139" s="2">
        <v>40.36</v>
      </c>
      <c r="D139" s="5"/>
      <c r="E139" s="5"/>
    </row>
    <row r="140" spans="1:5" x14ac:dyDescent="0.3">
      <c r="A140" s="33">
        <v>40350</v>
      </c>
      <c r="B140" s="2">
        <v>1076.76</v>
      </c>
      <c r="C140" s="2">
        <v>38.69</v>
      </c>
      <c r="D140" s="5"/>
      <c r="E140" s="5"/>
    </row>
    <row r="141" spans="1:5" x14ac:dyDescent="0.3">
      <c r="A141" s="33">
        <v>40357</v>
      </c>
      <c r="B141" s="2">
        <v>1022.58</v>
      </c>
      <c r="C141" s="2">
        <v>35.020000000000003</v>
      </c>
      <c r="D141" s="5"/>
      <c r="E141" s="5"/>
    </row>
    <row r="142" spans="1:5" x14ac:dyDescent="0.3">
      <c r="A142" s="33">
        <v>40365</v>
      </c>
      <c r="B142" s="2">
        <v>1077.96</v>
      </c>
      <c r="C142" s="2">
        <v>36.659999999999997</v>
      </c>
      <c r="D142" s="5"/>
      <c r="E142" s="5"/>
    </row>
    <row r="143" spans="1:5" x14ac:dyDescent="0.3">
      <c r="A143" s="33">
        <v>40371</v>
      </c>
      <c r="B143" s="2">
        <v>1064.8800000000001</v>
      </c>
      <c r="C143" s="2">
        <v>37.21</v>
      </c>
      <c r="D143" s="5"/>
      <c r="E143" s="5"/>
    </row>
    <row r="144" spans="1:5" x14ac:dyDescent="0.3">
      <c r="A144" s="33">
        <v>40378</v>
      </c>
      <c r="B144" s="2">
        <v>1102.6600000000001</v>
      </c>
      <c r="C144" s="2">
        <v>38.770000000000003</v>
      </c>
      <c r="D144" s="5"/>
      <c r="E144" s="5"/>
    </row>
    <row r="145" spans="1:5" x14ac:dyDescent="0.3">
      <c r="A145" s="33">
        <v>40385</v>
      </c>
      <c r="B145" s="2">
        <v>1101.5999999999999</v>
      </c>
      <c r="C145" s="2">
        <v>37.97</v>
      </c>
      <c r="D145" s="5"/>
      <c r="E145" s="5"/>
    </row>
    <row r="146" spans="1:5" x14ac:dyDescent="0.3">
      <c r="A146" s="33">
        <v>40392</v>
      </c>
      <c r="B146" s="2">
        <v>1121.6400000000001</v>
      </c>
      <c r="C146" s="2">
        <v>36.479999999999997</v>
      </c>
      <c r="D146" s="5"/>
      <c r="E146" s="5"/>
    </row>
    <row r="147" spans="1:5" x14ac:dyDescent="0.3">
      <c r="A147" s="33">
        <v>40399</v>
      </c>
      <c r="B147" s="2">
        <v>1079.25</v>
      </c>
      <c r="C147" s="2">
        <v>36.42</v>
      </c>
      <c r="D147" s="5"/>
      <c r="E147" s="5"/>
    </row>
    <row r="148" spans="1:5" x14ac:dyDescent="0.3">
      <c r="A148" s="33">
        <v>40406</v>
      </c>
      <c r="B148" s="2">
        <v>1071.69</v>
      </c>
      <c r="C148" s="2">
        <v>36.72</v>
      </c>
      <c r="D148" s="5"/>
      <c r="E148" s="5"/>
    </row>
    <row r="149" spans="1:5" x14ac:dyDescent="0.3">
      <c r="A149" s="33">
        <v>40413</v>
      </c>
      <c r="B149" s="2">
        <v>1064.5899999999999</v>
      </c>
      <c r="C149" s="2">
        <v>35.700000000000003</v>
      </c>
      <c r="D149" s="5"/>
      <c r="E149" s="5"/>
    </row>
    <row r="150" spans="1:5" x14ac:dyDescent="0.3">
      <c r="A150" s="33">
        <v>40420</v>
      </c>
      <c r="B150" s="2">
        <v>1104.51</v>
      </c>
      <c r="C150" s="2">
        <v>36.659999999999997</v>
      </c>
      <c r="D150" s="5"/>
      <c r="E150" s="5"/>
    </row>
    <row r="151" spans="1:5" x14ac:dyDescent="0.3">
      <c r="A151" s="33">
        <v>40428</v>
      </c>
      <c r="B151" s="2">
        <v>1109.55</v>
      </c>
      <c r="C151" s="2">
        <v>35.47</v>
      </c>
      <c r="D151" s="5"/>
      <c r="E151" s="5"/>
    </row>
    <row r="152" spans="1:5" x14ac:dyDescent="0.3">
      <c r="A152" s="33">
        <v>40434</v>
      </c>
      <c r="B152" s="2">
        <v>1125.5899999999999</v>
      </c>
      <c r="C152" s="2">
        <v>37.090000000000003</v>
      </c>
      <c r="D152" s="5"/>
      <c r="E152" s="5"/>
    </row>
    <row r="153" spans="1:5" x14ac:dyDescent="0.3">
      <c r="A153" s="33">
        <v>40441</v>
      </c>
      <c r="B153" s="2">
        <v>1148.67</v>
      </c>
      <c r="C153" s="2">
        <v>37.07</v>
      </c>
      <c r="D153" s="5"/>
      <c r="E153" s="5"/>
    </row>
    <row r="154" spans="1:5" x14ac:dyDescent="0.3">
      <c r="A154" s="33">
        <v>40448</v>
      </c>
      <c r="B154" s="2">
        <v>1146.24</v>
      </c>
      <c r="C154" s="2">
        <v>37.07</v>
      </c>
      <c r="D154" s="5"/>
      <c r="E154" s="5"/>
    </row>
    <row r="155" spans="1:5" x14ac:dyDescent="0.3">
      <c r="A155" s="33">
        <v>40455</v>
      </c>
      <c r="B155" s="2">
        <v>1165.1500000000001</v>
      </c>
      <c r="C155" s="2">
        <v>34.57</v>
      </c>
      <c r="D155" s="5"/>
      <c r="E155" s="5"/>
    </row>
    <row r="156" spans="1:5" x14ac:dyDescent="0.3">
      <c r="A156" s="33">
        <v>40462</v>
      </c>
      <c r="B156" s="2">
        <v>1176.19</v>
      </c>
      <c r="C156" s="2">
        <v>38.299999999999997</v>
      </c>
      <c r="D156" s="5"/>
      <c r="E156" s="5"/>
    </row>
    <row r="157" spans="1:5" x14ac:dyDescent="0.3">
      <c r="A157" s="33">
        <v>40469</v>
      </c>
      <c r="B157" s="2">
        <v>1183.08</v>
      </c>
      <c r="C157" s="2">
        <v>39.89</v>
      </c>
      <c r="D157" s="5"/>
      <c r="E157" s="5"/>
    </row>
    <row r="158" spans="1:5" x14ac:dyDescent="0.3">
      <c r="A158" s="33">
        <v>40476</v>
      </c>
      <c r="B158" s="2">
        <v>1183.26</v>
      </c>
      <c r="C158" s="2">
        <v>39.75</v>
      </c>
      <c r="D158" s="5"/>
      <c r="E158" s="5"/>
    </row>
    <row r="159" spans="1:5" x14ac:dyDescent="0.3">
      <c r="A159" s="33">
        <v>40483</v>
      </c>
      <c r="B159" s="2">
        <v>1225.8499999999999</v>
      </c>
      <c r="C159" s="2">
        <v>45.49</v>
      </c>
      <c r="D159" s="5"/>
      <c r="E159" s="5"/>
    </row>
    <row r="160" spans="1:5" x14ac:dyDescent="0.3">
      <c r="A160" s="33">
        <v>40490</v>
      </c>
      <c r="B160" s="2">
        <v>1199.21</v>
      </c>
      <c r="C160" s="2">
        <v>46.86</v>
      </c>
      <c r="D160" s="5"/>
      <c r="E160" s="5"/>
    </row>
    <row r="161" spans="1:5" x14ac:dyDescent="0.3">
      <c r="A161" s="33">
        <v>40497</v>
      </c>
      <c r="B161" s="2">
        <v>1199.73</v>
      </c>
      <c r="C161" s="2">
        <v>45.71</v>
      </c>
      <c r="D161" s="5"/>
      <c r="E161" s="5"/>
    </row>
    <row r="162" spans="1:5" x14ac:dyDescent="0.3">
      <c r="A162" s="33">
        <v>40504</v>
      </c>
      <c r="B162" s="2">
        <v>1189.4000000000001</v>
      </c>
      <c r="C162" s="2">
        <v>47.01</v>
      </c>
      <c r="D162" s="5"/>
      <c r="E162" s="5"/>
    </row>
  </sheetData>
  <sortState xmlns:xlrd2="http://schemas.microsoft.com/office/spreadsheetml/2017/richdata2" ref="A3:C162">
    <sortCondition ref="A3"/>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H162"/>
  <sheetViews>
    <sheetView zoomScaleNormal="100" workbookViewId="0">
      <selection activeCell="H28" sqref="H28"/>
    </sheetView>
  </sheetViews>
  <sheetFormatPr defaultRowHeight="14.4" x14ac:dyDescent="0.3"/>
  <cols>
    <col min="1" max="1" width="10.88671875" bestFit="1" customWidth="1"/>
    <col min="2" max="2" width="11.109375" bestFit="1" customWidth="1"/>
    <col min="3" max="3" width="14" bestFit="1" customWidth="1"/>
    <col min="4" max="4" width="18.109375" bestFit="1" customWidth="1"/>
    <col min="5" max="5" width="18.77734375" bestFit="1" customWidth="1"/>
    <col min="6" max="6" width="2" customWidth="1"/>
    <col min="7" max="7" width="22.5546875" customWidth="1"/>
  </cols>
  <sheetData>
    <row r="1" spans="1:8" ht="28.8" x14ac:dyDescent="0.55000000000000004">
      <c r="A1" s="55" t="s">
        <v>30</v>
      </c>
    </row>
    <row r="2" spans="1:8" ht="28.8" x14ac:dyDescent="0.3">
      <c r="A2" s="12" t="s">
        <v>46</v>
      </c>
      <c r="B2" s="12" t="s">
        <v>49</v>
      </c>
      <c r="C2" s="12" t="s">
        <v>48</v>
      </c>
      <c r="D2" s="64" t="s">
        <v>103</v>
      </c>
      <c r="E2" s="64" t="s">
        <v>102</v>
      </c>
    </row>
    <row r="3" spans="1:8" x14ac:dyDescent="0.3">
      <c r="A3" s="33">
        <v>39395</v>
      </c>
      <c r="B3" s="2">
        <v>1453.7</v>
      </c>
      <c r="C3" s="2">
        <v>42.51</v>
      </c>
      <c r="D3" s="12" t="s">
        <v>71</v>
      </c>
      <c r="E3" s="12" t="s">
        <v>70</v>
      </c>
      <c r="G3" t="s">
        <v>84</v>
      </c>
    </row>
    <row r="4" spans="1:8" x14ac:dyDescent="0.3">
      <c r="A4" s="33">
        <v>39398</v>
      </c>
      <c r="B4" s="2">
        <v>1458.74</v>
      </c>
      <c r="C4" s="2">
        <v>44.4</v>
      </c>
      <c r="D4" s="5">
        <f>B4/B3-1</f>
        <v>3.4670152025864098E-3</v>
      </c>
      <c r="E4" s="5">
        <f>C4/C3-1</f>
        <v>4.4460127028934426E-2</v>
      </c>
      <c r="G4" s="5">
        <f>SLOPE($E$4:$E$162,$D$4:$D$162)</f>
        <v>1.1061218376037838</v>
      </c>
      <c r="H4" t="s">
        <v>85</v>
      </c>
    </row>
    <row r="5" spans="1:8" ht="15.6" x14ac:dyDescent="0.35">
      <c r="A5" s="33">
        <v>39405</v>
      </c>
      <c r="B5" s="2">
        <v>1440.7</v>
      </c>
      <c r="C5" s="2">
        <v>39.94</v>
      </c>
      <c r="D5" s="5">
        <f t="shared" ref="D5:E68" si="0">B5/B4-1</f>
        <v>-1.2366837133416464E-2</v>
      </c>
      <c r="E5" s="5">
        <f t="shared" si="0"/>
        <v>-0.10045045045045042</v>
      </c>
      <c r="G5" t="s">
        <v>161</v>
      </c>
    </row>
    <row r="6" spans="1:8" x14ac:dyDescent="0.3">
      <c r="A6" s="33">
        <v>39412</v>
      </c>
      <c r="B6" s="2">
        <v>1481.14</v>
      </c>
      <c r="C6" s="2">
        <v>42.15</v>
      </c>
      <c r="D6" s="5">
        <f t="shared" si="0"/>
        <v>2.8069688345943034E-2</v>
      </c>
      <c r="E6" s="5">
        <f t="shared" si="0"/>
        <v>5.5332999499248858E-2</v>
      </c>
      <c r="G6" s="5">
        <f>CORREL($E$4:$E$162,$D$4:$D$162)*STDEV($E$4:$E$162)/STDEV($D$4:$D$162)</f>
        <v>1.1061218376037834</v>
      </c>
    </row>
    <row r="7" spans="1:8" x14ac:dyDescent="0.3">
      <c r="A7" s="33">
        <v>39419</v>
      </c>
      <c r="B7" s="2">
        <v>1504.66</v>
      </c>
      <c r="C7" s="2">
        <v>42.19</v>
      </c>
      <c r="D7" s="5">
        <f t="shared" si="0"/>
        <v>1.5879660261690409E-2</v>
      </c>
      <c r="E7" s="5">
        <f t="shared" si="0"/>
        <v>9.489916963225653E-4</v>
      </c>
    </row>
    <row r="8" spans="1:8" x14ac:dyDescent="0.3">
      <c r="A8" s="33">
        <v>39426</v>
      </c>
      <c r="B8" s="2">
        <v>1467.95</v>
      </c>
      <c r="C8" s="2">
        <v>39.770000000000003</v>
      </c>
      <c r="D8" s="5">
        <f t="shared" si="0"/>
        <v>-2.439753831430358E-2</v>
      </c>
      <c r="E8" s="5">
        <f t="shared" si="0"/>
        <v>-5.7359563877696029E-2</v>
      </c>
      <c r="G8" t="s">
        <v>158</v>
      </c>
    </row>
    <row r="9" spans="1:8" ht="15.6" x14ac:dyDescent="0.35">
      <c r="A9" s="33">
        <v>39433</v>
      </c>
      <c r="B9" s="2">
        <v>1484.46</v>
      </c>
      <c r="C9" s="2">
        <v>41.73</v>
      </c>
      <c r="D9" s="5">
        <f t="shared" si="0"/>
        <v>1.1246977076875941E-2</v>
      </c>
      <c r="E9" s="5">
        <f t="shared" si="0"/>
        <v>4.9283379431732222E-2</v>
      </c>
      <c r="G9" t="s">
        <v>159</v>
      </c>
    </row>
    <row r="10" spans="1:8" x14ac:dyDescent="0.3">
      <c r="A10" s="33">
        <v>39440</v>
      </c>
      <c r="B10" s="2">
        <v>1478.49</v>
      </c>
      <c r="C10" s="2">
        <v>40.770000000000003</v>
      </c>
      <c r="D10" s="5">
        <f t="shared" si="0"/>
        <v>-4.0216644436360527E-3</v>
      </c>
      <c r="E10" s="5">
        <f t="shared" si="0"/>
        <v>-2.3005032350826626E-2</v>
      </c>
      <c r="G10" t="s">
        <v>160</v>
      </c>
    </row>
    <row r="11" spans="1:8" x14ac:dyDescent="0.3">
      <c r="A11" s="33">
        <v>39447</v>
      </c>
      <c r="B11" s="2">
        <v>1411.63</v>
      </c>
      <c r="C11" s="2">
        <v>37.159999999999997</v>
      </c>
      <c r="D11" s="5">
        <f t="shared" si="0"/>
        <v>-4.5221814148218686E-2</v>
      </c>
      <c r="E11" s="5">
        <f t="shared" si="0"/>
        <v>-8.8545499141525763E-2</v>
      </c>
    </row>
    <row r="12" spans="1:8" x14ac:dyDescent="0.3">
      <c r="A12" s="33">
        <v>39454</v>
      </c>
      <c r="B12" s="2">
        <v>1401.02</v>
      </c>
      <c r="C12" s="2">
        <v>36.96</v>
      </c>
      <c r="D12" s="5">
        <f t="shared" si="0"/>
        <v>-7.5161338311031667E-3</v>
      </c>
      <c r="E12" s="5">
        <f t="shared" si="0"/>
        <v>-5.3821313240042246E-3</v>
      </c>
    </row>
    <row r="13" spans="1:8" x14ac:dyDescent="0.3">
      <c r="A13" s="33">
        <v>39461</v>
      </c>
      <c r="B13" s="2">
        <v>1325.19</v>
      </c>
      <c r="C13" s="2">
        <v>34.57</v>
      </c>
      <c r="D13" s="5">
        <f t="shared" si="0"/>
        <v>-5.4124851893620263E-2</v>
      </c>
      <c r="E13" s="5">
        <f t="shared" si="0"/>
        <v>-6.4664502164502147E-2</v>
      </c>
    </row>
    <row r="14" spans="1:8" x14ac:dyDescent="0.3">
      <c r="A14" s="33">
        <v>39469</v>
      </c>
      <c r="B14" s="2">
        <v>1330.61</v>
      </c>
      <c r="C14" s="2">
        <v>37.01</v>
      </c>
      <c r="D14" s="5">
        <f t="shared" si="0"/>
        <v>4.0899795501021519E-3</v>
      </c>
      <c r="E14" s="5">
        <f t="shared" si="0"/>
        <v>7.0581428984668682E-2</v>
      </c>
    </row>
    <row r="15" spans="1:8" x14ac:dyDescent="0.3">
      <c r="A15" s="33">
        <v>39475</v>
      </c>
      <c r="B15" s="2">
        <v>1395.42</v>
      </c>
      <c r="C15" s="2">
        <v>40.17</v>
      </c>
      <c r="D15" s="5">
        <f t="shared" si="0"/>
        <v>4.8706984014850407E-2</v>
      </c>
      <c r="E15" s="5">
        <f t="shared" si="0"/>
        <v>8.5382329100243348E-2</v>
      </c>
    </row>
    <row r="16" spans="1:8" x14ac:dyDescent="0.3">
      <c r="A16" s="33">
        <v>39482</v>
      </c>
      <c r="B16" s="2">
        <v>1331.29</v>
      </c>
      <c r="C16" s="2">
        <v>38.81</v>
      </c>
      <c r="D16" s="5">
        <f t="shared" si="0"/>
        <v>-4.5957489501368798E-2</v>
      </c>
      <c r="E16" s="5">
        <f t="shared" si="0"/>
        <v>-3.3856111526014421E-2</v>
      </c>
    </row>
    <row r="17" spans="1:5" x14ac:dyDescent="0.3">
      <c r="A17" s="33">
        <v>39489</v>
      </c>
      <c r="B17" s="2">
        <v>1349.99</v>
      </c>
      <c r="C17" s="2">
        <v>38.549999999999997</v>
      </c>
      <c r="D17" s="5">
        <f t="shared" si="0"/>
        <v>1.4046526301557227E-2</v>
      </c>
      <c r="E17" s="5">
        <f t="shared" si="0"/>
        <v>-6.699304303014797E-3</v>
      </c>
    </row>
    <row r="18" spans="1:5" x14ac:dyDescent="0.3">
      <c r="A18" s="33">
        <v>39497</v>
      </c>
      <c r="B18" s="2">
        <v>1353.11</v>
      </c>
      <c r="C18" s="2">
        <v>36.229999999999997</v>
      </c>
      <c r="D18" s="5">
        <f t="shared" si="0"/>
        <v>2.3111282305794401E-3</v>
      </c>
      <c r="E18" s="5">
        <f t="shared" si="0"/>
        <v>-6.0181582360570696E-2</v>
      </c>
    </row>
    <row r="19" spans="1:5" x14ac:dyDescent="0.3">
      <c r="A19" s="33">
        <v>39503</v>
      </c>
      <c r="B19" s="2">
        <v>1330.63</v>
      </c>
      <c r="C19" s="2">
        <v>34.64</v>
      </c>
      <c r="D19" s="5">
        <f t="shared" si="0"/>
        <v>-1.6613579088174513E-2</v>
      </c>
      <c r="E19" s="5">
        <f t="shared" si="0"/>
        <v>-4.3886282086668449E-2</v>
      </c>
    </row>
    <row r="20" spans="1:5" x14ac:dyDescent="0.3">
      <c r="A20" s="33">
        <v>39510</v>
      </c>
      <c r="B20" s="2">
        <v>1293.3699999999999</v>
      </c>
      <c r="C20" s="2">
        <v>33.58</v>
      </c>
      <c r="D20" s="5">
        <f t="shared" si="0"/>
        <v>-2.8001773595966006E-2</v>
      </c>
      <c r="E20" s="5">
        <f t="shared" si="0"/>
        <v>-3.060046189376453E-2</v>
      </c>
    </row>
    <row r="21" spans="1:5" x14ac:dyDescent="0.3">
      <c r="A21" s="33">
        <v>39517</v>
      </c>
      <c r="B21" s="2">
        <v>1288.1400000000001</v>
      </c>
      <c r="C21" s="2">
        <v>30.72</v>
      </c>
      <c r="D21" s="5">
        <f t="shared" si="0"/>
        <v>-4.04369979201602E-3</v>
      </c>
      <c r="E21" s="5">
        <f t="shared" si="0"/>
        <v>-8.5169743895175731E-2</v>
      </c>
    </row>
    <row r="22" spans="1:5" x14ac:dyDescent="0.3">
      <c r="A22" s="33">
        <v>39524</v>
      </c>
      <c r="B22" s="2">
        <v>1329.51</v>
      </c>
      <c r="C22" s="2">
        <v>32.18</v>
      </c>
      <c r="D22" s="5">
        <f t="shared" si="0"/>
        <v>3.2116074339745504E-2</v>
      </c>
      <c r="E22" s="5">
        <f t="shared" si="0"/>
        <v>4.7526041666666741E-2</v>
      </c>
    </row>
    <row r="23" spans="1:5" x14ac:dyDescent="0.3">
      <c r="A23" s="33">
        <v>39531</v>
      </c>
      <c r="B23" s="2">
        <v>1315.22</v>
      </c>
      <c r="C23" s="2">
        <v>32.01</v>
      </c>
      <c r="D23" s="5">
        <f t="shared" si="0"/>
        <v>-1.0748320809922385E-2</v>
      </c>
      <c r="E23" s="5">
        <f t="shared" si="0"/>
        <v>-5.2827843380982564E-3</v>
      </c>
    </row>
    <row r="24" spans="1:5" x14ac:dyDescent="0.3">
      <c r="A24" s="33">
        <v>39538</v>
      </c>
      <c r="B24" s="2">
        <v>1370.4</v>
      </c>
      <c r="C24" s="2">
        <v>33.4</v>
      </c>
      <c r="D24" s="5">
        <f t="shared" si="0"/>
        <v>4.1954958105868245E-2</v>
      </c>
      <c r="E24" s="5">
        <f t="shared" si="0"/>
        <v>4.3423930021868173E-2</v>
      </c>
    </row>
    <row r="25" spans="1:5" x14ac:dyDescent="0.3">
      <c r="A25" s="33">
        <v>39545</v>
      </c>
      <c r="B25" s="2">
        <v>1332.83</v>
      </c>
      <c r="C25" s="2">
        <v>31.76</v>
      </c>
      <c r="D25" s="5">
        <f t="shared" si="0"/>
        <v>-2.7415353181552971E-2</v>
      </c>
      <c r="E25" s="5">
        <f t="shared" si="0"/>
        <v>-4.9101796407185594E-2</v>
      </c>
    </row>
    <row r="26" spans="1:5" x14ac:dyDescent="0.3">
      <c r="A26" s="33">
        <v>39552</v>
      </c>
      <c r="B26" s="2">
        <v>1390.33</v>
      </c>
      <c r="C26" s="2">
        <v>32.67</v>
      </c>
      <c r="D26" s="5">
        <f t="shared" si="0"/>
        <v>4.3141285835402776E-2</v>
      </c>
      <c r="E26" s="5">
        <f t="shared" si="0"/>
        <v>2.86523929471032E-2</v>
      </c>
    </row>
    <row r="27" spans="1:5" x14ac:dyDescent="0.3">
      <c r="A27" s="33">
        <v>39559</v>
      </c>
      <c r="B27" s="2">
        <v>1397.84</v>
      </c>
      <c r="C27" s="2">
        <v>30.92</v>
      </c>
      <c r="D27" s="5">
        <f t="shared" si="0"/>
        <v>5.4015953047117371E-3</v>
      </c>
      <c r="E27" s="5">
        <f t="shared" si="0"/>
        <v>-5.3565962656871746E-2</v>
      </c>
    </row>
    <row r="28" spans="1:5" x14ac:dyDescent="0.3">
      <c r="A28" s="33">
        <v>39566</v>
      </c>
      <c r="B28" s="2">
        <v>1413.9</v>
      </c>
      <c r="C28" s="2">
        <v>34.68</v>
      </c>
      <c r="D28" s="5">
        <f t="shared" si="0"/>
        <v>1.1489154695816461E-2</v>
      </c>
      <c r="E28" s="5">
        <f t="shared" si="0"/>
        <v>0.12160413971539441</v>
      </c>
    </row>
    <row r="29" spans="1:5" x14ac:dyDescent="0.3">
      <c r="A29" s="33">
        <v>39573</v>
      </c>
      <c r="B29" s="2">
        <v>1388.28</v>
      </c>
      <c r="C29" s="2">
        <v>32.5</v>
      </c>
      <c r="D29" s="5">
        <f t="shared" si="0"/>
        <v>-1.8120093358794942E-2</v>
      </c>
      <c r="E29" s="5">
        <f t="shared" si="0"/>
        <v>-6.2860438292964282E-2</v>
      </c>
    </row>
    <row r="30" spans="1:5" x14ac:dyDescent="0.3">
      <c r="A30" s="33">
        <v>39580</v>
      </c>
      <c r="B30" s="2">
        <v>1425.35</v>
      </c>
      <c r="C30" s="2">
        <v>28.81</v>
      </c>
      <c r="D30" s="5">
        <f t="shared" si="0"/>
        <v>2.6702106203359444E-2</v>
      </c>
      <c r="E30" s="5">
        <f t="shared" si="0"/>
        <v>-0.11353846153846159</v>
      </c>
    </row>
    <row r="31" spans="1:5" x14ac:dyDescent="0.3">
      <c r="A31" s="33">
        <v>39587</v>
      </c>
      <c r="B31" s="2">
        <v>1375.93</v>
      </c>
      <c r="C31" s="2">
        <v>27.38</v>
      </c>
      <c r="D31" s="5">
        <f t="shared" si="0"/>
        <v>-3.4672185778931386E-2</v>
      </c>
      <c r="E31" s="5">
        <f t="shared" si="0"/>
        <v>-4.9635543214161748E-2</v>
      </c>
    </row>
    <row r="32" spans="1:5" x14ac:dyDescent="0.3">
      <c r="A32" s="33">
        <v>39595</v>
      </c>
      <c r="B32" s="2">
        <v>1400.38</v>
      </c>
      <c r="C32" s="2">
        <v>28.75</v>
      </c>
      <c r="D32" s="5">
        <f t="shared" si="0"/>
        <v>1.7769799335721981E-2</v>
      </c>
      <c r="E32" s="5">
        <f t="shared" si="0"/>
        <v>5.0036523009496126E-2</v>
      </c>
    </row>
    <row r="33" spans="1:5" x14ac:dyDescent="0.3">
      <c r="A33" s="33">
        <v>39601</v>
      </c>
      <c r="B33" s="2">
        <v>1360.68</v>
      </c>
      <c r="C33" s="2">
        <v>28.25</v>
      </c>
      <c r="D33" s="5">
        <f t="shared" si="0"/>
        <v>-2.8349448006969591E-2</v>
      </c>
      <c r="E33" s="5">
        <f t="shared" si="0"/>
        <v>-1.7391304347826098E-2</v>
      </c>
    </row>
    <row r="34" spans="1:5" x14ac:dyDescent="0.3">
      <c r="A34" s="33">
        <v>39608</v>
      </c>
      <c r="B34" s="2">
        <v>1360.03</v>
      </c>
      <c r="C34" s="2">
        <v>26.93</v>
      </c>
      <c r="D34" s="5">
        <f t="shared" si="0"/>
        <v>-4.7770232530797152E-4</v>
      </c>
      <c r="E34" s="5">
        <f t="shared" si="0"/>
        <v>-4.6725663716814192E-2</v>
      </c>
    </row>
    <row r="35" spans="1:5" x14ac:dyDescent="0.3">
      <c r="A35" s="33">
        <v>39615</v>
      </c>
      <c r="B35" s="2">
        <v>1317.93</v>
      </c>
      <c r="C35" s="2">
        <v>26.09</v>
      </c>
      <c r="D35" s="5">
        <f t="shared" si="0"/>
        <v>-3.0955199517657683E-2</v>
      </c>
      <c r="E35" s="5">
        <f t="shared" si="0"/>
        <v>-3.119197920534722E-2</v>
      </c>
    </row>
    <row r="36" spans="1:5" x14ac:dyDescent="0.3">
      <c r="A36" s="33">
        <v>39622</v>
      </c>
      <c r="B36" s="2">
        <v>1278.3800000000001</v>
      </c>
      <c r="C36" s="2">
        <v>24.44</v>
      </c>
      <c r="D36" s="5">
        <f t="shared" si="0"/>
        <v>-3.0009181064244661E-2</v>
      </c>
      <c r="E36" s="5">
        <f t="shared" si="0"/>
        <v>-6.3242621694135637E-2</v>
      </c>
    </row>
    <row r="37" spans="1:5" x14ac:dyDescent="0.3">
      <c r="A37" s="33">
        <v>39629</v>
      </c>
      <c r="B37" s="2">
        <v>1262.9000000000001</v>
      </c>
      <c r="C37" s="2">
        <v>22.51</v>
      </c>
      <c r="D37" s="5">
        <f t="shared" si="0"/>
        <v>-1.210907554874141E-2</v>
      </c>
      <c r="E37" s="5">
        <f t="shared" si="0"/>
        <v>-7.896890343698848E-2</v>
      </c>
    </row>
    <row r="38" spans="1:5" x14ac:dyDescent="0.3">
      <c r="A38" s="33">
        <v>39636</v>
      </c>
      <c r="B38" s="2">
        <v>1239.49</v>
      </c>
      <c r="C38" s="2">
        <v>21.04</v>
      </c>
      <c r="D38" s="5">
        <f t="shared" si="0"/>
        <v>-1.8536701243170528E-2</v>
      </c>
      <c r="E38" s="5">
        <f t="shared" si="0"/>
        <v>-6.5304309195913013E-2</v>
      </c>
    </row>
    <row r="39" spans="1:5" x14ac:dyDescent="0.3">
      <c r="A39" s="33">
        <v>39643</v>
      </c>
      <c r="B39" s="2">
        <v>1260.68</v>
      </c>
      <c r="C39" s="2">
        <v>21.38</v>
      </c>
      <c r="D39" s="5">
        <f t="shared" si="0"/>
        <v>1.7095740990246133E-2</v>
      </c>
      <c r="E39" s="5">
        <f t="shared" si="0"/>
        <v>1.6159695817490549E-2</v>
      </c>
    </row>
    <row r="40" spans="1:5" x14ac:dyDescent="0.3">
      <c r="A40" s="33">
        <v>39650</v>
      </c>
      <c r="B40" s="2">
        <v>1257.76</v>
      </c>
      <c r="C40" s="2">
        <v>22.52</v>
      </c>
      <c r="D40" s="5">
        <f t="shared" si="0"/>
        <v>-2.3162102992037026E-3</v>
      </c>
      <c r="E40" s="5">
        <f t="shared" si="0"/>
        <v>5.3320860617399379E-2</v>
      </c>
    </row>
    <row r="41" spans="1:5" x14ac:dyDescent="0.3">
      <c r="A41" s="33">
        <v>39657</v>
      </c>
      <c r="B41" s="2">
        <v>1260.31</v>
      </c>
      <c r="C41" s="2">
        <v>21.42</v>
      </c>
      <c r="D41" s="5">
        <f t="shared" si="0"/>
        <v>2.0274138150362386E-3</v>
      </c>
      <c r="E41" s="5">
        <f t="shared" si="0"/>
        <v>-4.8845470692717496E-2</v>
      </c>
    </row>
    <row r="42" spans="1:5" x14ac:dyDescent="0.3">
      <c r="A42" s="33">
        <v>39664</v>
      </c>
      <c r="B42" s="2">
        <v>1296.32</v>
      </c>
      <c r="C42" s="2">
        <v>18.649999999999999</v>
      </c>
      <c r="D42" s="5">
        <f t="shared" si="0"/>
        <v>2.8572335377803793E-2</v>
      </c>
      <c r="E42" s="5">
        <f t="shared" si="0"/>
        <v>-0.12931839402427647</v>
      </c>
    </row>
    <row r="43" spans="1:5" x14ac:dyDescent="0.3">
      <c r="A43" s="33">
        <v>39671</v>
      </c>
      <c r="B43" s="2">
        <v>1298.2</v>
      </c>
      <c r="C43" s="2">
        <v>19.690000000000001</v>
      </c>
      <c r="D43" s="5">
        <f t="shared" si="0"/>
        <v>1.4502591952605393E-3</v>
      </c>
      <c r="E43" s="5">
        <f t="shared" si="0"/>
        <v>5.5764075067024299E-2</v>
      </c>
    </row>
    <row r="44" spans="1:5" x14ac:dyDescent="0.3">
      <c r="A44" s="33">
        <v>39678</v>
      </c>
      <c r="B44" s="2">
        <v>1292.2</v>
      </c>
      <c r="C44" s="2">
        <v>18.440000000000001</v>
      </c>
      <c r="D44" s="5">
        <f t="shared" si="0"/>
        <v>-4.6217840086273387E-3</v>
      </c>
      <c r="E44" s="5">
        <f t="shared" si="0"/>
        <v>-6.3484002031488074E-2</v>
      </c>
    </row>
    <row r="45" spans="1:5" x14ac:dyDescent="0.3">
      <c r="A45" s="33">
        <v>39685</v>
      </c>
      <c r="B45" s="2">
        <v>1282.83</v>
      </c>
      <c r="C45" s="2">
        <v>18.309999999999999</v>
      </c>
      <c r="D45" s="5">
        <f t="shared" si="0"/>
        <v>-7.2511995047207511E-3</v>
      </c>
      <c r="E45" s="5">
        <f t="shared" si="0"/>
        <v>-7.0498915401302487E-3</v>
      </c>
    </row>
    <row r="46" spans="1:5" x14ac:dyDescent="0.3">
      <c r="A46" s="33">
        <v>39693</v>
      </c>
      <c r="B46" s="2">
        <v>1242.31</v>
      </c>
      <c r="C46" s="2">
        <v>18.12</v>
      </c>
      <c r="D46" s="5">
        <f t="shared" si="0"/>
        <v>-3.1586414411886254E-2</v>
      </c>
      <c r="E46" s="5">
        <f t="shared" si="0"/>
        <v>-1.0376843255051726E-2</v>
      </c>
    </row>
    <row r="47" spans="1:5" x14ac:dyDescent="0.3">
      <c r="A47" s="33">
        <v>39699</v>
      </c>
      <c r="B47" s="2">
        <v>1251.7</v>
      </c>
      <c r="C47" s="2">
        <v>18.43</v>
      </c>
      <c r="D47" s="5">
        <f t="shared" si="0"/>
        <v>7.5584998913316159E-3</v>
      </c>
      <c r="E47" s="5">
        <f t="shared" si="0"/>
        <v>1.7108167770419458E-2</v>
      </c>
    </row>
    <row r="48" spans="1:5" x14ac:dyDescent="0.3">
      <c r="A48" s="33">
        <v>39706</v>
      </c>
      <c r="B48" s="2">
        <v>1255.08</v>
      </c>
      <c r="C48" s="2">
        <v>20.79</v>
      </c>
      <c r="D48" s="5">
        <f t="shared" si="0"/>
        <v>2.70032755452565E-3</v>
      </c>
      <c r="E48" s="5">
        <f t="shared" si="0"/>
        <v>0.12805208898535003</v>
      </c>
    </row>
    <row r="49" spans="1:5" x14ac:dyDescent="0.3">
      <c r="A49" s="33">
        <v>39713</v>
      </c>
      <c r="B49" s="2">
        <v>1213.27</v>
      </c>
      <c r="C49" s="2">
        <v>20.64</v>
      </c>
      <c r="D49" s="5">
        <f t="shared" si="0"/>
        <v>-3.331261752238901E-2</v>
      </c>
      <c r="E49" s="5">
        <f t="shared" si="0"/>
        <v>-7.2150072150071187E-3</v>
      </c>
    </row>
    <row r="50" spans="1:5" x14ac:dyDescent="0.3">
      <c r="A50" s="33">
        <v>39720</v>
      </c>
      <c r="B50" s="2">
        <v>1099.23</v>
      </c>
      <c r="C50" s="2">
        <v>18</v>
      </c>
      <c r="D50" s="5">
        <f t="shared" si="0"/>
        <v>-9.399391726491213E-2</v>
      </c>
      <c r="E50" s="5">
        <f t="shared" si="0"/>
        <v>-0.12790697674418605</v>
      </c>
    </row>
    <row r="51" spans="1:5" x14ac:dyDescent="0.3">
      <c r="A51" s="33">
        <v>39727</v>
      </c>
      <c r="B51" s="2">
        <v>899.22</v>
      </c>
      <c r="C51" s="2">
        <v>14.83</v>
      </c>
      <c r="D51" s="5">
        <f t="shared" si="0"/>
        <v>-0.18195464097595593</v>
      </c>
      <c r="E51" s="5">
        <f t="shared" si="0"/>
        <v>-0.17611111111111111</v>
      </c>
    </row>
    <row r="52" spans="1:5" x14ac:dyDescent="0.3">
      <c r="A52" s="33">
        <v>39734</v>
      </c>
      <c r="B52" s="2">
        <v>940.55</v>
      </c>
      <c r="C52" s="2">
        <v>13.98</v>
      </c>
      <c r="D52" s="5">
        <f t="shared" si="0"/>
        <v>4.5962056004092311E-2</v>
      </c>
      <c r="E52" s="5">
        <f t="shared" si="0"/>
        <v>-5.7316250842886052E-2</v>
      </c>
    </row>
    <row r="53" spans="1:5" x14ac:dyDescent="0.3">
      <c r="A53" s="33">
        <v>39741</v>
      </c>
      <c r="B53" s="2">
        <v>876.77</v>
      </c>
      <c r="C53" s="2">
        <v>10.74</v>
      </c>
      <c r="D53" s="5">
        <f t="shared" si="0"/>
        <v>-6.7811386954441555E-2</v>
      </c>
      <c r="E53" s="5">
        <f t="shared" si="0"/>
        <v>-0.23175965665236054</v>
      </c>
    </row>
    <row r="54" spans="1:5" x14ac:dyDescent="0.3">
      <c r="A54" s="33">
        <v>39748</v>
      </c>
      <c r="B54" s="2">
        <v>968.75</v>
      </c>
      <c r="C54" s="2">
        <v>10.72</v>
      </c>
      <c r="D54" s="5">
        <f t="shared" si="0"/>
        <v>0.10490778653466704</v>
      </c>
      <c r="E54" s="5">
        <f t="shared" si="0"/>
        <v>-1.8621973929235924E-3</v>
      </c>
    </row>
    <row r="55" spans="1:5" x14ac:dyDescent="0.3">
      <c r="A55" s="33">
        <v>39755</v>
      </c>
      <c r="B55" s="2">
        <v>930.99</v>
      </c>
      <c r="C55" s="2">
        <v>10.050000000000001</v>
      </c>
      <c r="D55" s="5">
        <f t="shared" si="0"/>
        <v>-3.8978064516129063E-2</v>
      </c>
      <c r="E55" s="5">
        <f t="shared" si="0"/>
        <v>-6.25E-2</v>
      </c>
    </row>
    <row r="56" spans="1:5" x14ac:dyDescent="0.3">
      <c r="A56" s="33">
        <v>39762</v>
      </c>
      <c r="B56" s="2">
        <v>873.29</v>
      </c>
      <c r="C56" s="2">
        <v>9.3800000000000008</v>
      </c>
      <c r="D56" s="5">
        <f t="shared" si="0"/>
        <v>-6.1977035199089148E-2</v>
      </c>
      <c r="E56" s="5">
        <f t="shared" si="0"/>
        <v>-6.6666666666666652E-2</v>
      </c>
    </row>
    <row r="57" spans="1:5" x14ac:dyDescent="0.3">
      <c r="A57" s="33">
        <v>39769</v>
      </c>
      <c r="B57" s="2">
        <v>800.03</v>
      </c>
      <c r="C57" s="2">
        <v>8.19</v>
      </c>
      <c r="D57" s="5">
        <f t="shared" si="0"/>
        <v>-8.3889658647184784E-2</v>
      </c>
      <c r="E57" s="5">
        <f t="shared" si="0"/>
        <v>-0.12686567164179119</v>
      </c>
    </row>
    <row r="58" spans="1:5" x14ac:dyDescent="0.3">
      <c r="A58" s="33">
        <v>39776</v>
      </c>
      <c r="B58" s="2">
        <v>896.24</v>
      </c>
      <c r="C58" s="2">
        <v>10.58</v>
      </c>
      <c r="D58" s="5">
        <f t="shared" si="0"/>
        <v>0.12025799032536288</v>
      </c>
      <c r="E58" s="5">
        <f t="shared" si="0"/>
        <v>0.29181929181929189</v>
      </c>
    </row>
    <row r="59" spans="1:5" x14ac:dyDescent="0.3">
      <c r="A59" s="33">
        <v>39783</v>
      </c>
      <c r="B59" s="2">
        <v>876.07</v>
      </c>
      <c r="C59" s="2">
        <v>10.6</v>
      </c>
      <c r="D59" s="5">
        <f t="shared" si="0"/>
        <v>-2.2505132553780172E-2</v>
      </c>
      <c r="E59" s="5">
        <f t="shared" si="0"/>
        <v>1.890359168241984E-3</v>
      </c>
    </row>
    <row r="60" spans="1:5" x14ac:dyDescent="0.3">
      <c r="A60" s="33">
        <v>39790</v>
      </c>
      <c r="B60" s="2">
        <v>879.73</v>
      </c>
      <c r="C60" s="2">
        <v>10.35</v>
      </c>
      <c r="D60" s="5">
        <f t="shared" si="0"/>
        <v>4.177748353441979E-3</v>
      </c>
      <c r="E60" s="5">
        <f t="shared" si="0"/>
        <v>-2.3584905660377409E-2</v>
      </c>
    </row>
    <row r="61" spans="1:5" x14ac:dyDescent="0.3">
      <c r="A61" s="33">
        <v>39797</v>
      </c>
      <c r="B61" s="2">
        <v>887.88</v>
      </c>
      <c r="C61" s="2">
        <v>9.9600000000000009</v>
      </c>
      <c r="D61" s="5">
        <f t="shared" si="0"/>
        <v>9.2642060632239787E-3</v>
      </c>
      <c r="E61" s="5">
        <f t="shared" si="0"/>
        <v>-3.7681159420289712E-2</v>
      </c>
    </row>
    <row r="62" spans="1:5" x14ac:dyDescent="0.3">
      <c r="A62" s="33">
        <v>39804</v>
      </c>
      <c r="B62" s="2">
        <v>872.8</v>
      </c>
      <c r="C62" s="2">
        <v>8.89</v>
      </c>
      <c r="D62" s="5">
        <f t="shared" si="0"/>
        <v>-1.6984277154570515E-2</v>
      </c>
      <c r="E62" s="5">
        <f t="shared" si="0"/>
        <v>-0.10742971887550201</v>
      </c>
    </row>
    <row r="63" spans="1:5" x14ac:dyDescent="0.3">
      <c r="A63" s="33">
        <v>39811</v>
      </c>
      <c r="B63" s="2">
        <v>931.8</v>
      </c>
      <c r="C63" s="2">
        <v>9.89</v>
      </c>
      <c r="D63" s="5">
        <f t="shared" si="0"/>
        <v>6.759853345554534E-2</v>
      </c>
      <c r="E63" s="5">
        <f t="shared" si="0"/>
        <v>0.11248593925759276</v>
      </c>
    </row>
    <row r="64" spans="1:5" x14ac:dyDescent="0.3">
      <c r="A64" s="33">
        <v>39818</v>
      </c>
      <c r="B64" s="2">
        <v>890.35</v>
      </c>
      <c r="C64" s="2">
        <v>12.57</v>
      </c>
      <c r="D64" s="5">
        <f t="shared" si="0"/>
        <v>-4.4483794805752264E-2</v>
      </c>
      <c r="E64" s="5">
        <f t="shared" si="0"/>
        <v>0.27098078867542963</v>
      </c>
    </row>
    <row r="65" spans="1:5" x14ac:dyDescent="0.3">
      <c r="A65" s="33">
        <v>39825</v>
      </c>
      <c r="B65" s="2">
        <v>850.12</v>
      </c>
      <c r="C65" s="2">
        <v>12.16</v>
      </c>
      <c r="D65" s="5">
        <f t="shared" si="0"/>
        <v>-4.5184478014264062E-2</v>
      </c>
      <c r="E65" s="5">
        <f t="shared" si="0"/>
        <v>-3.2617342879872724E-2</v>
      </c>
    </row>
    <row r="66" spans="1:5" x14ac:dyDescent="0.3">
      <c r="A66" s="33">
        <v>39833</v>
      </c>
      <c r="B66" s="2">
        <v>831.95</v>
      </c>
      <c r="C66" s="2">
        <v>11.37</v>
      </c>
      <c r="D66" s="5">
        <f t="shared" si="0"/>
        <v>-2.1373453159553857E-2</v>
      </c>
      <c r="E66" s="5">
        <f t="shared" si="0"/>
        <v>-6.4967105263157965E-2</v>
      </c>
    </row>
    <row r="67" spans="1:5" x14ac:dyDescent="0.3">
      <c r="A67" s="33">
        <v>39839</v>
      </c>
      <c r="B67" s="2">
        <v>825.88</v>
      </c>
      <c r="C67" s="2">
        <v>10.25</v>
      </c>
      <c r="D67" s="5">
        <f t="shared" si="0"/>
        <v>-7.2961115451650738E-3</v>
      </c>
      <c r="E67" s="5">
        <f t="shared" si="0"/>
        <v>-9.850483729111692E-2</v>
      </c>
    </row>
    <row r="68" spans="1:5" x14ac:dyDescent="0.3">
      <c r="A68" s="33">
        <v>39846</v>
      </c>
      <c r="B68" s="2">
        <v>868.6</v>
      </c>
      <c r="C68" s="2">
        <v>10.88</v>
      </c>
      <c r="D68" s="5">
        <f t="shared" si="0"/>
        <v>5.1726643095849401E-2</v>
      </c>
      <c r="E68" s="5">
        <f t="shared" si="0"/>
        <v>6.1463414634146396E-2</v>
      </c>
    </row>
    <row r="69" spans="1:5" x14ac:dyDescent="0.3">
      <c r="A69" s="33">
        <v>39853</v>
      </c>
      <c r="B69" s="2">
        <v>826.84</v>
      </c>
      <c r="C69" s="2">
        <v>9.9700000000000006</v>
      </c>
      <c r="D69" s="5">
        <f t="shared" ref="D69:E132" si="1">B69/B68-1</f>
        <v>-4.8077365876122435E-2</v>
      </c>
      <c r="E69" s="5">
        <f t="shared" si="1"/>
        <v>-8.3639705882352922E-2</v>
      </c>
    </row>
    <row r="70" spans="1:5" x14ac:dyDescent="0.3">
      <c r="A70" s="33">
        <v>39861</v>
      </c>
      <c r="B70" s="2">
        <v>770.05</v>
      </c>
      <c r="C70" s="2">
        <v>12.84</v>
      </c>
      <c r="D70" s="5">
        <f t="shared" si="1"/>
        <v>-6.8683179333365652E-2</v>
      </c>
      <c r="E70" s="5">
        <f t="shared" si="1"/>
        <v>0.28786359077231682</v>
      </c>
    </row>
    <row r="71" spans="1:5" x14ac:dyDescent="0.3">
      <c r="A71" s="33">
        <v>39867</v>
      </c>
      <c r="B71" s="2">
        <v>735.09</v>
      </c>
      <c r="C71" s="2">
        <v>12.15</v>
      </c>
      <c r="D71" s="5">
        <f t="shared" si="1"/>
        <v>-4.5399649373417228E-2</v>
      </c>
      <c r="E71" s="5">
        <f t="shared" si="1"/>
        <v>-5.3738317757009324E-2</v>
      </c>
    </row>
    <row r="72" spans="1:5" x14ac:dyDescent="0.3">
      <c r="A72" s="33">
        <v>39874</v>
      </c>
      <c r="B72" s="2">
        <v>683.38</v>
      </c>
      <c r="C72" s="2">
        <v>12.08</v>
      </c>
      <c r="D72" s="5">
        <f t="shared" si="1"/>
        <v>-7.0345127807479368E-2</v>
      </c>
      <c r="E72" s="5">
        <f t="shared" si="1"/>
        <v>-5.7613168724279795E-3</v>
      </c>
    </row>
    <row r="73" spans="1:5" x14ac:dyDescent="0.3">
      <c r="A73" s="33">
        <v>39881</v>
      </c>
      <c r="B73" s="2">
        <v>756.55</v>
      </c>
      <c r="C73" s="2">
        <v>14.38</v>
      </c>
      <c r="D73" s="5">
        <f t="shared" si="1"/>
        <v>0.10707073663262023</v>
      </c>
      <c r="E73" s="5">
        <f t="shared" si="1"/>
        <v>0.19039735099337762</v>
      </c>
    </row>
    <row r="74" spans="1:5" x14ac:dyDescent="0.3">
      <c r="A74" s="33">
        <v>39888</v>
      </c>
      <c r="B74" s="2">
        <v>768.54</v>
      </c>
      <c r="C74" s="2">
        <v>15.37</v>
      </c>
      <c r="D74" s="5">
        <f t="shared" si="1"/>
        <v>1.5848258542066063E-2</v>
      </c>
      <c r="E74" s="5">
        <f t="shared" si="1"/>
        <v>6.8845618915159834E-2</v>
      </c>
    </row>
    <row r="75" spans="1:5" x14ac:dyDescent="0.3">
      <c r="A75" s="33">
        <v>39895</v>
      </c>
      <c r="B75" s="2">
        <v>815.94</v>
      </c>
      <c r="C75" s="2">
        <v>17.97</v>
      </c>
      <c r="D75" s="5">
        <f t="shared" si="1"/>
        <v>6.1675384495276875E-2</v>
      </c>
      <c r="E75" s="5">
        <f t="shared" si="1"/>
        <v>0.16916070266753414</v>
      </c>
    </row>
    <row r="76" spans="1:5" x14ac:dyDescent="0.3">
      <c r="A76" s="33">
        <v>39902</v>
      </c>
      <c r="B76" s="2">
        <v>842.5</v>
      </c>
      <c r="C76" s="2">
        <v>18.64</v>
      </c>
      <c r="D76" s="5">
        <f t="shared" si="1"/>
        <v>3.2551413094100035E-2</v>
      </c>
      <c r="E76" s="5">
        <f t="shared" si="1"/>
        <v>3.7284362826933926E-2</v>
      </c>
    </row>
    <row r="77" spans="1:5" x14ac:dyDescent="0.3">
      <c r="A77" s="33">
        <v>39909</v>
      </c>
      <c r="B77" s="2">
        <v>856.56</v>
      </c>
      <c r="C77" s="2">
        <v>18.36</v>
      </c>
      <c r="D77" s="5">
        <f t="shared" si="1"/>
        <v>1.6688427299703212E-2</v>
      </c>
      <c r="E77" s="5">
        <f t="shared" si="1"/>
        <v>-1.5021459227467893E-2</v>
      </c>
    </row>
    <row r="78" spans="1:5" x14ac:dyDescent="0.3">
      <c r="A78" s="33">
        <v>39916</v>
      </c>
      <c r="B78" s="2">
        <v>869.6</v>
      </c>
      <c r="C78" s="2">
        <v>18.48</v>
      </c>
      <c r="D78" s="5">
        <f t="shared" si="1"/>
        <v>1.5223685439432311E-2</v>
      </c>
      <c r="E78" s="5">
        <f t="shared" si="1"/>
        <v>6.5359477124182774E-3</v>
      </c>
    </row>
    <row r="79" spans="1:5" x14ac:dyDescent="0.3">
      <c r="A79" s="33">
        <v>39923</v>
      </c>
      <c r="B79" s="2">
        <v>866.23</v>
      </c>
      <c r="C79" s="2">
        <v>19.739999999999998</v>
      </c>
      <c r="D79" s="5">
        <f t="shared" si="1"/>
        <v>-3.8753449862005684E-3</v>
      </c>
      <c r="E79" s="5">
        <f t="shared" si="1"/>
        <v>6.8181818181818121E-2</v>
      </c>
    </row>
    <row r="80" spans="1:5" x14ac:dyDescent="0.3">
      <c r="A80" s="33">
        <v>39930</v>
      </c>
      <c r="B80" s="2">
        <v>877.52</v>
      </c>
      <c r="C80" s="2">
        <v>20.93</v>
      </c>
      <c r="D80" s="5">
        <f t="shared" si="1"/>
        <v>1.3033489950705857E-2</v>
      </c>
      <c r="E80" s="5">
        <f t="shared" si="1"/>
        <v>6.0283687943262443E-2</v>
      </c>
    </row>
    <row r="81" spans="1:5" x14ac:dyDescent="0.3">
      <c r="A81" s="33">
        <v>39937</v>
      </c>
      <c r="B81" s="2">
        <v>929.23</v>
      </c>
      <c r="C81" s="2">
        <v>22.17</v>
      </c>
      <c r="D81" s="5">
        <f t="shared" si="1"/>
        <v>5.8927431853404988E-2</v>
      </c>
      <c r="E81" s="5">
        <f t="shared" si="1"/>
        <v>5.9245102723363585E-2</v>
      </c>
    </row>
    <row r="82" spans="1:5" x14ac:dyDescent="0.3">
      <c r="A82" s="33">
        <v>39944</v>
      </c>
      <c r="B82" s="2">
        <v>882.88</v>
      </c>
      <c r="C82" s="2">
        <v>19.61</v>
      </c>
      <c r="D82" s="5">
        <f t="shared" si="1"/>
        <v>-4.9880008178814772E-2</v>
      </c>
      <c r="E82" s="5">
        <f t="shared" si="1"/>
        <v>-0.11547135769057293</v>
      </c>
    </row>
    <row r="83" spans="1:5" x14ac:dyDescent="0.3">
      <c r="A83" s="33">
        <v>39951</v>
      </c>
      <c r="B83" s="2">
        <v>887</v>
      </c>
      <c r="C83" s="2">
        <v>18.899999999999999</v>
      </c>
      <c r="D83" s="5">
        <f t="shared" si="1"/>
        <v>4.6665458499457468E-3</v>
      </c>
      <c r="E83" s="5">
        <f t="shared" si="1"/>
        <v>-3.6206017338092811E-2</v>
      </c>
    </row>
    <row r="84" spans="1:5" x14ac:dyDescent="0.3">
      <c r="A84" s="33">
        <v>39959</v>
      </c>
      <c r="B84" s="2">
        <v>919.14</v>
      </c>
      <c r="C84" s="2">
        <v>18.87</v>
      </c>
      <c r="D84" s="5">
        <f t="shared" si="1"/>
        <v>3.623449830890646E-2</v>
      </c>
      <c r="E84" s="5">
        <f t="shared" si="1"/>
        <v>-1.5873015873014706E-3</v>
      </c>
    </row>
    <row r="85" spans="1:5" x14ac:dyDescent="0.3">
      <c r="A85" s="33">
        <v>39965</v>
      </c>
      <c r="B85" s="2">
        <v>940.09</v>
      </c>
      <c r="C85" s="2">
        <v>21.16</v>
      </c>
      <c r="D85" s="5">
        <f t="shared" si="1"/>
        <v>2.2793045673129342E-2</v>
      </c>
      <c r="E85" s="5">
        <f t="shared" si="1"/>
        <v>0.1213566507684154</v>
      </c>
    </row>
    <row r="86" spans="1:5" x14ac:dyDescent="0.3">
      <c r="A86" s="33">
        <v>39972</v>
      </c>
      <c r="B86" s="2">
        <v>946.21</v>
      </c>
      <c r="C86" s="2">
        <v>20.440000000000001</v>
      </c>
      <c r="D86" s="5">
        <f t="shared" si="1"/>
        <v>6.5100149985639622E-3</v>
      </c>
      <c r="E86" s="5">
        <f t="shared" si="1"/>
        <v>-3.4026465028355379E-2</v>
      </c>
    </row>
    <row r="87" spans="1:5" x14ac:dyDescent="0.3">
      <c r="A87" s="33">
        <v>39979</v>
      </c>
      <c r="B87" s="2">
        <v>921.23</v>
      </c>
      <c r="C87" s="2">
        <v>19.27</v>
      </c>
      <c r="D87" s="5">
        <f t="shared" si="1"/>
        <v>-2.6400059183479319E-2</v>
      </c>
      <c r="E87" s="5">
        <f t="shared" si="1"/>
        <v>-5.7240704500978512E-2</v>
      </c>
    </row>
    <row r="88" spans="1:5" x14ac:dyDescent="0.3">
      <c r="A88" s="33">
        <v>39986</v>
      </c>
      <c r="B88" s="2">
        <v>918.9</v>
      </c>
      <c r="C88" s="2">
        <v>19.2</v>
      </c>
      <c r="D88" s="5">
        <f t="shared" si="1"/>
        <v>-2.5292272288136575E-3</v>
      </c>
      <c r="E88" s="5">
        <f t="shared" si="1"/>
        <v>-3.6325895173845435E-3</v>
      </c>
    </row>
    <row r="89" spans="1:5" x14ac:dyDescent="0.3">
      <c r="A89" s="33">
        <v>39993</v>
      </c>
      <c r="B89" s="2">
        <v>896.42</v>
      </c>
      <c r="C89" s="2">
        <v>17.97</v>
      </c>
      <c r="D89" s="5">
        <f t="shared" si="1"/>
        <v>-2.4464033083034131E-2</v>
      </c>
      <c r="E89" s="5">
        <f t="shared" si="1"/>
        <v>-6.4062500000000022E-2</v>
      </c>
    </row>
    <row r="90" spans="1:5" x14ac:dyDescent="0.3">
      <c r="A90" s="33">
        <v>40000</v>
      </c>
      <c r="B90" s="2">
        <v>879.13</v>
      </c>
      <c r="C90" s="2">
        <v>19.25</v>
      </c>
      <c r="D90" s="5">
        <f t="shared" si="1"/>
        <v>-1.9287833827893119E-2</v>
      </c>
      <c r="E90" s="5">
        <f t="shared" si="1"/>
        <v>7.1229827490261632E-2</v>
      </c>
    </row>
    <row r="91" spans="1:5" x14ac:dyDescent="0.3">
      <c r="A91" s="33">
        <v>40007</v>
      </c>
      <c r="B91" s="2">
        <v>940.38</v>
      </c>
      <c r="C91" s="2">
        <v>21.87</v>
      </c>
      <c r="D91" s="5">
        <f t="shared" si="1"/>
        <v>6.9671152161796313E-2</v>
      </c>
      <c r="E91" s="5">
        <f t="shared" si="1"/>
        <v>0.13610389610389606</v>
      </c>
    </row>
    <row r="92" spans="1:5" x14ac:dyDescent="0.3">
      <c r="A92" s="33">
        <v>40014</v>
      </c>
      <c r="B92" s="2">
        <v>979.26</v>
      </c>
      <c r="C92" s="2">
        <v>23.73</v>
      </c>
      <c r="D92" s="5">
        <f t="shared" si="1"/>
        <v>4.134498819626109E-2</v>
      </c>
      <c r="E92" s="5">
        <f t="shared" si="1"/>
        <v>8.5048010973936883E-2</v>
      </c>
    </row>
    <row r="93" spans="1:5" x14ac:dyDescent="0.3">
      <c r="A93" s="33">
        <v>40021</v>
      </c>
      <c r="B93" s="2">
        <v>987.48</v>
      </c>
      <c r="C93" s="2">
        <v>24.19</v>
      </c>
      <c r="D93" s="5">
        <f t="shared" si="1"/>
        <v>8.3940934991728611E-3</v>
      </c>
      <c r="E93" s="5">
        <f t="shared" si="1"/>
        <v>1.9384745048461882E-2</v>
      </c>
    </row>
    <row r="94" spans="1:5" x14ac:dyDescent="0.3">
      <c r="A94" s="33">
        <v>40028</v>
      </c>
      <c r="B94" s="2">
        <v>1010.48</v>
      </c>
      <c r="C94" s="2">
        <v>28.42</v>
      </c>
      <c r="D94" s="5">
        <f t="shared" si="1"/>
        <v>2.3291610969336185E-2</v>
      </c>
      <c r="E94" s="5">
        <f t="shared" si="1"/>
        <v>0.17486564696155438</v>
      </c>
    </row>
    <row r="95" spans="1:5" x14ac:dyDescent="0.3">
      <c r="A95" s="33">
        <v>40035</v>
      </c>
      <c r="B95" s="2">
        <v>1004.09</v>
      </c>
      <c r="C95" s="2">
        <v>28.1</v>
      </c>
      <c r="D95" s="5">
        <f t="shared" si="1"/>
        <v>-6.3237273375029712E-3</v>
      </c>
      <c r="E95" s="5">
        <f t="shared" si="1"/>
        <v>-1.1259676284306797E-2</v>
      </c>
    </row>
    <row r="96" spans="1:5" x14ac:dyDescent="0.3">
      <c r="A96" s="33">
        <v>40042</v>
      </c>
      <c r="B96" s="2">
        <v>1026.1300000000001</v>
      </c>
      <c r="C96" s="2">
        <v>28.78</v>
      </c>
      <c r="D96" s="5">
        <f t="shared" si="1"/>
        <v>2.1950223585535333E-2</v>
      </c>
      <c r="E96" s="5">
        <f t="shared" si="1"/>
        <v>2.4199288256227636E-2</v>
      </c>
    </row>
    <row r="97" spans="1:5" x14ac:dyDescent="0.3">
      <c r="A97" s="33">
        <v>40049</v>
      </c>
      <c r="B97" s="2">
        <v>1028.93</v>
      </c>
      <c r="C97" s="2">
        <v>29.11</v>
      </c>
      <c r="D97" s="5">
        <f t="shared" si="1"/>
        <v>2.7286990927075649E-3</v>
      </c>
      <c r="E97" s="5">
        <f t="shared" si="1"/>
        <v>1.1466296038915802E-2</v>
      </c>
    </row>
    <row r="98" spans="1:5" x14ac:dyDescent="0.3">
      <c r="A98" s="33">
        <v>40056</v>
      </c>
      <c r="B98" s="2">
        <v>1016.4</v>
      </c>
      <c r="C98" s="2">
        <v>27.65</v>
      </c>
      <c r="D98" s="5">
        <f t="shared" si="1"/>
        <v>-1.2177699163208433E-2</v>
      </c>
      <c r="E98" s="5">
        <f t="shared" si="1"/>
        <v>-5.0154586052902794E-2</v>
      </c>
    </row>
    <row r="99" spans="1:5" x14ac:dyDescent="0.3">
      <c r="A99" s="33">
        <v>40064</v>
      </c>
      <c r="B99" s="2">
        <v>1042.73</v>
      </c>
      <c r="C99" s="2">
        <v>28.43</v>
      </c>
      <c r="D99" s="5">
        <f t="shared" si="1"/>
        <v>2.5905155450610007E-2</v>
      </c>
      <c r="E99" s="5">
        <f t="shared" si="1"/>
        <v>2.8209764918625702E-2</v>
      </c>
    </row>
    <row r="100" spans="1:5" x14ac:dyDescent="0.3">
      <c r="A100" s="33">
        <v>40070</v>
      </c>
      <c r="B100" s="2">
        <v>1068.3</v>
      </c>
      <c r="C100" s="2">
        <v>28.6</v>
      </c>
      <c r="D100" s="5">
        <f t="shared" si="1"/>
        <v>2.4522167771139136E-2</v>
      </c>
      <c r="E100" s="5">
        <f t="shared" si="1"/>
        <v>5.9795990151250145E-3</v>
      </c>
    </row>
    <row r="101" spans="1:5" x14ac:dyDescent="0.3">
      <c r="A101" s="33">
        <v>40077</v>
      </c>
      <c r="B101" s="2">
        <v>1044.3800000000001</v>
      </c>
      <c r="C101" s="2">
        <v>28.77</v>
      </c>
      <c r="D101" s="5">
        <f t="shared" si="1"/>
        <v>-2.2390714218852192E-2</v>
      </c>
      <c r="E101" s="5">
        <f t="shared" si="1"/>
        <v>5.9440559440557816E-3</v>
      </c>
    </row>
    <row r="102" spans="1:5" x14ac:dyDescent="0.3">
      <c r="A102" s="33">
        <v>40084</v>
      </c>
      <c r="B102" s="2">
        <v>1025.21</v>
      </c>
      <c r="C102" s="2">
        <v>29.21</v>
      </c>
      <c r="D102" s="5">
        <f t="shared" si="1"/>
        <v>-1.835538788563551E-2</v>
      </c>
      <c r="E102" s="5">
        <f t="shared" si="1"/>
        <v>1.529370872436564E-2</v>
      </c>
    </row>
    <row r="103" spans="1:5" x14ac:dyDescent="0.3">
      <c r="A103" s="33">
        <v>40091</v>
      </c>
      <c r="B103" s="2">
        <v>1071.49</v>
      </c>
      <c r="C103" s="2">
        <v>31.67</v>
      </c>
      <c r="D103" s="5">
        <f t="shared" si="1"/>
        <v>4.5141970913276319E-2</v>
      </c>
      <c r="E103" s="5">
        <f t="shared" si="1"/>
        <v>8.4217733652858673E-2</v>
      </c>
    </row>
    <row r="104" spans="1:5" x14ac:dyDescent="0.3">
      <c r="A104" s="33">
        <v>40098</v>
      </c>
      <c r="B104" s="2">
        <v>1087.68</v>
      </c>
      <c r="C104" s="2">
        <v>33.74</v>
      </c>
      <c r="D104" s="5">
        <f t="shared" si="1"/>
        <v>1.5109800371445381E-2</v>
      </c>
      <c r="E104" s="5">
        <f t="shared" si="1"/>
        <v>6.5361540890432668E-2</v>
      </c>
    </row>
    <row r="105" spans="1:5" x14ac:dyDescent="0.3">
      <c r="A105" s="33">
        <v>40105</v>
      </c>
      <c r="B105" s="2">
        <v>1079.5999999999999</v>
      </c>
      <c r="C105" s="2">
        <v>33.36</v>
      </c>
      <c r="D105" s="5">
        <f t="shared" si="1"/>
        <v>-7.4286554869080756E-3</v>
      </c>
      <c r="E105" s="5">
        <f t="shared" si="1"/>
        <v>-1.126259632483706E-2</v>
      </c>
    </row>
    <row r="106" spans="1:5" x14ac:dyDescent="0.3">
      <c r="A106" s="33">
        <v>40112</v>
      </c>
      <c r="B106" s="2">
        <v>1036.19</v>
      </c>
      <c r="C106" s="2">
        <v>32.06</v>
      </c>
      <c r="D106" s="5">
        <f t="shared" si="1"/>
        <v>-4.0209336791404038E-2</v>
      </c>
      <c r="E106" s="5">
        <f t="shared" si="1"/>
        <v>-3.896882494004783E-2</v>
      </c>
    </row>
    <row r="107" spans="1:5" x14ac:dyDescent="0.3">
      <c r="A107" s="33">
        <v>40119</v>
      </c>
      <c r="B107" s="2">
        <v>1069.3</v>
      </c>
      <c r="C107" s="2">
        <v>28.25</v>
      </c>
      <c r="D107" s="5">
        <f t="shared" si="1"/>
        <v>3.1953599243381925E-2</v>
      </c>
      <c r="E107" s="5">
        <f t="shared" si="1"/>
        <v>-0.11883967560823461</v>
      </c>
    </row>
    <row r="108" spans="1:5" x14ac:dyDescent="0.3">
      <c r="A108" s="33">
        <v>40126</v>
      </c>
      <c r="B108" s="2">
        <v>1093.48</v>
      </c>
      <c r="C108" s="2">
        <v>27.49</v>
      </c>
      <c r="D108" s="5">
        <f t="shared" si="1"/>
        <v>2.2612924343028196E-2</v>
      </c>
      <c r="E108" s="5">
        <f t="shared" si="1"/>
        <v>-2.6902654867256737E-2</v>
      </c>
    </row>
    <row r="109" spans="1:5" x14ac:dyDescent="0.3">
      <c r="A109" s="33">
        <v>40133</v>
      </c>
      <c r="B109" s="2">
        <v>1091.3800000000001</v>
      </c>
      <c r="C109" s="2">
        <v>26.36</v>
      </c>
      <c r="D109" s="5">
        <f t="shared" si="1"/>
        <v>-1.9204740827448719E-3</v>
      </c>
      <c r="E109" s="5">
        <f t="shared" si="1"/>
        <v>-4.110585667515454E-2</v>
      </c>
    </row>
    <row r="110" spans="1:5" x14ac:dyDescent="0.3">
      <c r="A110" s="33">
        <v>40140</v>
      </c>
      <c r="B110" s="2">
        <v>1091.49</v>
      </c>
      <c r="C110" s="2">
        <v>25.9</v>
      </c>
      <c r="D110" s="5">
        <f t="shared" si="1"/>
        <v>1.0078982572503392E-4</v>
      </c>
      <c r="E110" s="5">
        <f t="shared" si="1"/>
        <v>-1.7450682852807264E-2</v>
      </c>
    </row>
    <row r="111" spans="1:5" x14ac:dyDescent="0.3">
      <c r="A111" s="33">
        <v>40147</v>
      </c>
      <c r="B111" s="2">
        <v>1105.98</v>
      </c>
      <c r="C111" s="2">
        <v>26.2</v>
      </c>
      <c r="D111" s="5">
        <f t="shared" si="1"/>
        <v>1.3275430833081359E-2</v>
      </c>
      <c r="E111" s="5">
        <f t="shared" si="1"/>
        <v>1.158301158301156E-2</v>
      </c>
    </row>
    <row r="112" spans="1:5" x14ac:dyDescent="0.3">
      <c r="A112" s="33">
        <v>40154</v>
      </c>
      <c r="B112" s="2">
        <v>1106.4100000000001</v>
      </c>
      <c r="C112" s="2">
        <v>26.67</v>
      </c>
      <c r="D112" s="5">
        <f t="shared" si="1"/>
        <v>3.887954574224306E-4</v>
      </c>
      <c r="E112" s="5">
        <f t="shared" si="1"/>
        <v>1.793893129771007E-2</v>
      </c>
    </row>
    <row r="113" spans="1:5" x14ac:dyDescent="0.3">
      <c r="A113" s="33">
        <v>40161</v>
      </c>
      <c r="B113" s="2">
        <v>1102.47</v>
      </c>
      <c r="C113" s="2">
        <v>26.99</v>
      </c>
      <c r="D113" s="5">
        <f t="shared" si="1"/>
        <v>-3.5610668739437523E-3</v>
      </c>
      <c r="E113" s="5">
        <f t="shared" si="1"/>
        <v>1.1998500187476502E-2</v>
      </c>
    </row>
    <row r="114" spans="1:5" x14ac:dyDescent="0.3">
      <c r="A114" s="33">
        <v>40168</v>
      </c>
      <c r="B114" s="2">
        <v>1126.48</v>
      </c>
      <c r="C114" s="2">
        <v>28.41</v>
      </c>
      <c r="D114" s="5">
        <f t="shared" si="1"/>
        <v>2.1778370386495771E-2</v>
      </c>
      <c r="E114" s="5">
        <f t="shared" si="1"/>
        <v>5.2612078547610297E-2</v>
      </c>
    </row>
    <row r="115" spans="1:5" x14ac:dyDescent="0.3">
      <c r="A115" s="33">
        <v>40175</v>
      </c>
      <c r="B115" s="2">
        <v>1115.0999999999999</v>
      </c>
      <c r="C115" s="2">
        <v>27.45</v>
      </c>
      <c r="D115" s="5">
        <f t="shared" si="1"/>
        <v>-1.0102265464100646E-2</v>
      </c>
      <c r="E115" s="5">
        <f t="shared" si="1"/>
        <v>-3.3790918690601912E-2</v>
      </c>
    </row>
    <row r="116" spans="1:5" x14ac:dyDescent="0.3">
      <c r="A116" s="33">
        <v>40182</v>
      </c>
      <c r="B116" s="2">
        <v>1144.98</v>
      </c>
      <c r="C116" s="2">
        <v>27.96</v>
      </c>
      <c r="D116" s="5">
        <f t="shared" si="1"/>
        <v>2.6795803066989698E-2</v>
      </c>
      <c r="E116" s="5">
        <f t="shared" si="1"/>
        <v>1.8579234972677661E-2</v>
      </c>
    </row>
    <row r="117" spans="1:5" x14ac:dyDescent="0.3">
      <c r="A117" s="33">
        <v>40189</v>
      </c>
      <c r="B117" s="2">
        <v>1136.03</v>
      </c>
      <c r="C117" s="2">
        <v>27.95</v>
      </c>
      <c r="D117" s="5">
        <f t="shared" si="1"/>
        <v>-7.8167304232388268E-3</v>
      </c>
      <c r="E117" s="5">
        <f t="shared" si="1"/>
        <v>-3.5765379113028573E-4</v>
      </c>
    </row>
    <row r="118" spans="1:5" x14ac:dyDescent="0.3">
      <c r="A118" s="33">
        <v>40197</v>
      </c>
      <c r="B118" s="2">
        <v>1091.76</v>
      </c>
      <c r="C118" s="2">
        <v>28.45</v>
      </c>
      <c r="D118" s="5">
        <f t="shared" si="1"/>
        <v>-3.8969041310528807E-2</v>
      </c>
      <c r="E118" s="5">
        <f t="shared" si="1"/>
        <v>1.7889087656529412E-2</v>
      </c>
    </row>
    <row r="119" spans="1:5" x14ac:dyDescent="0.3">
      <c r="A119" s="33">
        <v>40203</v>
      </c>
      <c r="B119" s="2">
        <v>1073.8699999999999</v>
      </c>
      <c r="C119" s="2">
        <v>27.22</v>
      </c>
      <c r="D119" s="5">
        <f t="shared" si="1"/>
        <v>-1.6386385286143557E-2</v>
      </c>
      <c r="E119" s="5">
        <f t="shared" si="1"/>
        <v>-4.3233743409490377E-2</v>
      </c>
    </row>
    <row r="120" spans="1:5" x14ac:dyDescent="0.3">
      <c r="A120" s="33">
        <v>40210</v>
      </c>
      <c r="B120" s="2">
        <v>1066.19</v>
      </c>
      <c r="C120" s="2">
        <v>27.38</v>
      </c>
      <c r="D120" s="5">
        <f t="shared" si="1"/>
        <v>-7.1517036512798171E-3</v>
      </c>
      <c r="E120" s="5">
        <f t="shared" si="1"/>
        <v>5.8780308596619868E-3</v>
      </c>
    </row>
    <row r="121" spans="1:5" x14ac:dyDescent="0.3">
      <c r="A121" s="33">
        <v>40217</v>
      </c>
      <c r="B121" s="2">
        <v>1075.51</v>
      </c>
      <c r="C121" s="2">
        <v>29.75</v>
      </c>
      <c r="D121" s="5">
        <f t="shared" si="1"/>
        <v>8.741406315947442E-3</v>
      </c>
      <c r="E121" s="5">
        <f t="shared" si="1"/>
        <v>8.6559532505478431E-2</v>
      </c>
    </row>
    <row r="122" spans="1:5" x14ac:dyDescent="0.3">
      <c r="A122" s="33">
        <v>40225</v>
      </c>
      <c r="B122" s="2">
        <v>1109.17</v>
      </c>
      <c r="C122" s="2">
        <v>33.659999999999997</v>
      </c>
      <c r="D122" s="5">
        <f t="shared" si="1"/>
        <v>3.1296780132216373E-2</v>
      </c>
      <c r="E122" s="5">
        <f t="shared" si="1"/>
        <v>0.13142857142857123</v>
      </c>
    </row>
    <row r="123" spans="1:5" x14ac:dyDescent="0.3">
      <c r="A123" s="33">
        <v>40231</v>
      </c>
      <c r="B123" s="2">
        <v>1104.49</v>
      </c>
      <c r="C123" s="2">
        <v>35.49</v>
      </c>
      <c r="D123" s="5">
        <f t="shared" si="1"/>
        <v>-4.2193712415590223E-3</v>
      </c>
      <c r="E123" s="5">
        <f t="shared" si="1"/>
        <v>5.4367201426025025E-2</v>
      </c>
    </row>
    <row r="124" spans="1:5" x14ac:dyDescent="0.3">
      <c r="A124" s="33">
        <v>40238</v>
      </c>
      <c r="B124" s="2">
        <v>1138.7</v>
      </c>
      <c r="C124" s="2">
        <v>36.11</v>
      </c>
      <c r="D124" s="5">
        <f t="shared" si="1"/>
        <v>3.0973571512643794E-2</v>
      </c>
      <c r="E124" s="5">
        <f t="shared" si="1"/>
        <v>1.7469709777401921E-2</v>
      </c>
    </row>
    <row r="125" spans="1:5" x14ac:dyDescent="0.3">
      <c r="A125" s="33">
        <v>40245</v>
      </c>
      <c r="B125" s="2">
        <v>1149.99</v>
      </c>
      <c r="C125" s="2">
        <v>36.299999999999997</v>
      </c>
      <c r="D125" s="5">
        <f t="shared" si="1"/>
        <v>9.9148151400720863E-3</v>
      </c>
      <c r="E125" s="5">
        <f t="shared" si="1"/>
        <v>5.2617003600110568E-3</v>
      </c>
    </row>
    <row r="126" spans="1:5" x14ac:dyDescent="0.3">
      <c r="A126" s="33">
        <v>40252</v>
      </c>
      <c r="B126" s="2">
        <v>1159.9000000000001</v>
      </c>
      <c r="C126" s="2">
        <v>35.83</v>
      </c>
      <c r="D126" s="5">
        <f t="shared" si="1"/>
        <v>8.6174662388369683E-3</v>
      </c>
      <c r="E126" s="5">
        <f t="shared" si="1"/>
        <v>-1.2947658402203799E-2</v>
      </c>
    </row>
    <row r="127" spans="1:5" x14ac:dyDescent="0.3">
      <c r="A127" s="33">
        <v>40259</v>
      </c>
      <c r="B127" s="2">
        <v>1166.5899999999999</v>
      </c>
      <c r="C127" s="2">
        <v>35.409999999999997</v>
      </c>
      <c r="D127" s="5">
        <f t="shared" si="1"/>
        <v>5.7677385981549367E-3</v>
      </c>
      <c r="E127" s="5">
        <f t="shared" si="1"/>
        <v>-1.1722020653084031E-2</v>
      </c>
    </row>
    <row r="128" spans="1:5" x14ac:dyDescent="0.3">
      <c r="A128" s="33">
        <v>40266</v>
      </c>
      <c r="B128" s="2">
        <v>1178.0999999999999</v>
      </c>
      <c r="C128" s="2">
        <v>36.909999999999997</v>
      </c>
      <c r="D128" s="5">
        <f t="shared" si="1"/>
        <v>9.8663626466881649E-3</v>
      </c>
      <c r="E128" s="5">
        <f t="shared" si="1"/>
        <v>4.2360914995763999E-2</v>
      </c>
    </row>
    <row r="129" spans="1:5" x14ac:dyDescent="0.3">
      <c r="A129" s="33">
        <v>40273</v>
      </c>
      <c r="B129" s="2">
        <v>1194.3699999999999</v>
      </c>
      <c r="C129" s="2">
        <v>38.799999999999997</v>
      </c>
      <c r="D129" s="5">
        <f t="shared" si="1"/>
        <v>1.3810372633902057E-2</v>
      </c>
      <c r="E129" s="5">
        <f t="shared" si="1"/>
        <v>5.1205635329179211E-2</v>
      </c>
    </row>
    <row r="130" spans="1:5" x14ac:dyDescent="0.3">
      <c r="A130" s="33">
        <v>40280</v>
      </c>
      <c r="B130" s="2">
        <v>1192.1300000000001</v>
      </c>
      <c r="C130" s="2">
        <v>39.11</v>
      </c>
      <c r="D130" s="5">
        <f t="shared" si="1"/>
        <v>-1.8754657267009422E-3</v>
      </c>
      <c r="E130" s="5">
        <f t="shared" si="1"/>
        <v>7.9896907216494562E-3</v>
      </c>
    </row>
    <row r="131" spans="1:5" x14ac:dyDescent="0.3">
      <c r="A131" s="33">
        <v>40287</v>
      </c>
      <c r="B131" s="2">
        <v>1217.28</v>
      </c>
      <c r="C131" s="2">
        <v>40.200000000000003</v>
      </c>
      <c r="D131" s="5">
        <f t="shared" si="1"/>
        <v>2.1096692474813938E-2</v>
      </c>
      <c r="E131" s="5">
        <f t="shared" si="1"/>
        <v>2.7870109946305455E-2</v>
      </c>
    </row>
    <row r="132" spans="1:5" x14ac:dyDescent="0.3">
      <c r="A132" s="33">
        <v>40294</v>
      </c>
      <c r="B132" s="2">
        <v>1186.69</v>
      </c>
      <c r="C132" s="2">
        <v>39.020000000000003</v>
      </c>
      <c r="D132" s="5">
        <f t="shared" si="1"/>
        <v>-2.5129797581493141E-2</v>
      </c>
      <c r="E132" s="5">
        <f t="shared" si="1"/>
        <v>-2.935323383084576E-2</v>
      </c>
    </row>
    <row r="133" spans="1:5" x14ac:dyDescent="0.3">
      <c r="A133" s="33">
        <v>40301</v>
      </c>
      <c r="B133" s="2">
        <v>1110.8800000000001</v>
      </c>
      <c r="C133" s="2">
        <v>36.68</v>
      </c>
      <c r="D133" s="5">
        <f t="shared" ref="D133:E162" si="2">B133/B132-1</f>
        <v>-6.3883575322957076E-2</v>
      </c>
      <c r="E133" s="5">
        <f t="shared" si="2"/>
        <v>-5.9969246540235832E-2</v>
      </c>
    </row>
    <row r="134" spans="1:5" x14ac:dyDescent="0.3">
      <c r="A134" s="33">
        <v>40308</v>
      </c>
      <c r="B134" s="2">
        <v>1135.68</v>
      </c>
      <c r="C134" s="2">
        <v>40.83</v>
      </c>
      <c r="D134" s="5">
        <f t="shared" si="2"/>
        <v>2.2324643525853283E-2</v>
      </c>
      <c r="E134" s="5">
        <f t="shared" si="2"/>
        <v>0.11314067611777534</v>
      </c>
    </row>
    <row r="135" spans="1:5" x14ac:dyDescent="0.3">
      <c r="A135" s="33">
        <v>40315</v>
      </c>
      <c r="B135" s="2">
        <v>1087.69</v>
      </c>
      <c r="C135" s="2">
        <v>39.24</v>
      </c>
      <c r="D135" s="5">
        <f t="shared" si="2"/>
        <v>-4.2256621583544707E-2</v>
      </c>
      <c r="E135" s="5">
        <f t="shared" si="2"/>
        <v>-3.8941954445260718E-2</v>
      </c>
    </row>
    <row r="136" spans="1:5" x14ac:dyDescent="0.3">
      <c r="A136" s="33">
        <v>40322</v>
      </c>
      <c r="B136" s="2">
        <v>1089.4100000000001</v>
      </c>
      <c r="C136" s="2">
        <v>40.43</v>
      </c>
      <c r="D136" s="5">
        <f t="shared" si="2"/>
        <v>1.5813329165479395E-3</v>
      </c>
      <c r="E136" s="5">
        <f t="shared" si="2"/>
        <v>3.0326197757390316E-2</v>
      </c>
    </row>
    <row r="137" spans="1:5" x14ac:dyDescent="0.3">
      <c r="A137" s="33">
        <v>40330</v>
      </c>
      <c r="B137" s="2">
        <v>1064.8800000000001</v>
      </c>
      <c r="C137" s="2">
        <v>38.61</v>
      </c>
      <c r="D137" s="5">
        <f t="shared" si="2"/>
        <v>-2.2516775135164924E-2</v>
      </c>
      <c r="E137" s="5">
        <f t="shared" si="2"/>
        <v>-4.5016077170418001E-2</v>
      </c>
    </row>
    <row r="138" spans="1:5" x14ac:dyDescent="0.3">
      <c r="A138" s="33">
        <v>40336</v>
      </c>
      <c r="B138" s="2">
        <v>1091.5999999999999</v>
      </c>
      <c r="C138" s="2">
        <v>39.380000000000003</v>
      </c>
      <c r="D138" s="5">
        <f t="shared" si="2"/>
        <v>2.5092029148824135E-2</v>
      </c>
      <c r="E138" s="5">
        <f t="shared" si="2"/>
        <v>1.9943019943019946E-2</v>
      </c>
    </row>
    <row r="139" spans="1:5" x14ac:dyDescent="0.3">
      <c r="A139" s="33">
        <v>40343</v>
      </c>
      <c r="B139" s="2">
        <v>1117.51</v>
      </c>
      <c r="C139" s="2">
        <v>40.36</v>
      </c>
      <c r="D139" s="5">
        <f t="shared" si="2"/>
        <v>2.3735800659582251E-2</v>
      </c>
      <c r="E139" s="5">
        <f t="shared" si="2"/>
        <v>2.488572879634332E-2</v>
      </c>
    </row>
    <row r="140" spans="1:5" x14ac:dyDescent="0.3">
      <c r="A140" s="33">
        <v>40350</v>
      </c>
      <c r="B140" s="2">
        <v>1076.76</v>
      </c>
      <c r="C140" s="2">
        <v>38.69</v>
      </c>
      <c r="D140" s="5">
        <f t="shared" si="2"/>
        <v>-3.6464998076079835E-2</v>
      </c>
      <c r="E140" s="5">
        <f t="shared" si="2"/>
        <v>-4.1377601585728452E-2</v>
      </c>
    </row>
    <row r="141" spans="1:5" x14ac:dyDescent="0.3">
      <c r="A141" s="33">
        <v>40357</v>
      </c>
      <c r="B141" s="2">
        <v>1022.58</v>
      </c>
      <c r="C141" s="2">
        <v>35.020000000000003</v>
      </c>
      <c r="D141" s="5">
        <f t="shared" si="2"/>
        <v>-5.0317619525242385E-2</v>
      </c>
      <c r="E141" s="5">
        <f t="shared" si="2"/>
        <v>-9.485655208064081E-2</v>
      </c>
    </row>
    <row r="142" spans="1:5" x14ac:dyDescent="0.3">
      <c r="A142" s="33">
        <v>40365</v>
      </c>
      <c r="B142" s="2">
        <v>1077.96</v>
      </c>
      <c r="C142" s="2">
        <v>36.659999999999997</v>
      </c>
      <c r="D142" s="5">
        <f t="shared" si="2"/>
        <v>5.4157131960335558E-2</v>
      </c>
      <c r="E142" s="5">
        <f t="shared" si="2"/>
        <v>4.6830382638492152E-2</v>
      </c>
    </row>
    <row r="143" spans="1:5" x14ac:dyDescent="0.3">
      <c r="A143" s="33">
        <v>40371</v>
      </c>
      <c r="B143" s="2">
        <v>1064.8800000000001</v>
      </c>
      <c r="C143" s="2">
        <v>37.21</v>
      </c>
      <c r="D143" s="5">
        <f t="shared" si="2"/>
        <v>-1.2134030947344887E-2</v>
      </c>
      <c r="E143" s="5">
        <f t="shared" si="2"/>
        <v>1.5002727768685276E-2</v>
      </c>
    </row>
    <row r="144" spans="1:5" x14ac:dyDescent="0.3">
      <c r="A144" s="33">
        <v>40378</v>
      </c>
      <c r="B144" s="2">
        <v>1102.6600000000001</v>
      </c>
      <c r="C144" s="2">
        <v>38.770000000000003</v>
      </c>
      <c r="D144" s="5">
        <f t="shared" si="2"/>
        <v>3.5478175944707369E-2</v>
      </c>
      <c r="E144" s="5">
        <f t="shared" si="2"/>
        <v>4.1924213920988995E-2</v>
      </c>
    </row>
    <row r="145" spans="1:5" x14ac:dyDescent="0.3">
      <c r="A145" s="33">
        <v>40385</v>
      </c>
      <c r="B145" s="2">
        <v>1101.5999999999999</v>
      </c>
      <c r="C145" s="2">
        <v>37.97</v>
      </c>
      <c r="D145" s="5">
        <f t="shared" si="2"/>
        <v>-9.6131173707236783E-4</v>
      </c>
      <c r="E145" s="5">
        <f t="shared" si="2"/>
        <v>-2.0634511220015583E-2</v>
      </c>
    </row>
    <row r="146" spans="1:5" x14ac:dyDescent="0.3">
      <c r="A146" s="33">
        <v>40392</v>
      </c>
      <c r="B146" s="2">
        <v>1121.6400000000001</v>
      </c>
      <c r="C146" s="2">
        <v>36.479999999999997</v>
      </c>
      <c r="D146" s="5">
        <f t="shared" si="2"/>
        <v>1.8191721132897687E-2</v>
      </c>
      <c r="E146" s="5">
        <f t="shared" si="2"/>
        <v>-3.9241506452462493E-2</v>
      </c>
    </row>
    <row r="147" spans="1:5" x14ac:dyDescent="0.3">
      <c r="A147" s="33">
        <v>40399</v>
      </c>
      <c r="B147" s="2">
        <v>1079.25</v>
      </c>
      <c r="C147" s="2">
        <v>36.42</v>
      </c>
      <c r="D147" s="5">
        <f t="shared" si="2"/>
        <v>-3.7792874719161262E-2</v>
      </c>
      <c r="E147" s="5">
        <f t="shared" si="2"/>
        <v>-1.6447368421050879E-3</v>
      </c>
    </row>
    <row r="148" spans="1:5" x14ac:dyDescent="0.3">
      <c r="A148" s="33">
        <v>40406</v>
      </c>
      <c r="B148" s="2">
        <v>1071.69</v>
      </c>
      <c r="C148" s="2">
        <v>36.72</v>
      </c>
      <c r="D148" s="5">
        <f t="shared" si="2"/>
        <v>-7.0048644892285461E-3</v>
      </c>
      <c r="E148" s="5">
        <f t="shared" si="2"/>
        <v>8.2372322899504358E-3</v>
      </c>
    </row>
    <row r="149" spans="1:5" x14ac:dyDescent="0.3">
      <c r="A149" s="33">
        <v>40413</v>
      </c>
      <c r="B149" s="2">
        <v>1064.5899999999999</v>
      </c>
      <c r="C149" s="2">
        <v>35.700000000000003</v>
      </c>
      <c r="D149" s="5">
        <f t="shared" si="2"/>
        <v>-6.6250501544291573E-3</v>
      </c>
      <c r="E149" s="5">
        <f t="shared" si="2"/>
        <v>-2.7777777777777679E-2</v>
      </c>
    </row>
    <row r="150" spans="1:5" x14ac:dyDescent="0.3">
      <c r="A150" s="33">
        <v>40420</v>
      </c>
      <c r="B150" s="2">
        <v>1104.51</v>
      </c>
      <c r="C150" s="2">
        <v>36.659999999999997</v>
      </c>
      <c r="D150" s="5">
        <f t="shared" si="2"/>
        <v>3.7498003926394352E-2</v>
      </c>
      <c r="E150" s="5">
        <f t="shared" si="2"/>
        <v>2.6890756302520913E-2</v>
      </c>
    </row>
    <row r="151" spans="1:5" x14ac:dyDescent="0.3">
      <c r="A151" s="33">
        <v>40428</v>
      </c>
      <c r="B151" s="2">
        <v>1109.55</v>
      </c>
      <c r="C151" s="2">
        <v>35.47</v>
      </c>
      <c r="D151" s="5">
        <f t="shared" si="2"/>
        <v>4.5631094331421984E-3</v>
      </c>
      <c r="E151" s="5">
        <f t="shared" si="2"/>
        <v>-3.2460447354064281E-2</v>
      </c>
    </row>
    <row r="152" spans="1:5" x14ac:dyDescent="0.3">
      <c r="A152" s="33">
        <v>40434</v>
      </c>
      <c r="B152" s="2">
        <v>1125.5899999999999</v>
      </c>
      <c r="C152" s="2">
        <v>37.090000000000003</v>
      </c>
      <c r="D152" s="5">
        <f t="shared" si="2"/>
        <v>1.4456311117119425E-2</v>
      </c>
      <c r="E152" s="5">
        <f t="shared" si="2"/>
        <v>4.5672399210600734E-2</v>
      </c>
    </row>
    <row r="153" spans="1:5" x14ac:dyDescent="0.3">
      <c r="A153" s="33">
        <v>40441</v>
      </c>
      <c r="B153" s="2">
        <v>1148.67</v>
      </c>
      <c r="C153" s="2">
        <v>37.07</v>
      </c>
      <c r="D153" s="5">
        <f t="shared" si="2"/>
        <v>2.0504801926101157E-2</v>
      </c>
      <c r="E153" s="5">
        <f t="shared" si="2"/>
        <v>-5.3922890266921986E-4</v>
      </c>
    </row>
    <row r="154" spans="1:5" x14ac:dyDescent="0.3">
      <c r="A154" s="33">
        <v>40448</v>
      </c>
      <c r="B154" s="2">
        <v>1146.24</v>
      </c>
      <c r="C154" s="2">
        <v>37.07</v>
      </c>
      <c r="D154" s="5">
        <f t="shared" si="2"/>
        <v>-2.1154900885372863E-3</v>
      </c>
      <c r="E154" s="5">
        <f t="shared" si="2"/>
        <v>0</v>
      </c>
    </row>
    <row r="155" spans="1:5" x14ac:dyDescent="0.3">
      <c r="A155" s="33">
        <v>40455</v>
      </c>
      <c r="B155" s="2">
        <v>1165.1500000000001</v>
      </c>
      <c r="C155" s="2">
        <v>34.57</v>
      </c>
      <c r="D155" s="5">
        <f t="shared" si="2"/>
        <v>1.6497417643774437E-2</v>
      </c>
      <c r="E155" s="5">
        <f t="shared" si="2"/>
        <v>-6.7439978419206903E-2</v>
      </c>
    </row>
    <row r="156" spans="1:5" x14ac:dyDescent="0.3">
      <c r="A156" s="33">
        <v>40462</v>
      </c>
      <c r="B156" s="2">
        <v>1176.19</v>
      </c>
      <c r="C156" s="2">
        <v>38.299999999999997</v>
      </c>
      <c r="D156" s="5">
        <f t="shared" si="2"/>
        <v>9.4751748701884519E-3</v>
      </c>
      <c r="E156" s="5">
        <f t="shared" si="2"/>
        <v>0.10789702053803873</v>
      </c>
    </row>
    <row r="157" spans="1:5" x14ac:dyDescent="0.3">
      <c r="A157" s="33">
        <v>40469</v>
      </c>
      <c r="B157" s="2">
        <v>1183.08</v>
      </c>
      <c r="C157" s="2">
        <v>39.89</v>
      </c>
      <c r="D157" s="5">
        <f t="shared" si="2"/>
        <v>5.8578971084601861E-3</v>
      </c>
      <c r="E157" s="5">
        <f t="shared" si="2"/>
        <v>4.1514360313316123E-2</v>
      </c>
    </row>
    <row r="158" spans="1:5" x14ac:dyDescent="0.3">
      <c r="A158" s="33">
        <v>40476</v>
      </c>
      <c r="B158" s="2">
        <v>1183.26</v>
      </c>
      <c r="C158" s="2">
        <v>39.75</v>
      </c>
      <c r="D158" s="5">
        <f t="shared" si="2"/>
        <v>1.5214524799689322E-4</v>
      </c>
      <c r="E158" s="5">
        <f t="shared" si="2"/>
        <v>-3.5096515417397667E-3</v>
      </c>
    </row>
    <row r="159" spans="1:5" x14ac:dyDescent="0.3">
      <c r="A159" s="33">
        <v>40483</v>
      </c>
      <c r="B159" s="2">
        <v>1225.8499999999999</v>
      </c>
      <c r="C159" s="2">
        <v>45.49</v>
      </c>
      <c r="D159" s="5">
        <f t="shared" si="2"/>
        <v>3.599377989621888E-2</v>
      </c>
      <c r="E159" s="5">
        <f t="shared" si="2"/>
        <v>0.14440251572327045</v>
      </c>
    </row>
    <row r="160" spans="1:5" x14ac:dyDescent="0.3">
      <c r="A160" s="33">
        <v>40490</v>
      </c>
      <c r="B160" s="2">
        <v>1199.21</v>
      </c>
      <c r="C160" s="2">
        <v>46.86</v>
      </c>
      <c r="D160" s="5">
        <f t="shared" si="2"/>
        <v>-2.1731859526043062E-2</v>
      </c>
      <c r="E160" s="5">
        <f t="shared" si="2"/>
        <v>3.0116509122884105E-2</v>
      </c>
    </row>
    <row r="161" spans="1:5" x14ac:dyDescent="0.3">
      <c r="A161" s="33">
        <v>40497</v>
      </c>
      <c r="B161" s="2">
        <v>1199.73</v>
      </c>
      <c r="C161" s="2">
        <v>45.71</v>
      </c>
      <c r="D161" s="5">
        <f t="shared" si="2"/>
        <v>4.3361879904257883E-4</v>
      </c>
      <c r="E161" s="5">
        <f t="shared" si="2"/>
        <v>-2.454118651301751E-2</v>
      </c>
    </row>
    <row r="162" spans="1:5" x14ac:dyDescent="0.3">
      <c r="A162" s="33">
        <v>40504</v>
      </c>
      <c r="B162" s="2">
        <v>1189.4000000000001</v>
      </c>
      <c r="C162" s="2">
        <v>47.01</v>
      </c>
      <c r="D162" s="5">
        <f t="shared" si="2"/>
        <v>-8.6102706442282573E-3</v>
      </c>
      <c r="E162" s="5">
        <f t="shared" si="2"/>
        <v>2.8440166265587319E-2</v>
      </c>
    </row>
  </sheetData>
  <sortState xmlns:xlrd2="http://schemas.microsoft.com/office/spreadsheetml/2017/richdata2" ref="A3:C162">
    <sortCondition ref="A3"/>
  </sortState>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FF"/>
  </sheetPr>
  <dimension ref="A1:G10"/>
  <sheetViews>
    <sheetView zoomScale="115" zoomScaleNormal="115" workbookViewId="0">
      <selection activeCell="E3" sqref="E3"/>
    </sheetView>
  </sheetViews>
  <sheetFormatPr defaultRowHeight="14.4" x14ac:dyDescent="0.3"/>
  <cols>
    <col min="1" max="1" width="12.33203125" customWidth="1"/>
    <col min="2" max="2" width="15.33203125" bestFit="1" customWidth="1"/>
    <col min="3" max="3" width="14.77734375" bestFit="1" customWidth="1"/>
    <col min="4" max="4" width="8.109375" customWidth="1"/>
    <col min="5" max="5" width="13.44140625" customWidth="1"/>
    <col min="6" max="6" width="14.77734375" bestFit="1" customWidth="1"/>
    <col min="7" max="7" width="8.5546875" customWidth="1"/>
  </cols>
  <sheetData>
    <row r="1" spans="1:7" ht="28.8" x14ac:dyDescent="0.55000000000000004">
      <c r="A1" s="39" t="s">
        <v>112</v>
      </c>
    </row>
    <row r="2" spans="1:7" ht="43.95" customHeight="1" x14ac:dyDescent="0.3">
      <c r="A2" s="12" t="s">
        <v>19</v>
      </c>
      <c r="B2" s="12" t="s">
        <v>90</v>
      </c>
      <c r="C2" s="12" t="s">
        <v>91</v>
      </c>
      <c r="D2" s="12" t="s">
        <v>30</v>
      </c>
      <c r="E2" s="1" t="s">
        <v>107</v>
      </c>
      <c r="F2" s="1" t="s">
        <v>108</v>
      </c>
      <c r="G2" s="19" t="s">
        <v>109</v>
      </c>
    </row>
    <row r="3" spans="1:7" x14ac:dyDescent="0.3">
      <c r="A3" s="2" t="s">
        <v>32</v>
      </c>
      <c r="B3" s="13">
        <v>2000</v>
      </c>
      <c r="C3" s="22">
        <v>0.08</v>
      </c>
      <c r="D3" s="40">
        <v>0.8</v>
      </c>
      <c r="E3" s="5"/>
      <c r="F3" s="30"/>
      <c r="G3" s="5"/>
    </row>
    <row r="4" spans="1:7" x14ac:dyDescent="0.3">
      <c r="A4" s="2" t="s">
        <v>106</v>
      </c>
      <c r="B4" s="13">
        <v>4000</v>
      </c>
      <c r="C4" s="22">
        <v>0.12</v>
      </c>
      <c r="D4" s="40">
        <v>0.95</v>
      </c>
      <c r="E4" s="5"/>
      <c r="F4" s="30"/>
      <c r="G4" s="5"/>
    </row>
    <row r="5" spans="1:7" x14ac:dyDescent="0.3">
      <c r="A5" s="2" t="s">
        <v>34</v>
      </c>
      <c r="B5" s="13">
        <v>4000</v>
      </c>
      <c r="C5" s="22">
        <v>0.15</v>
      </c>
      <c r="D5" s="40">
        <v>1.1000000000000001</v>
      </c>
      <c r="E5" s="5"/>
      <c r="F5" s="30"/>
      <c r="G5" s="5"/>
    </row>
    <row r="6" spans="1:7" ht="15" thickBot="1" x14ac:dyDescent="0.35">
      <c r="A6" s="2" t="s">
        <v>35</v>
      </c>
      <c r="B6" s="13">
        <v>6000</v>
      </c>
      <c r="C6" s="22">
        <v>0.18</v>
      </c>
      <c r="D6" s="40">
        <v>1.4</v>
      </c>
      <c r="E6" s="5"/>
      <c r="F6" s="30"/>
      <c r="G6" s="5"/>
    </row>
    <row r="7" spans="1:7" ht="15" thickBot="1" x14ac:dyDescent="0.35">
      <c r="B7" s="50">
        <f>SUM(B3:B6)</f>
        <v>16000</v>
      </c>
      <c r="D7" s="41"/>
      <c r="E7" s="7" t="s">
        <v>29</v>
      </c>
      <c r="F7" s="53"/>
      <c r="G7" s="18"/>
    </row>
    <row r="8" spans="1:7" ht="15" thickTop="1" x14ac:dyDescent="0.3">
      <c r="D8" s="41"/>
    </row>
    <row r="9" spans="1:7" ht="28.8" x14ac:dyDescent="0.3">
      <c r="A9" s="1" t="s">
        <v>93</v>
      </c>
      <c r="B9" s="30"/>
    </row>
    <row r="10" spans="1:7" ht="28.8" x14ac:dyDescent="0.3">
      <c r="A10" s="1" t="s">
        <v>33</v>
      </c>
      <c r="B10" s="5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K10"/>
  <sheetViews>
    <sheetView zoomScale="115" zoomScaleNormal="115" workbookViewId="0">
      <selection activeCell="J10" sqref="J10"/>
    </sheetView>
  </sheetViews>
  <sheetFormatPr defaultRowHeight="14.4" x14ac:dyDescent="0.3"/>
  <cols>
    <col min="1" max="1" width="12.33203125" customWidth="1"/>
    <col min="2" max="2" width="15.33203125" bestFit="1" customWidth="1"/>
    <col min="3" max="3" width="14.77734375" bestFit="1" customWidth="1"/>
    <col min="4" max="4" width="8.109375" customWidth="1"/>
    <col min="5" max="5" width="13.44140625" customWidth="1"/>
    <col min="6" max="6" width="14.77734375" bestFit="1" customWidth="1"/>
    <col min="7" max="7" width="8.5546875" customWidth="1"/>
    <col min="9" max="10" width="14.21875" customWidth="1"/>
    <col min="11" max="11" width="13" customWidth="1"/>
  </cols>
  <sheetData>
    <row r="1" spans="1:11" ht="28.8" x14ac:dyDescent="0.55000000000000004">
      <c r="A1" s="39" t="s">
        <v>112</v>
      </c>
      <c r="I1" s="71" t="s">
        <v>162</v>
      </c>
    </row>
    <row r="2" spans="1:11" ht="43.95" customHeight="1" x14ac:dyDescent="0.3">
      <c r="A2" s="12" t="s">
        <v>19</v>
      </c>
      <c r="B2" s="12" t="s">
        <v>90</v>
      </c>
      <c r="C2" s="12" t="s">
        <v>91</v>
      </c>
      <c r="D2" s="12" t="s">
        <v>30</v>
      </c>
      <c r="E2" s="1" t="s">
        <v>107</v>
      </c>
      <c r="F2" s="1" t="s">
        <v>108</v>
      </c>
      <c r="G2" s="19" t="s">
        <v>109</v>
      </c>
      <c r="I2" s="1" t="s">
        <v>107</v>
      </c>
      <c r="J2" s="1" t="s">
        <v>108</v>
      </c>
      <c r="K2" s="19" t="s">
        <v>109</v>
      </c>
    </row>
    <row r="3" spans="1:11" x14ac:dyDescent="0.3">
      <c r="A3" s="2" t="s">
        <v>32</v>
      </c>
      <c r="B3" s="13">
        <v>2000</v>
      </c>
      <c r="C3" s="22">
        <v>0.08</v>
      </c>
      <c r="D3" s="40">
        <v>0.8</v>
      </c>
      <c r="E3" s="5">
        <f>B3/$B$7</f>
        <v>0.125</v>
      </c>
      <c r="F3" s="30">
        <f>C3*E3</f>
        <v>0.01</v>
      </c>
      <c r="G3" s="5">
        <f>D3*E3</f>
        <v>0.1</v>
      </c>
      <c r="I3" s="5" cm="1">
        <f t="array" ref="I3:I6">B3:B6/B7</f>
        <v>0.125</v>
      </c>
      <c r="J3" s="30" cm="1">
        <f t="array" ref="J3:J6">C3:C6*_xlfn.ANCHORARRAY(I3)</f>
        <v>0.01</v>
      </c>
      <c r="K3" s="5" cm="1">
        <f t="array" ref="K3:K6">E3:E6*D3:D6</f>
        <v>0.1</v>
      </c>
    </row>
    <row r="4" spans="1:11" x14ac:dyDescent="0.3">
      <c r="A4" s="2" t="s">
        <v>106</v>
      </c>
      <c r="B4" s="13">
        <v>4000</v>
      </c>
      <c r="C4" s="22">
        <v>0.12</v>
      </c>
      <c r="D4" s="40">
        <v>0.95</v>
      </c>
      <c r="E4" s="5">
        <f t="shared" ref="E4:E6" si="0">B4/$B$7</f>
        <v>0.25</v>
      </c>
      <c r="F4" s="30">
        <f>C4*E4</f>
        <v>0.03</v>
      </c>
      <c r="G4" s="5">
        <f>D4*E4</f>
        <v>0.23749999999999999</v>
      </c>
      <c r="I4" s="5">
        <v>0.25</v>
      </c>
      <c r="J4" s="30">
        <v>0.03</v>
      </c>
      <c r="K4" s="5">
        <v>0.23749999999999999</v>
      </c>
    </row>
    <row r="5" spans="1:11" x14ac:dyDescent="0.3">
      <c r="A5" s="2" t="s">
        <v>34</v>
      </c>
      <c r="B5" s="13">
        <v>4000</v>
      </c>
      <c r="C5" s="22">
        <v>0.15</v>
      </c>
      <c r="D5" s="40">
        <v>1.1000000000000001</v>
      </c>
      <c r="E5" s="5">
        <f t="shared" si="0"/>
        <v>0.25</v>
      </c>
      <c r="F5" s="30">
        <f>C5*E5</f>
        <v>3.7499999999999999E-2</v>
      </c>
      <c r="G5" s="5">
        <f>D5*E5</f>
        <v>0.27500000000000002</v>
      </c>
      <c r="I5" s="5">
        <v>0.25</v>
      </c>
      <c r="J5" s="30">
        <v>3.7499999999999999E-2</v>
      </c>
      <c r="K5" s="5">
        <v>0.27500000000000002</v>
      </c>
    </row>
    <row r="6" spans="1:11" ht="15" thickBot="1" x14ac:dyDescent="0.35">
      <c r="A6" s="2" t="s">
        <v>35</v>
      </c>
      <c r="B6" s="13">
        <v>6000</v>
      </c>
      <c r="C6" s="22">
        <v>0.18</v>
      </c>
      <c r="D6" s="40">
        <v>1.4</v>
      </c>
      <c r="E6" s="5">
        <f t="shared" si="0"/>
        <v>0.375</v>
      </c>
      <c r="F6" s="52">
        <f>C6*E6</f>
        <v>6.7500000000000004E-2</v>
      </c>
      <c r="G6" s="17">
        <f>D6*E6</f>
        <v>0.52499999999999991</v>
      </c>
      <c r="I6" s="5">
        <v>0.375</v>
      </c>
      <c r="J6" s="30">
        <v>6.7500000000000004E-2</v>
      </c>
      <c r="K6" s="5">
        <v>0.52499999999999991</v>
      </c>
    </row>
    <row r="7" spans="1:11" ht="15" thickBot="1" x14ac:dyDescent="0.35">
      <c r="B7" s="50">
        <f>SUM(B3:B6)</f>
        <v>16000</v>
      </c>
      <c r="D7" s="41"/>
      <c r="E7" s="7" t="s">
        <v>29</v>
      </c>
      <c r="F7" s="53">
        <f>SUM(F3:F6)</f>
        <v>0.14500000000000002</v>
      </c>
      <c r="G7" s="18">
        <f>SUM(G3:G6)</f>
        <v>1.1375</v>
      </c>
    </row>
    <row r="8" spans="1:11" ht="15" thickTop="1" x14ac:dyDescent="0.3">
      <c r="D8" s="41"/>
    </row>
    <row r="9" spans="1:11" ht="28.8" x14ac:dyDescent="0.3">
      <c r="A9" s="1" t="s">
        <v>93</v>
      </c>
      <c r="B9" s="30">
        <f>SUMPRODUCT(B3:B6/SUM(B3:B6),C3:C6)</f>
        <v>0.14500000000000002</v>
      </c>
      <c r="I9" s="1" t="s">
        <v>93</v>
      </c>
      <c r="J9" s="30" cm="1">
        <f t="array" ref="J9">SUM(B3:B6/B7*C3:C6)</f>
        <v>0.14500000000000002</v>
      </c>
    </row>
    <row r="10" spans="1:11" ht="28.8" x14ac:dyDescent="0.3">
      <c r="A10" s="1" t="s">
        <v>33</v>
      </c>
      <c r="B10" s="51">
        <f>SUMPRODUCT(B3:B6/SUM(B3:B6),D3:D6)</f>
        <v>1.1375</v>
      </c>
      <c r="I10" s="1" t="s">
        <v>33</v>
      </c>
      <c r="J10" s="72" cm="1">
        <f t="array" ref="J10">SUM(B3:B6/B7*D3:D6)</f>
        <v>1.1375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00FF"/>
  </sheetPr>
  <dimension ref="A1:H12"/>
  <sheetViews>
    <sheetView zoomScale="115" zoomScaleNormal="115" workbookViewId="0">
      <selection activeCell="B8" sqref="B8"/>
    </sheetView>
  </sheetViews>
  <sheetFormatPr defaultRowHeight="14.4" x14ac:dyDescent="0.3"/>
  <cols>
    <col min="1" max="1" width="39.33203125" customWidth="1"/>
    <col min="2" max="2" width="13.21875" customWidth="1"/>
    <col min="3" max="3" width="16.33203125" customWidth="1"/>
  </cols>
  <sheetData>
    <row r="1" spans="1:8" ht="31.2" x14ac:dyDescent="0.6">
      <c r="A1" s="54" t="s">
        <v>88</v>
      </c>
      <c r="B1" s="12"/>
    </row>
    <row r="2" spans="1:8" x14ac:dyDescent="0.3">
      <c r="A2" s="20" t="s">
        <v>31</v>
      </c>
      <c r="B2" s="23">
        <f>'Ex(6an)'!B2</f>
        <v>0.02</v>
      </c>
    </row>
    <row r="3" spans="1:8" x14ac:dyDescent="0.3">
      <c r="A3" s="20" t="s">
        <v>36</v>
      </c>
      <c r="B3" s="23">
        <f>'Ex(6an)'!B3</f>
        <v>0.09</v>
      </c>
    </row>
    <row r="4" spans="1:8" x14ac:dyDescent="0.3">
      <c r="A4" s="26" t="s">
        <v>110</v>
      </c>
      <c r="B4" s="26"/>
    </row>
    <row r="5" spans="1:8" x14ac:dyDescent="0.3">
      <c r="A5" s="20" t="s">
        <v>19</v>
      </c>
      <c r="B5" s="2" t="str">
        <f>'Ex(6an)'!B5</f>
        <v>A</v>
      </c>
    </row>
    <row r="6" spans="1:8" x14ac:dyDescent="0.3">
      <c r="A6" s="20" t="s">
        <v>30</v>
      </c>
      <c r="B6" s="2">
        <f>'Ex(6an)'!B6</f>
        <v>1.2</v>
      </c>
    </row>
    <row r="7" spans="1:8" x14ac:dyDescent="0.3">
      <c r="A7" s="20" t="str">
        <f>"E(R"&amp;B5&amp;")"</f>
        <v>E(RA)</v>
      </c>
      <c r="B7" s="22">
        <f>'Ex(6an)'!B7</f>
        <v>0.125</v>
      </c>
    </row>
    <row r="8" spans="1:8" x14ac:dyDescent="0.3">
      <c r="A8" s="21" t="str">
        <f>"Reward To Risk Ratio =&gt; (E(R"&amp;B5&amp;") - Rf)/B"&amp;B5</f>
        <v>Reward To Risk Ratio =&gt; (E(RA) - Rf)/BA</v>
      </c>
      <c r="B8" s="30"/>
      <c r="C8" s="8" t="str">
        <f>IF(B8="","","Stock "&amp;B5&amp;" is offering a "&amp;TEXT(B8,"0.00%")&amp;" return for 1 unit of Systematic Risk. Since the Market Risk Premium is "&amp;B3&amp;", we can see that "&amp;B5&amp;" is not offering a rate high enough. In a competitive market the price of this stock will be bid down. In theory, this stock will bid down until the return is equal to the return offered in the market.")</f>
        <v/>
      </c>
      <c r="D8" s="9"/>
      <c r="E8" s="9"/>
      <c r="F8" s="9"/>
      <c r="G8" s="9"/>
      <c r="H8" s="10"/>
    </row>
    <row r="9" spans="1:8" x14ac:dyDescent="0.3">
      <c r="A9" s="20" t="s">
        <v>19</v>
      </c>
      <c r="B9" s="2" t="str">
        <f>'Ex(6an)'!B9</f>
        <v>B</v>
      </c>
    </row>
    <row r="10" spans="1:8" x14ac:dyDescent="0.3">
      <c r="A10" s="20" t="s">
        <v>30</v>
      </c>
      <c r="B10" s="2">
        <f>'Ex(6an)'!B10</f>
        <v>0.6</v>
      </c>
    </row>
    <row r="11" spans="1:8" x14ac:dyDescent="0.3">
      <c r="A11" s="20" t="str">
        <f>"E(R"&amp;B9&amp;")"</f>
        <v>E(RB)</v>
      </c>
      <c r="B11" s="22">
        <f>'Ex(6an)'!B11</f>
        <v>0.09</v>
      </c>
    </row>
    <row r="12" spans="1:8" x14ac:dyDescent="0.3">
      <c r="A12" s="21" t="str">
        <f>"Reward To Risk Ratio =&gt; (E(R"&amp;B9&amp;") - Rf)/B"&amp;B9</f>
        <v>Reward To Risk Ratio =&gt; (E(RB) - Rf)/BB</v>
      </c>
      <c r="B12" s="30"/>
      <c r="C12" s="8" t="str">
        <f>IF(B12="","","Stock "&amp;B9&amp;" is offering a "&amp;TEXT(B12,"0.00%")&amp;" return for 1 unit of Systematic Risk. Since the Market Risk Premium is "&amp;B3&amp;", we can see that "&amp;B9&amp;" is offering a higher rate. In a competitive market the price of this stock should be bid up. In theory, this stock should be bid up until the return is equal to the return offered in the market.")</f>
        <v/>
      </c>
      <c r="D12" s="9"/>
      <c r="E12" s="9"/>
      <c r="F12" s="9"/>
      <c r="G12" s="9"/>
      <c r="H12" s="10"/>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J12"/>
  <sheetViews>
    <sheetView zoomScaleNormal="100" workbookViewId="0">
      <selection activeCell="B12" sqref="B12"/>
    </sheetView>
  </sheetViews>
  <sheetFormatPr defaultRowHeight="14.4" x14ac:dyDescent="0.3"/>
  <cols>
    <col min="1" max="1" width="39.33203125" customWidth="1"/>
    <col min="2" max="2" width="13.21875" customWidth="1"/>
    <col min="3" max="3" width="16.33203125" customWidth="1"/>
  </cols>
  <sheetData>
    <row r="1" spans="1:10" ht="31.2" x14ac:dyDescent="0.6">
      <c r="A1" s="54" t="s">
        <v>88</v>
      </c>
      <c r="B1" s="12"/>
    </row>
    <row r="2" spans="1:10" x14ac:dyDescent="0.3">
      <c r="A2" s="20" t="s">
        <v>31</v>
      </c>
      <c r="B2" s="23">
        <v>0.02</v>
      </c>
    </row>
    <row r="3" spans="1:10" x14ac:dyDescent="0.3">
      <c r="A3" s="20" t="s">
        <v>36</v>
      </c>
      <c r="B3" s="23">
        <f>0.11-B2</f>
        <v>0.09</v>
      </c>
      <c r="C3" s="63"/>
      <c r="D3" s="63"/>
      <c r="E3" s="63"/>
      <c r="F3" s="63"/>
      <c r="G3" s="63"/>
      <c r="H3" s="63"/>
      <c r="I3" s="63"/>
      <c r="J3" s="63"/>
    </row>
    <row r="4" spans="1:10" x14ac:dyDescent="0.3">
      <c r="A4" s="26" t="s">
        <v>110</v>
      </c>
      <c r="B4" s="26"/>
      <c r="J4" s="63"/>
    </row>
    <row r="5" spans="1:10" x14ac:dyDescent="0.3">
      <c r="A5" s="20" t="s">
        <v>19</v>
      </c>
      <c r="B5" s="2" t="s">
        <v>20</v>
      </c>
      <c r="J5" s="63"/>
    </row>
    <row r="6" spans="1:10" x14ac:dyDescent="0.3">
      <c r="A6" s="20" t="s">
        <v>30</v>
      </c>
      <c r="B6" s="2">
        <v>1.2</v>
      </c>
      <c r="J6" s="63"/>
    </row>
    <row r="7" spans="1:10" x14ac:dyDescent="0.3">
      <c r="A7" s="20" t="str">
        <f>"E(R"&amp;B5&amp;")"</f>
        <v>E(RA)</v>
      </c>
      <c r="B7" s="22">
        <v>0.125</v>
      </c>
      <c r="J7" s="63"/>
    </row>
    <row r="8" spans="1:10" ht="72" x14ac:dyDescent="0.3">
      <c r="A8" s="21" t="str">
        <f>"Reward To Risk Ratio =&gt; (E(R"&amp;B5&amp;") - Rf)/B"&amp;B5</f>
        <v>Reward To Risk Ratio =&gt; (E(RA) - Rf)/BA</v>
      </c>
      <c r="B8" s="30">
        <f>(B7-B2)/B6</f>
        <v>8.7499999999999994E-2</v>
      </c>
      <c r="C8" s="8" t="str">
        <f>"Stock "&amp;B5&amp;" is offering a "&amp;TEXT(B8,"0.00%")&amp;" return for 1 unit of Systematic Risk. Since the Market Risk Premium is "&amp;B3&amp;", we can see that "&amp;B5&amp;" is not offering a rate high enough. In a competitive market the price of this stock will be bid down. In theory, this stock will bid down until the return is equal to the return offered in the market."</f>
        <v>Stock A is offering a 8.75% return for 1 unit of Systematic Risk. Since the Market Risk Premium is 0.09, we can see that A is not offering a rate high enough. In a competitive market the price of this stock will be bid down. In theory, this stock will bid down until the return is equal to the return offered in the market.</v>
      </c>
      <c r="D8" s="9"/>
      <c r="E8" s="9"/>
      <c r="F8" s="9"/>
      <c r="G8" s="9"/>
      <c r="H8" s="10"/>
      <c r="I8" s="63"/>
      <c r="J8" s="63"/>
    </row>
    <row r="9" spans="1:10" x14ac:dyDescent="0.3">
      <c r="A9" s="20" t="s">
        <v>19</v>
      </c>
      <c r="B9" s="2" t="s">
        <v>21</v>
      </c>
      <c r="J9" s="63"/>
    </row>
    <row r="10" spans="1:10" x14ac:dyDescent="0.3">
      <c r="A10" s="20" t="s">
        <v>30</v>
      </c>
      <c r="B10" s="2">
        <v>0.6</v>
      </c>
      <c r="J10" s="63"/>
    </row>
    <row r="11" spans="1:10" x14ac:dyDescent="0.3">
      <c r="A11" s="20" t="str">
        <f>"E(R"&amp;B9&amp;")"</f>
        <v>E(RB)</v>
      </c>
      <c r="B11" s="22">
        <v>0.09</v>
      </c>
      <c r="J11" s="63"/>
    </row>
    <row r="12" spans="1:10" ht="72" x14ac:dyDescent="0.3">
      <c r="A12" s="21" t="str">
        <f>"Reward To Risk Ratio =&gt; (E(R"&amp;B9&amp;") - Rf)/B"&amp;B9</f>
        <v>Reward To Risk Ratio =&gt; (E(RB) - Rf)/BB</v>
      </c>
      <c r="B12" s="30">
        <f>(B11-B2)/B10</f>
        <v>0.11666666666666665</v>
      </c>
      <c r="C12" s="8" t="str">
        <f>"Stock "&amp;B9&amp;" is offering a "&amp;TEXT(B12,"0.00%")&amp;" return for 1 unit of Systematic Risk. Since the Market Risk Premium is "&amp;B3&amp;", we can see that "&amp;B9&amp;" is offering a higher rate. In a competitive market the price of this stock should be bid up. In theory, this stock should be bid up until the return is equal to the return offered in the market."</f>
        <v>Stock B is offering a 11.67% return for 1 unit of Systematic Risk. Since the Market Risk Premium is 0.09, we can see that B is offering a higher rate. In a competitive market the price of this stock should be bid up. In theory, this stock should be bid up until the return is equal to the return offered in the market.</v>
      </c>
      <c r="D12" s="9"/>
      <c r="E12" s="9"/>
      <c r="F12" s="9"/>
      <c r="G12" s="9"/>
      <c r="H12" s="10"/>
      <c r="I12" s="63"/>
      <c r="J12" s="6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00FF"/>
  </sheetPr>
  <dimension ref="A1:K57"/>
  <sheetViews>
    <sheetView zoomScale="110" zoomScaleNormal="110" workbookViewId="0">
      <selection activeCell="B8" sqref="B8"/>
    </sheetView>
  </sheetViews>
  <sheetFormatPr defaultRowHeight="14.4" x14ac:dyDescent="0.3"/>
  <cols>
    <col min="1" max="1" width="39.33203125" customWidth="1"/>
    <col min="2" max="2" width="16.109375" customWidth="1"/>
    <col min="3" max="3" width="16.33203125" customWidth="1"/>
  </cols>
  <sheetData>
    <row r="1" spans="1:11" ht="31.2" x14ac:dyDescent="0.6">
      <c r="A1" s="54" t="s">
        <v>89</v>
      </c>
      <c r="B1" s="12"/>
    </row>
    <row r="2" spans="1:11" x14ac:dyDescent="0.3">
      <c r="A2" s="20" t="str">
        <f>'Ex(6an)'!A2</f>
        <v>Rf</v>
      </c>
      <c r="B2" s="23">
        <f>'Ex(6an)'!B2</f>
        <v>0.02</v>
      </c>
    </row>
    <row r="3" spans="1:11" x14ac:dyDescent="0.3">
      <c r="A3" s="20" t="str">
        <f>'Ex(6an)'!A3</f>
        <v>Market Risk Premium = E(RM) - Rf</v>
      </c>
      <c r="B3" s="23">
        <f>'Ex(6an)'!B3</f>
        <v>0.09</v>
      </c>
    </row>
    <row r="4" spans="1:11" x14ac:dyDescent="0.3">
      <c r="A4" s="26" t="str">
        <f>'Ex(6an)'!A4</f>
        <v>Goal: Are stocks priced correctly?</v>
      </c>
      <c r="B4" s="26"/>
    </row>
    <row r="5" spans="1:11" x14ac:dyDescent="0.3">
      <c r="A5" s="20" t="s">
        <v>19</v>
      </c>
      <c r="B5" s="2" t="str">
        <f>'Ex(6an)'!B5</f>
        <v>A</v>
      </c>
    </row>
    <row r="6" spans="1:11" x14ac:dyDescent="0.3">
      <c r="A6" s="20" t="s">
        <v>30</v>
      </c>
      <c r="B6" s="2">
        <f>'Ex(6an)'!B6</f>
        <v>1.2</v>
      </c>
    </row>
    <row r="7" spans="1:11" x14ac:dyDescent="0.3">
      <c r="A7" s="20" t="str">
        <f>"E(R"&amp;B5&amp;")"</f>
        <v>E(RA)</v>
      </c>
      <c r="B7" s="22">
        <f>'Ex(6an)'!B7</f>
        <v>0.125</v>
      </c>
      <c r="K7" t="str">
        <f>K9&amp;CHAR(10)&amp;K8</f>
        <v>Beta of 1, asset should earn 2.00% + 9.00%*1 = 11.00%
Beta of 2, asset should earn 2.00% + 9.00%*2 = 20.00%</v>
      </c>
    </row>
    <row r="8" spans="1:11" x14ac:dyDescent="0.3">
      <c r="A8" s="21" t="str">
        <f>"CAPM =&gt; E(R"&amp;B5&amp;") = Rf + (E(RM)-Rf)*B"&amp;B5</f>
        <v>CAPM =&gt; E(RA) = Rf + (E(RM)-Rf)*BA</v>
      </c>
      <c r="B8" s="68"/>
      <c r="C8" s="8" t="str">
        <f>IF(B8="","","Expected Return using CAPM is higher than the Expected Return given. The Expected Return calculated using CAPM prices the risk (systematic risk)  at "&amp;TEXT(B8,"0.00%")&amp;". This means that the given rate of "&amp;TEXT(B7,"0.00%")&amp;" is below the SML, which means the stock is over valued - Low Rate / High Price. There is not enough reward for the given risk level. Not buying.")</f>
        <v/>
      </c>
      <c r="D8" s="9"/>
      <c r="E8" s="9"/>
      <c r="F8" s="9"/>
      <c r="G8" s="9"/>
      <c r="H8" s="10"/>
      <c r="J8">
        <v>2</v>
      </c>
      <c r="K8" t="str">
        <f>"Beta of "&amp;J8&amp;", asset should earn "&amp;TEXT($B$2,"0.00%")&amp;" + "&amp;TEXT($B$3,"0.00%")&amp;"*"&amp;J8&amp;" = "&amp;TEXT($B$3*J8+$B$2,"0.00%")</f>
        <v>Beta of 2, asset should earn 2.00% + 9.00%*2 = 20.00%</v>
      </c>
    </row>
    <row r="9" spans="1:11" x14ac:dyDescent="0.3">
      <c r="A9" s="20" t="s">
        <v>19</v>
      </c>
      <c r="B9" s="2" t="str">
        <f>'Ex(6an)'!B9</f>
        <v>B</v>
      </c>
      <c r="J9">
        <v>1</v>
      </c>
      <c r="K9" t="str">
        <f>"Beta of "&amp;J9&amp;", asset should earn "&amp;TEXT($B$2,"0.00%")&amp;" + "&amp;TEXT($B$3,"0.00%")&amp;"*"&amp;J9&amp;" = "&amp;TEXT($B$3*J9+$B$2,"0.00%")</f>
        <v>Beta of 1, asset should earn 2.00% + 9.00%*1 = 11.00%</v>
      </c>
    </row>
    <row r="10" spans="1:11" x14ac:dyDescent="0.3">
      <c r="A10" s="20" t="s">
        <v>30</v>
      </c>
      <c r="B10" s="2">
        <f>'Ex(6an)'!B10</f>
        <v>0.6</v>
      </c>
      <c r="K10" t="str">
        <f>"SML Slope = ("&amp;TEXT(B3,"0.00%")&amp;" Market Risk Premium) / (1 Beta) = 'going rate', given Rf = "&amp;TEXT(B2,"0.00%")&amp;"."</f>
        <v>SML Slope = (9.00% Market Risk Premium) / (1 Beta) = 'going rate', given Rf = 2.00%.</v>
      </c>
    </row>
    <row r="11" spans="1:11" x14ac:dyDescent="0.3">
      <c r="A11" s="20" t="str">
        <f>"E(R"&amp;B9&amp;")"</f>
        <v>E(RB)</v>
      </c>
      <c r="B11" s="22">
        <f>'Ex(6an)'!B11</f>
        <v>0.09</v>
      </c>
      <c r="K11" t="str">
        <f>"The given rate of "&amp;TEXT(B11,"0.00%")&amp;" is too high (above the SML) and therefore is priced too low - High Rate / Low Price."</f>
        <v>The given rate of 9.00% is too high (above the SML) and therefore is priced too low - High Rate / Low Price.</v>
      </c>
    </row>
    <row r="12" spans="1:11" x14ac:dyDescent="0.3">
      <c r="A12" s="21" t="str">
        <f>"CAPM =&gt; E(R"&amp;B9&amp;") = Rf + (E(RM)-Rf)*B"&amp;B9</f>
        <v>CAPM =&gt; E(RB) = Rf + (E(RM)-Rf)*BB</v>
      </c>
      <c r="B12" s="68"/>
      <c r="C12" s="8" t="str">
        <f>IF(B12="","","Expected Return using CAPM is lower than the Expected Return given. The Expected Return calculated using CAPM prices the risk (systematic risk) at "&amp;TEXT(B12,"0.00%")&amp;"."&amp;K11&amp;" "&amp;K12)</f>
        <v/>
      </c>
      <c r="D12" s="9"/>
      <c r="E12" s="9"/>
      <c r="F12" s="9"/>
      <c r="G12" s="9"/>
      <c r="H12" s="10"/>
      <c r="K12" t="s">
        <v>113</v>
      </c>
    </row>
    <row r="56" spans="2:2" x14ac:dyDescent="0.3">
      <c r="B56" s="58"/>
    </row>
    <row r="57" spans="2:2" x14ac:dyDescent="0.3">
      <c r="B57" s="58"/>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N57"/>
  <sheetViews>
    <sheetView zoomScale="55" zoomScaleNormal="55" workbookViewId="0">
      <selection activeCell="P23" sqref="P23"/>
    </sheetView>
  </sheetViews>
  <sheetFormatPr defaultRowHeight="14.4" x14ac:dyDescent="0.3"/>
  <cols>
    <col min="1" max="1" width="39.33203125" customWidth="1"/>
    <col min="2" max="2" width="13.21875" customWidth="1"/>
    <col min="3" max="3" width="16.33203125" customWidth="1"/>
  </cols>
  <sheetData>
    <row r="1" spans="1:14" ht="31.2" x14ac:dyDescent="0.6">
      <c r="A1" s="54" t="s">
        <v>89</v>
      </c>
      <c r="B1" s="12"/>
    </row>
    <row r="2" spans="1:14" x14ac:dyDescent="0.3">
      <c r="A2" s="20" t="str">
        <f>'Ex(6an)'!A2</f>
        <v>Rf</v>
      </c>
      <c r="B2" s="23">
        <f>'Ex(6an)'!B2</f>
        <v>0.02</v>
      </c>
    </row>
    <row r="3" spans="1:14" x14ac:dyDescent="0.3">
      <c r="A3" s="20" t="str">
        <f>'Ex(6an)'!A3</f>
        <v>Market Risk Premium = E(RM) - Rf</v>
      </c>
      <c r="B3" s="23">
        <f>'Ex(6an)'!B3</f>
        <v>0.09</v>
      </c>
    </row>
    <row r="4" spans="1:14" x14ac:dyDescent="0.3">
      <c r="A4" s="26" t="str">
        <f>'Ex(6an)'!A4</f>
        <v>Goal: Are stocks priced correctly?</v>
      </c>
      <c r="B4" s="26"/>
    </row>
    <row r="5" spans="1:14" x14ac:dyDescent="0.3">
      <c r="A5" s="20" t="s">
        <v>19</v>
      </c>
      <c r="B5" s="2" t="str">
        <f>'Ex(6an)'!B5</f>
        <v>A</v>
      </c>
    </row>
    <row r="6" spans="1:14" x14ac:dyDescent="0.3">
      <c r="A6" s="20" t="s">
        <v>30</v>
      </c>
      <c r="B6" s="2">
        <f>'Ex(6an)'!B6</f>
        <v>1.2</v>
      </c>
    </row>
    <row r="7" spans="1:14" x14ac:dyDescent="0.3">
      <c r="A7" s="20" t="str">
        <f>"E(R"&amp;B5&amp;")"</f>
        <v>E(RA)</v>
      </c>
      <c r="B7" s="22">
        <f>'Ex(6an)'!B7</f>
        <v>0.125</v>
      </c>
      <c r="K7" t="str">
        <f>K9&amp;CHAR(10)&amp;K8</f>
        <v>Beta of 1, asset should earn 2.00% + 9.00%*1 = 11.00%
Beta of 2, asset should earn 2.00% + 9.00%*2 = 20.00%</v>
      </c>
    </row>
    <row r="8" spans="1:14" ht="72" x14ac:dyDescent="0.3">
      <c r="A8" s="21" t="str">
        <f>"CAPM =&gt; E(R"&amp;B5&amp;") = Rf + (E(RM)-Rf)*B"&amp;B5</f>
        <v>CAPM =&gt; E(RA) = Rf + (E(RM)-Rf)*BA</v>
      </c>
      <c r="B8" s="30">
        <f>$B$2+$B$3*B6</f>
        <v>0.128</v>
      </c>
      <c r="C8" s="8" t="str">
        <f>IF(B8="","","Expected Return using CAPM is higher than the Expected Return given. The Expected Return calculated using CAMP prices the risk (systematic risk)  at "&amp;TEXT(B8,"0.00%")&amp;". This means that the given rate of "&amp;TEXT(B7,"0.00%")&amp;" is below the SML, which means the stock is over valued - Low Rate / High Price. There is not enough reward for the given risk level. Not buying.")</f>
        <v>Expected Return using CAPM is higher than the Expected Return given. The Expected Return calculated using CAMP prices the risk (systematic risk)  at 12.80%. This means that the given rate of 12.50% is below the SML, which means the stock is over valued - Low Rate / High Price. There is not enough reward for the given risk level. Not buying.</v>
      </c>
      <c r="D8" s="9"/>
      <c r="E8" s="9"/>
      <c r="F8" s="9"/>
      <c r="G8" s="9"/>
      <c r="H8" s="10"/>
      <c r="J8">
        <v>2</v>
      </c>
      <c r="K8" t="str">
        <f>"Beta of "&amp;J8&amp;", asset should earn "&amp;TEXT($B$2,"0.00%")&amp;" + "&amp;TEXT($B$3,"0.00%")&amp;"*"&amp;J8&amp;" = "&amp;TEXT($B$3*J8+$B$2,"0.00%")</f>
        <v>Beta of 2, asset should earn 2.00% + 9.00%*2 = 20.00%</v>
      </c>
    </row>
    <row r="9" spans="1:14" x14ac:dyDescent="0.3">
      <c r="A9" s="20" t="s">
        <v>19</v>
      </c>
      <c r="B9" s="2" t="str">
        <f>'Ex(6an)'!B9</f>
        <v>B</v>
      </c>
      <c r="J9">
        <v>1</v>
      </c>
      <c r="K9" t="str">
        <f>"Beta of "&amp;J9&amp;", asset should earn "&amp;TEXT($B$2,"0.00%")&amp;" + "&amp;TEXT($B$3,"0.00%")&amp;"*"&amp;J9&amp;" = "&amp;TEXT($B$3*J9+$B$2,"0.00%")</f>
        <v>Beta of 1, asset should earn 2.00% + 9.00%*1 = 11.00%</v>
      </c>
    </row>
    <row r="10" spans="1:14" x14ac:dyDescent="0.3">
      <c r="A10" s="20" t="s">
        <v>30</v>
      </c>
      <c r="B10" s="2">
        <f>'Ex(6an)'!B10</f>
        <v>0.6</v>
      </c>
      <c r="K10" t="str">
        <f>"SML Slope = ("&amp;TEXT(B3,"0.00%")&amp;" Market Risk Premium) / (1 Beta) = 'going rate', given Rf = "&amp;TEXT(B2,"0.00%")&amp;"."</f>
        <v>SML Slope = (9.00% Market Risk Premium) / (1 Beta) = 'going rate', given Rf = 2.00%.</v>
      </c>
    </row>
    <row r="11" spans="1:14" x14ac:dyDescent="0.3">
      <c r="A11" s="20" t="str">
        <f>"E(R"&amp;B9&amp;")"</f>
        <v>E(RB)</v>
      </c>
      <c r="B11" s="22">
        <f>'Ex(6an)'!B11</f>
        <v>0.09</v>
      </c>
      <c r="K11" t="str">
        <f>"The given rate of "&amp;TEXT(B11,"0.00%")&amp;" is too high (above the SML) and therefore is priced too low - High Rate / Low Price."</f>
        <v>The given rate of 9.00% is too high (above the SML) and therefore is priced too low - High Rate / Low Price.</v>
      </c>
    </row>
    <row r="12" spans="1:14" ht="86.4" x14ac:dyDescent="0.3">
      <c r="A12" s="21" t="str">
        <f>"CAPM =&gt; E(R"&amp;B9&amp;") = Rf + (E(RM)-Rf)*B"&amp;B9</f>
        <v>CAPM =&gt; E(RB) = Rf + (E(RM)-Rf)*BB</v>
      </c>
      <c r="B12" s="30">
        <f>$B$2+$B$3*B10</f>
        <v>7.3999999999999996E-2</v>
      </c>
      <c r="C12" s="8" t="str">
        <f>IF(B12="","","Expected Return using CAPM is lower than the Expected Return given. The Expected Return calculated using CAPM prices the risk (systematic risk) at "&amp;TEXT(B12,"0.00%")&amp;"."&amp;K11&amp;" "&amp;K12)</f>
        <v xml:space="preserve">Expected Return using CAPM is lower than the Expected Return given. The Expected Return calculated using CAPM prices the risk (systematic risk) at 7.40%.The given rate of 9.00% is too high (above the SML) and therefore is priced too low - High Rate / Low Price. There is more reward than the model suggests there should be at the given risk level. If we believed our model, we would buy. </v>
      </c>
      <c r="D12" s="9"/>
      <c r="E12" s="9"/>
      <c r="F12" s="9"/>
      <c r="G12" s="9"/>
      <c r="H12" s="10"/>
      <c r="K12" t="s">
        <v>113</v>
      </c>
    </row>
    <row r="16" spans="1:14" x14ac:dyDescent="0.3">
      <c r="A16" t="s">
        <v>30</v>
      </c>
      <c r="B16" t="s">
        <v>114</v>
      </c>
      <c r="C16" t="s">
        <v>115</v>
      </c>
      <c r="D16" t="s">
        <v>116</v>
      </c>
      <c r="E16" t="s">
        <v>117</v>
      </c>
      <c r="F16" t="s">
        <v>118</v>
      </c>
      <c r="G16" t="s">
        <v>115</v>
      </c>
      <c r="H16" t="s">
        <v>116</v>
      </c>
      <c r="I16" t="s">
        <v>117</v>
      </c>
      <c r="J16" t="s">
        <v>118</v>
      </c>
      <c r="K16" t="s">
        <v>133</v>
      </c>
      <c r="L16" t="s">
        <v>134</v>
      </c>
      <c r="M16" t="s">
        <v>135</v>
      </c>
      <c r="N16" t="s">
        <v>136</v>
      </c>
    </row>
    <row r="17" spans="1:14" x14ac:dyDescent="0.3">
      <c r="A17">
        <v>0</v>
      </c>
      <c r="B17" s="58">
        <f>$B$2+$B$3*A17</f>
        <v>0.02</v>
      </c>
      <c r="C17">
        <v>1</v>
      </c>
      <c r="D17">
        <v>0</v>
      </c>
      <c r="E17">
        <f>A17</f>
        <v>0</v>
      </c>
      <c r="F17" s="58">
        <f t="shared" ref="F17:F27" si="0">+$B$3+$B$2</f>
        <v>0.11</v>
      </c>
      <c r="G17">
        <v>2</v>
      </c>
      <c r="H17">
        <v>0</v>
      </c>
      <c r="I17">
        <f>A17</f>
        <v>0</v>
      </c>
      <c r="J17" s="58">
        <f>$B$37</f>
        <v>0.19999999999999998</v>
      </c>
      <c r="K17">
        <f>B6</f>
        <v>1.2</v>
      </c>
      <c r="L17" s="58">
        <f>B7</f>
        <v>0.125</v>
      </c>
      <c r="M17">
        <f>B10</f>
        <v>0.6</v>
      </c>
      <c r="N17" s="58">
        <f>B11</f>
        <v>0.09</v>
      </c>
    </row>
    <row r="18" spans="1:14" x14ac:dyDescent="0.3">
      <c r="A18">
        <v>0.1</v>
      </c>
      <c r="B18" s="58">
        <f t="shared" ref="B18:B46" si="1">$B$2+$B$3*A18</f>
        <v>2.8999999999999998E-2</v>
      </c>
      <c r="C18">
        <v>1</v>
      </c>
      <c r="D18">
        <f t="shared" ref="D18:D28" si="2">B17</f>
        <v>0.02</v>
      </c>
      <c r="E18">
        <f t="shared" ref="E18:E27" si="3">A18</f>
        <v>0.1</v>
      </c>
      <c r="F18" s="58">
        <f t="shared" si="0"/>
        <v>0.11</v>
      </c>
      <c r="G18">
        <v>2</v>
      </c>
      <c r="H18" s="58">
        <f>B17</f>
        <v>0.02</v>
      </c>
      <c r="I18">
        <f t="shared" ref="I18:I37" si="4">A18</f>
        <v>0.1</v>
      </c>
      <c r="J18" s="58">
        <f t="shared" ref="J18:J37" si="5">$B$37</f>
        <v>0.19999999999999998</v>
      </c>
    </row>
    <row r="19" spans="1:14" x14ac:dyDescent="0.3">
      <c r="A19">
        <v>0.2</v>
      </c>
      <c r="B19" s="58">
        <f t="shared" si="1"/>
        <v>3.7999999999999999E-2</v>
      </c>
      <c r="C19">
        <v>1</v>
      </c>
      <c r="D19">
        <f t="shared" si="2"/>
        <v>2.8999999999999998E-2</v>
      </c>
      <c r="E19">
        <f t="shared" si="3"/>
        <v>0.2</v>
      </c>
      <c r="F19" s="58">
        <f t="shared" si="0"/>
        <v>0.11</v>
      </c>
      <c r="G19">
        <v>2</v>
      </c>
      <c r="H19" s="58">
        <f t="shared" ref="H19:H38" si="6">B18</f>
        <v>2.8999999999999998E-2</v>
      </c>
      <c r="I19">
        <f t="shared" si="4"/>
        <v>0.2</v>
      </c>
      <c r="J19" s="58">
        <f t="shared" si="5"/>
        <v>0.19999999999999998</v>
      </c>
    </row>
    <row r="20" spans="1:14" x14ac:dyDescent="0.3">
      <c r="A20">
        <v>0.3</v>
      </c>
      <c r="B20" s="58">
        <f t="shared" si="1"/>
        <v>4.7E-2</v>
      </c>
      <c r="C20">
        <v>1</v>
      </c>
      <c r="D20">
        <f t="shared" si="2"/>
        <v>3.7999999999999999E-2</v>
      </c>
      <c r="E20">
        <f t="shared" si="3"/>
        <v>0.3</v>
      </c>
      <c r="F20" s="58">
        <f t="shared" si="0"/>
        <v>0.11</v>
      </c>
      <c r="G20">
        <v>2</v>
      </c>
      <c r="H20" s="58">
        <f t="shared" si="6"/>
        <v>3.7999999999999999E-2</v>
      </c>
      <c r="I20">
        <f t="shared" si="4"/>
        <v>0.3</v>
      </c>
      <c r="J20" s="58">
        <f t="shared" si="5"/>
        <v>0.19999999999999998</v>
      </c>
    </row>
    <row r="21" spans="1:14" x14ac:dyDescent="0.3">
      <c r="A21">
        <v>0.4</v>
      </c>
      <c r="B21" s="58">
        <f t="shared" si="1"/>
        <v>5.5999999999999994E-2</v>
      </c>
      <c r="C21">
        <v>1</v>
      </c>
      <c r="D21">
        <f t="shared" si="2"/>
        <v>4.7E-2</v>
      </c>
      <c r="E21">
        <f t="shared" si="3"/>
        <v>0.4</v>
      </c>
      <c r="F21" s="58">
        <f t="shared" si="0"/>
        <v>0.11</v>
      </c>
      <c r="G21">
        <v>2</v>
      </c>
      <c r="H21" s="58">
        <f t="shared" si="6"/>
        <v>4.7E-2</v>
      </c>
      <c r="I21">
        <f t="shared" si="4"/>
        <v>0.4</v>
      </c>
      <c r="J21" s="58">
        <f t="shared" si="5"/>
        <v>0.19999999999999998</v>
      </c>
    </row>
    <row r="22" spans="1:14" x14ac:dyDescent="0.3">
      <c r="A22">
        <v>0.5</v>
      </c>
      <c r="B22" s="58">
        <f t="shared" si="1"/>
        <v>6.5000000000000002E-2</v>
      </c>
      <c r="C22">
        <v>1</v>
      </c>
      <c r="D22">
        <f t="shared" si="2"/>
        <v>5.5999999999999994E-2</v>
      </c>
      <c r="E22">
        <f t="shared" si="3"/>
        <v>0.5</v>
      </c>
      <c r="F22" s="58">
        <f t="shared" si="0"/>
        <v>0.11</v>
      </c>
      <c r="G22">
        <v>2</v>
      </c>
      <c r="H22" s="58">
        <f t="shared" si="6"/>
        <v>5.5999999999999994E-2</v>
      </c>
      <c r="I22">
        <f t="shared" si="4"/>
        <v>0.5</v>
      </c>
      <c r="J22" s="58">
        <f t="shared" si="5"/>
        <v>0.19999999999999998</v>
      </c>
    </row>
    <row r="23" spans="1:14" x14ac:dyDescent="0.3">
      <c r="A23">
        <v>0.6</v>
      </c>
      <c r="B23" s="58">
        <f t="shared" si="1"/>
        <v>7.3999999999999996E-2</v>
      </c>
      <c r="C23">
        <v>1</v>
      </c>
      <c r="D23">
        <f t="shared" si="2"/>
        <v>6.5000000000000002E-2</v>
      </c>
      <c r="E23">
        <f t="shared" si="3"/>
        <v>0.6</v>
      </c>
      <c r="F23" s="58">
        <f t="shared" si="0"/>
        <v>0.11</v>
      </c>
      <c r="G23">
        <v>2</v>
      </c>
      <c r="H23" s="58">
        <f t="shared" si="6"/>
        <v>6.5000000000000002E-2</v>
      </c>
      <c r="I23">
        <f t="shared" si="4"/>
        <v>0.6</v>
      </c>
      <c r="J23" s="58">
        <f t="shared" si="5"/>
        <v>0.19999999999999998</v>
      </c>
    </row>
    <row r="24" spans="1:14" x14ac:dyDescent="0.3">
      <c r="A24">
        <v>0.7</v>
      </c>
      <c r="B24" s="58">
        <f t="shared" si="1"/>
        <v>8.3000000000000004E-2</v>
      </c>
      <c r="C24">
        <v>1</v>
      </c>
      <c r="D24">
        <f t="shared" si="2"/>
        <v>7.3999999999999996E-2</v>
      </c>
      <c r="E24">
        <f t="shared" si="3"/>
        <v>0.7</v>
      </c>
      <c r="F24" s="58">
        <f t="shared" si="0"/>
        <v>0.11</v>
      </c>
      <c r="G24">
        <v>2</v>
      </c>
      <c r="H24" s="58">
        <f t="shared" si="6"/>
        <v>7.3999999999999996E-2</v>
      </c>
      <c r="I24">
        <f t="shared" si="4"/>
        <v>0.7</v>
      </c>
      <c r="J24" s="58">
        <f t="shared" si="5"/>
        <v>0.19999999999999998</v>
      </c>
    </row>
    <row r="25" spans="1:14" x14ac:dyDescent="0.3">
      <c r="A25">
        <v>0.8</v>
      </c>
      <c r="B25" s="58">
        <f t="shared" si="1"/>
        <v>9.1999999999999998E-2</v>
      </c>
      <c r="C25">
        <v>1</v>
      </c>
      <c r="D25">
        <f t="shared" si="2"/>
        <v>8.3000000000000004E-2</v>
      </c>
      <c r="E25">
        <f t="shared" si="3"/>
        <v>0.8</v>
      </c>
      <c r="F25" s="58">
        <f t="shared" si="0"/>
        <v>0.11</v>
      </c>
      <c r="G25">
        <v>2</v>
      </c>
      <c r="H25" s="58">
        <f t="shared" si="6"/>
        <v>8.3000000000000004E-2</v>
      </c>
      <c r="I25">
        <f t="shared" si="4"/>
        <v>0.8</v>
      </c>
      <c r="J25" s="58">
        <f t="shared" si="5"/>
        <v>0.19999999999999998</v>
      </c>
    </row>
    <row r="26" spans="1:14" x14ac:dyDescent="0.3">
      <c r="A26">
        <v>0.9</v>
      </c>
      <c r="B26" s="58">
        <f t="shared" si="1"/>
        <v>0.10100000000000001</v>
      </c>
      <c r="C26">
        <v>1</v>
      </c>
      <c r="D26">
        <f t="shared" si="2"/>
        <v>9.1999999999999998E-2</v>
      </c>
      <c r="E26">
        <f t="shared" si="3"/>
        <v>0.9</v>
      </c>
      <c r="F26" s="58">
        <f t="shared" si="0"/>
        <v>0.11</v>
      </c>
      <c r="G26">
        <v>2</v>
      </c>
      <c r="H26" s="58">
        <f t="shared" si="6"/>
        <v>9.1999999999999998E-2</v>
      </c>
      <c r="I26">
        <f t="shared" si="4"/>
        <v>0.9</v>
      </c>
      <c r="J26" s="58">
        <f t="shared" si="5"/>
        <v>0.19999999999999998</v>
      </c>
    </row>
    <row r="27" spans="1:14" x14ac:dyDescent="0.3">
      <c r="A27">
        <v>1</v>
      </c>
      <c r="B27" s="58">
        <f t="shared" si="1"/>
        <v>0.11</v>
      </c>
      <c r="C27">
        <v>1</v>
      </c>
      <c r="D27">
        <f t="shared" si="2"/>
        <v>0.10100000000000001</v>
      </c>
      <c r="E27">
        <f t="shared" si="3"/>
        <v>1</v>
      </c>
      <c r="F27" s="58">
        <f t="shared" si="0"/>
        <v>0.11</v>
      </c>
      <c r="G27">
        <v>2</v>
      </c>
      <c r="H27" s="58">
        <f t="shared" si="6"/>
        <v>0.10100000000000001</v>
      </c>
      <c r="I27">
        <f t="shared" si="4"/>
        <v>1</v>
      </c>
      <c r="J27" s="58">
        <f t="shared" si="5"/>
        <v>0.19999999999999998</v>
      </c>
    </row>
    <row r="28" spans="1:14" x14ac:dyDescent="0.3">
      <c r="A28">
        <v>1.1000000000000001</v>
      </c>
      <c r="B28" s="58">
        <f t="shared" si="1"/>
        <v>0.11900000000000001</v>
      </c>
      <c r="C28">
        <v>1</v>
      </c>
      <c r="D28">
        <f t="shared" si="2"/>
        <v>0.11</v>
      </c>
      <c r="G28">
        <v>2</v>
      </c>
      <c r="H28" s="58">
        <f t="shared" si="6"/>
        <v>0.11</v>
      </c>
      <c r="I28">
        <f t="shared" si="4"/>
        <v>1.1000000000000001</v>
      </c>
      <c r="J28" s="58">
        <f t="shared" si="5"/>
        <v>0.19999999999999998</v>
      </c>
    </row>
    <row r="29" spans="1:14" x14ac:dyDescent="0.3">
      <c r="A29">
        <v>1.2</v>
      </c>
      <c r="B29" s="58">
        <f t="shared" si="1"/>
        <v>0.128</v>
      </c>
      <c r="G29">
        <v>2</v>
      </c>
      <c r="H29" s="58">
        <f t="shared" si="6"/>
        <v>0.11900000000000001</v>
      </c>
      <c r="I29">
        <f t="shared" si="4"/>
        <v>1.2</v>
      </c>
      <c r="J29" s="58">
        <f t="shared" si="5"/>
        <v>0.19999999999999998</v>
      </c>
    </row>
    <row r="30" spans="1:14" x14ac:dyDescent="0.3">
      <c r="A30">
        <v>1.3</v>
      </c>
      <c r="B30" s="58">
        <f t="shared" si="1"/>
        <v>0.13699999999999998</v>
      </c>
      <c r="G30">
        <v>2</v>
      </c>
      <c r="H30" s="58">
        <f t="shared" si="6"/>
        <v>0.128</v>
      </c>
      <c r="I30">
        <f t="shared" si="4"/>
        <v>1.3</v>
      </c>
      <c r="J30" s="58">
        <f t="shared" si="5"/>
        <v>0.19999999999999998</v>
      </c>
    </row>
    <row r="31" spans="1:14" x14ac:dyDescent="0.3">
      <c r="A31">
        <v>1.4</v>
      </c>
      <c r="B31" s="58">
        <f t="shared" si="1"/>
        <v>0.14599999999999999</v>
      </c>
      <c r="G31">
        <v>2</v>
      </c>
      <c r="H31" s="58">
        <f t="shared" si="6"/>
        <v>0.13699999999999998</v>
      </c>
      <c r="I31">
        <f t="shared" si="4"/>
        <v>1.4</v>
      </c>
      <c r="J31" s="58">
        <f t="shared" si="5"/>
        <v>0.19999999999999998</v>
      </c>
    </row>
    <row r="32" spans="1:14" x14ac:dyDescent="0.3">
      <c r="A32">
        <v>1.5</v>
      </c>
      <c r="B32" s="58">
        <f t="shared" si="1"/>
        <v>0.155</v>
      </c>
      <c r="G32">
        <v>2</v>
      </c>
      <c r="H32" s="58">
        <f t="shared" si="6"/>
        <v>0.14599999999999999</v>
      </c>
      <c r="I32">
        <f t="shared" si="4"/>
        <v>1.5</v>
      </c>
      <c r="J32" s="58">
        <f t="shared" si="5"/>
        <v>0.19999999999999998</v>
      </c>
    </row>
    <row r="33" spans="1:10" x14ac:dyDescent="0.3">
      <c r="A33">
        <v>1.6</v>
      </c>
      <c r="B33" s="58">
        <f t="shared" si="1"/>
        <v>0.16399999999999998</v>
      </c>
      <c r="G33">
        <v>2</v>
      </c>
      <c r="H33" s="58">
        <f t="shared" si="6"/>
        <v>0.155</v>
      </c>
      <c r="I33">
        <f t="shared" si="4"/>
        <v>1.6</v>
      </c>
      <c r="J33" s="58">
        <f t="shared" si="5"/>
        <v>0.19999999999999998</v>
      </c>
    </row>
    <row r="34" spans="1:10" x14ac:dyDescent="0.3">
      <c r="A34">
        <v>1.7</v>
      </c>
      <c r="B34" s="58">
        <f t="shared" si="1"/>
        <v>0.17299999999999999</v>
      </c>
      <c r="G34">
        <v>2</v>
      </c>
      <c r="H34" s="58">
        <f t="shared" si="6"/>
        <v>0.16399999999999998</v>
      </c>
      <c r="I34">
        <f t="shared" si="4"/>
        <v>1.7</v>
      </c>
      <c r="J34" s="58">
        <f t="shared" si="5"/>
        <v>0.19999999999999998</v>
      </c>
    </row>
    <row r="35" spans="1:10" x14ac:dyDescent="0.3">
      <c r="A35">
        <v>1.8</v>
      </c>
      <c r="B35" s="58">
        <f t="shared" si="1"/>
        <v>0.182</v>
      </c>
      <c r="G35">
        <v>2</v>
      </c>
      <c r="H35" s="58">
        <f t="shared" si="6"/>
        <v>0.17299999999999999</v>
      </c>
      <c r="I35">
        <f t="shared" si="4"/>
        <v>1.8</v>
      </c>
      <c r="J35" s="58">
        <f t="shared" si="5"/>
        <v>0.19999999999999998</v>
      </c>
    </row>
    <row r="36" spans="1:10" x14ac:dyDescent="0.3">
      <c r="A36">
        <v>1.9</v>
      </c>
      <c r="B36" s="58">
        <f t="shared" si="1"/>
        <v>0.19099999999999998</v>
      </c>
      <c r="G36">
        <v>2</v>
      </c>
      <c r="H36" s="58">
        <f t="shared" si="6"/>
        <v>0.182</v>
      </c>
      <c r="I36">
        <f t="shared" si="4"/>
        <v>1.9</v>
      </c>
      <c r="J36" s="58">
        <f t="shared" si="5"/>
        <v>0.19999999999999998</v>
      </c>
    </row>
    <row r="37" spans="1:10" x14ac:dyDescent="0.3">
      <c r="A37">
        <v>2</v>
      </c>
      <c r="B37" s="58">
        <f t="shared" si="1"/>
        <v>0.19999999999999998</v>
      </c>
      <c r="G37">
        <v>2</v>
      </c>
      <c r="H37" s="58">
        <f t="shared" si="6"/>
        <v>0.19099999999999998</v>
      </c>
      <c r="I37">
        <f t="shared" si="4"/>
        <v>2</v>
      </c>
      <c r="J37" s="58">
        <f t="shared" si="5"/>
        <v>0.19999999999999998</v>
      </c>
    </row>
    <row r="38" spans="1:10" x14ac:dyDescent="0.3">
      <c r="A38">
        <v>2.1</v>
      </c>
      <c r="B38" s="58">
        <f t="shared" si="1"/>
        <v>0.20899999999999999</v>
      </c>
      <c r="G38">
        <v>2</v>
      </c>
      <c r="H38" s="58">
        <f t="shared" si="6"/>
        <v>0.19999999999999998</v>
      </c>
      <c r="J38" s="58"/>
    </row>
    <row r="39" spans="1:10" x14ac:dyDescent="0.3">
      <c r="A39">
        <v>2.2000000000000002</v>
      </c>
      <c r="B39" s="58">
        <f t="shared" si="1"/>
        <v>0.218</v>
      </c>
      <c r="J39" s="58"/>
    </row>
    <row r="40" spans="1:10" x14ac:dyDescent="0.3">
      <c r="A40">
        <v>2.2999999999999998</v>
      </c>
      <c r="B40" s="58">
        <f t="shared" si="1"/>
        <v>0.22699999999999998</v>
      </c>
      <c r="J40" s="58"/>
    </row>
    <row r="41" spans="1:10" x14ac:dyDescent="0.3">
      <c r="A41">
        <v>2.4</v>
      </c>
      <c r="B41" s="58">
        <f t="shared" si="1"/>
        <v>0.23599999999999999</v>
      </c>
      <c r="J41" s="58"/>
    </row>
    <row r="42" spans="1:10" x14ac:dyDescent="0.3">
      <c r="A42">
        <v>2.5</v>
      </c>
      <c r="B42" s="58">
        <f t="shared" si="1"/>
        <v>0.24499999999999997</v>
      </c>
      <c r="J42" s="58"/>
    </row>
    <row r="43" spans="1:10" x14ac:dyDescent="0.3">
      <c r="A43">
        <v>2.6</v>
      </c>
      <c r="B43" s="58">
        <f t="shared" si="1"/>
        <v>0.254</v>
      </c>
      <c r="J43" s="58"/>
    </row>
    <row r="44" spans="1:10" x14ac:dyDescent="0.3">
      <c r="A44">
        <v>2.7</v>
      </c>
      <c r="B44" s="58">
        <f t="shared" si="1"/>
        <v>0.26300000000000001</v>
      </c>
      <c r="J44" s="58"/>
    </row>
    <row r="45" spans="1:10" x14ac:dyDescent="0.3">
      <c r="A45">
        <v>2.8</v>
      </c>
      <c r="B45" s="58">
        <f t="shared" si="1"/>
        <v>0.27200000000000002</v>
      </c>
      <c r="J45" s="58"/>
    </row>
    <row r="46" spans="1:10" x14ac:dyDescent="0.3">
      <c r="A46">
        <v>2.9</v>
      </c>
      <c r="B46" s="58">
        <f t="shared" si="1"/>
        <v>0.28100000000000003</v>
      </c>
      <c r="J46" s="58"/>
    </row>
    <row r="47" spans="1:10" x14ac:dyDescent="0.3">
      <c r="A47">
        <v>3</v>
      </c>
      <c r="B47" s="58">
        <f>$B$2+$B$3*A47</f>
        <v>0.29000000000000004</v>
      </c>
      <c r="J47" s="58"/>
    </row>
    <row r="48" spans="1:10" x14ac:dyDescent="0.3">
      <c r="B48" s="58"/>
    </row>
    <row r="49" spans="2:2" x14ac:dyDescent="0.3">
      <c r="B49" s="58"/>
    </row>
    <row r="50" spans="2:2" x14ac:dyDescent="0.3">
      <c r="B50" s="58"/>
    </row>
    <row r="51" spans="2:2" x14ac:dyDescent="0.3">
      <c r="B51" s="58"/>
    </row>
    <row r="52" spans="2:2" x14ac:dyDescent="0.3">
      <c r="B52" s="58"/>
    </row>
    <row r="53" spans="2:2" x14ac:dyDescent="0.3">
      <c r="B53" s="58"/>
    </row>
    <row r="54" spans="2:2" x14ac:dyDescent="0.3">
      <c r="B54" s="58"/>
    </row>
    <row r="55" spans="2:2" x14ac:dyDescent="0.3">
      <c r="B55" s="58"/>
    </row>
    <row r="56" spans="2:2" x14ac:dyDescent="0.3">
      <c r="B56" s="58"/>
    </row>
    <row r="57" spans="2:2" x14ac:dyDescent="0.3">
      <c r="B57" s="58"/>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00FF"/>
  </sheetPr>
  <dimension ref="A1:H17"/>
  <sheetViews>
    <sheetView zoomScale="115" zoomScaleNormal="115" workbookViewId="0">
      <selection activeCell="C6" sqref="C6"/>
    </sheetView>
  </sheetViews>
  <sheetFormatPr defaultRowHeight="14.4" x14ac:dyDescent="0.3"/>
  <cols>
    <col min="1" max="1" width="19.21875" customWidth="1"/>
    <col min="2" max="2" width="13.21875" customWidth="1"/>
    <col min="3" max="3" width="22.6640625" bestFit="1" customWidth="1"/>
  </cols>
  <sheetData>
    <row r="1" spans="1:8" ht="36" x14ac:dyDescent="0.8">
      <c r="A1" s="62" t="s">
        <v>125</v>
      </c>
      <c r="B1" s="26"/>
      <c r="C1" s="62"/>
      <c r="D1" s="26"/>
      <c r="E1" s="62"/>
    </row>
    <row r="2" spans="1:8" x14ac:dyDescent="0.3">
      <c r="A2" s="20" t="str">
        <f>'Ex(6an)'!A2</f>
        <v>Rf</v>
      </c>
      <c r="B2" s="23">
        <f>'Ex(6an)'!B2</f>
        <v>0.02</v>
      </c>
    </row>
    <row r="3" spans="1:8" ht="28.8" x14ac:dyDescent="0.3">
      <c r="A3" s="20" t="str">
        <f>'Ex(6an)'!A3</f>
        <v>Market Risk Premium = E(RM) - Rf</v>
      </c>
      <c r="B3" s="23">
        <f>'Ex(6an)'!B3</f>
        <v>0.09</v>
      </c>
      <c r="C3" s="63"/>
      <c r="D3" s="63"/>
      <c r="E3" s="63"/>
      <c r="F3" s="63"/>
      <c r="G3" s="63"/>
    </row>
    <row r="4" spans="1:8" x14ac:dyDescent="0.3">
      <c r="G4" s="63"/>
    </row>
    <row r="5" spans="1:8" x14ac:dyDescent="0.3">
      <c r="A5" s="12" t="s">
        <v>19</v>
      </c>
      <c r="B5" s="12" t="s">
        <v>30</v>
      </c>
      <c r="C5" s="12" t="s">
        <v>128</v>
      </c>
      <c r="G5" s="63"/>
    </row>
    <row r="6" spans="1:8" x14ac:dyDescent="0.3">
      <c r="A6" s="2" t="s">
        <v>20</v>
      </c>
      <c r="B6" s="2">
        <v>-0.5</v>
      </c>
      <c r="C6" s="60"/>
      <c r="G6" s="63"/>
    </row>
    <row r="7" spans="1:8" x14ac:dyDescent="0.3">
      <c r="A7" s="2" t="s">
        <v>21</v>
      </c>
      <c r="B7" s="2">
        <v>0.5</v>
      </c>
      <c r="C7" s="60"/>
      <c r="G7" s="63"/>
    </row>
    <row r="8" spans="1:8" ht="15.6" x14ac:dyDescent="0.35">
      <c r="A8" s="2" t="s">
        <v>28</v>
      </c>
      <c r="B8" s="2">
        <v>1</v>
      </c>
      <c r="C8" s="60"/>
      <c r="G8" t="s">
        <v>157</v>
      </c>
    </row>
    <row r="9" spans="1:8" x14ac:dyDescent="0.3">
      <c r="A9" s="2" t="s">
        <v>92</v>
      </c>
      <c r="B9" s="2">
        <v>1.5</v>
      </c>
      <c r="C9" s="60"/>
      <c r="D9" s="63" t="s">
        <v>129</v>
      </c>
      <c r="E9" s="63"/>
      <c r="G9" s="5"/>
      <c r="H9" t="s">
        <v>131</v>
      </c>
    </row>
    <row r="10" spans="1:8" x14ac:dyDescent="0.3">
      <c r="A10" s="2" t="s">
        <v>124</v>
      </c>
      <c r="B10" s="2">
        <v>2</v>
      </c>
      <c r="C10" s="60"/>
      <c r="E10" s="63"/>
    </row>
    <row r="11" spans="1:8" x14ac:dyDescent="0.3">
      <c r="E11" s="63"/>
    </row>
    <row r="12" spans="1:8" ht="15.6" x14ac:dyDescent="0.35">
      <c r="A12" s="2" t="s">
        <v>130</v>
      </c>
      <c r="B12" s="22">
        <v>0.14499999999999999</v>
      </c>
      <c r="C12" s="63"/>
      <c r="D12" s="63"/>
      <c r="E12" s="63"/>
      <c r="F12" t="s">
        <v>132</v>
      </c>
    </row>
    <row r="14" spans="1:8" ht="28.8" x14ac:dyDescent="0.3">
      <c r="A14" s="8" t="str">
        <f>"Market thinks Stock "&amp;A9&amp;" should be at "&amp;TEXT(C9,"0.00%")&amp;". If your calculations of E(R"&amp;A9&amp;") shows "&amp;TEXT(B12,"0.00%")&amp;", would you buy?"</f>
        <v>Market thinks Stock D should be at 0.00%. If your calculations of E(RD) shows 14.50%, would you buy?</v>
      </c>
      <c r="B14" s="9"/>
      <c r="C14" s="9"/>
      <c r="D14" s="9"/>
      <c r="E14" s="10"/>
    </row>
    <row r="15" spans="1:8" x14ac:dyDescent="0.3">
      <c r="A15" s="8" t="s">
        <v>126</v>
      </c>
      <c r="B15" s="9"/>
      <c r="C15" s="9"/>
      <c r="D15" s="9"/>
      <c r="E15" s="10"/>
    </row>
    <row r="16" spans="1:8" ht="28.8" x14ac:dyDescent="0.3">
      <c r="A16" s="8" t="s">
        <v>127</v>
      </c>
      <c r="B16" s="9"/>
      <c r="C16" s="9"/>
      <c r="D16" s="9"/>
      <c r="E16" s="10"/>
    </row>
    <row r="17" spans="1:5" x14ac:dyDescent="0.3">
      <c r="A17" s="8"/>
      <c r="B17" s="9"/>
      <c r="C17" s="9"/>
      <c r="D17" s="9"/>
      <c r="E17" s="10"/>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J17"/>
  <sheetViews>
    <sheetView zoomScale="115" zoomScaleNormal="115" workbookViewId="0">
      <selection activeCell="J6" sqref="J6"/>
    </sheetView>
  </sheetViews>
  <sheetFormatPr defaultRowHeight="14.4" x14ac:dyDescent="0.3"/>
  <cols>
    <col min="1" max="1" width="19.21875" customWidth="1"/>
    <col min="2" max="2" width="13.21875" customWidth="1"/>
    <col min="3" max="3" width="22.6640625" bestFit="1" customWidth="1"/>
    <col min="10" max="10" width="22.6640625" bestFit="1" customWidth="1"/>
  </cols>
  <sheetData>
    <row r="1" spans="1:10" ht="36" x14ac:dyDescent="0.8">
      <c r="A1" s="62" t="s">
        <v>125</v>
      </c>
      <c r="B1" s="26"/>
      <c r="C1" s="62"/>
      <c r="D1" s="26"/>
      <c r="E1" s="62"/>
    </row>
    <row r="2" spans="1:10" x14ac:dyDescent="0.3">
      <c r="A2" s="20" t="str">
        <f>'Ex(6an)'!A2</f>
        <v>Rf</v>
      </c>
      <c r="B2" s="23">
        <f>'Ex(6an)'!B2</f>
        <v>0.02</v>
      </c>
    </row>
    <row r="3" spans="1:10" ht="28.8" x14ac:dyDescent="0.3">
      <c r="A3" s="20" t="str">
        <f>'Ex(6an)'!A3</f>
        <v>Market Risk Premium = E(RM) - Rf</v>
      </c>
      <c r="B3" s="23">
        <f>'Ex(6an)'!B3</f>
        <v>0.09</v>
      </c>
      <c r="C3" s="63"/>
      <c r="D3" s="63"/>
      <c r="E3" s="63"/>
      <c r="F3" s="63"/>
      <c r="G3" s="63"/>
    </row>
    <row r="4" spans="1:10" x14ac:dyDescent="0.3">
      <c r="G4" s="63"/>
    </row>
    <row r="5" spans="1:10" x14ac:dyDescent="0.3">
      <c r="A5" s="12" t="s">
        <v>19</v>
      </c>
      <c r="B5" s="12" t="s">
        <v>30</v>
      </c>
      <c r="C5" s="12" t="s">
        <v>128</v>
      </c>
      <c r="G5" s="63"/>
      <c r="J5" s="12" t="s">
        <v>128</v>
      </c>
    </row>
    <row r="6" spans="1:10" x14ac:dyDescent="0.3">
      <c r="A6" s="2" t="s">
        <v>20</v>
      </c>
      <c r="B6" s="2">
        <v>-0.5</v>
      </c>
      <c r="C6" s="60">
        <f>B6*$B$3+$B$2</f>
        <v>-2.4999999999999998E-2</v>
      </c>
      <c r="G6" s="63"/>
      <c r="J6" s="60" cm="1">
        <f t="array" ref="J6:J10">B2+B3*B6:B10</f>
        <v>-2.4999999999999998E-2</v>
      </c>
    </row>
    <row r="7" spans="1:10" x14ac:dyDescent="0.3">
      <c r="A7" s="2" t="s">
        <v>21</v>
      </c>
      <c r="B7" s="2">
        <v>0.5</v>
      </c>
      <c r="C7" s="60">
        <f>B7*$B$3+$B$2</f>
        <v>6.5000000000000002E-2</v>
      </c>
      <c r="G7" s="63"/>
      <c r="J7" s="60">
        <v>6.5000000000000002E-2</v>
      </c>
    </row>
    <row r="8" spans="1:10" x14ac:dyDescent="0.3">
      <c r="A8" s="2" t="s">
        <v>28</v>
      </c>
      <c r="B8" s="2">
        <v>1</v>
      </c>
      <c r="C8" s="59">
        <f>B8*$B$3+$B$2</f>
        <v>0.11</v>
      </c>
      <c r="G8" t="s">
        <v>88</v>
      </c>
      <c r="J8" s="59">
        <v>0.11</v>
      </c>
    </row>
    <row r="9" spans="1:10" x14ac:dyDescent="0.3">
      <c r="A9" s="2" t="s">
        <v>92</v>
      </c>
      <c r="B9" s="2">
        <v>1.5</v>
      </c>
      <c r="C9" s="60">
        <f>B9*$B$3+$B$2</f>
        <v>0.155</v>
      </c>
      <c r="D9" s="63" t="s">
        <v>129</v>
      </c>
      <c r="E9" s="63"/>
      <c r="G9" s="5">
        <f>(B12-B2)/B9</f>
        <v>8.3333333333333329E-2</v>
      </c>
      <c r="H9" t="s">
        <v>131</v>
      </c>
      <c r="J9" s="60">
        <v>0.155</v>
      </c>
    </row>
    <row r="10" spans="1:10" x14ac:dyDescent="0.3">
      <c r="A10" s="2" t="s">
        <v>124</v>
      </c>
      <c r="B10" s="2">
        <v>2</v>
      </c>
      <c r="C10" s="61">
        <f>B10*$B$3+$B$2</f>
        <v>0.19999999999999998</v>
      </c>
      <c r="E10" s="63"/>
      <c r="J10" s="61">
        <v>0.19999999999999998</v>
      </c>
    </row>
    <row r="11" spans="1:10" x14ac:dyDescent="0.3">
      <c r="E11" s="63"/>
    </row>
    <row r="12" spans="1:10" ht="15.6" x14ac:dyDescent="0.35">
      <c r="A12" s="2" t="s">
        <v>130</v>
      </c>
      <c r="B12" s="22">
        <v>0.14499999999999999</v>
      </c>
      <c r="C12" s="63"/>
      <c r="D12" s="63"/>
      <c r="E12" s="63"/>
      <c r="F12" t="s">
        <v>132</v>
      </c>
    </row>
    <row r="14" spans="1:10" ht="28.8" x14ac:dyDescent="0.3">
      <c r="A14" s="8" t="str">
        <f>"Market thinks Stock "&amp;A9&amp;" should be at "&amp;TEXT(C9,"0.00%")&amp;". If your calculations of E(R"&amp;A9&amp;") shows "&amp;TEXT(B12,"0.00%")&amp;", would you buy?"</f>
        <v>Market thinks Stock D should be at 15.50%. If your calculations of E(RD) shows 14.50%, would you buy?</v>
      </c>
      <c r="B14" s="9"/>
      <c r="C14" s="9"/>
      <c r="D14" s="9"/>
      <c r="E14" s="10"/>
    </row>
    <row r="15" spans="1:10" x14ac:dyDescent="0.3">
      <c r="A15" s="8" t="s">
        <v>126</v>
      </c>
      <c r="B15" s="9"/>
      <c r="C15" s="9"/>
      <c r="D15" s="9"/>
      <c r="E15" s="10"/>
    </row>
    <row r="16" spans="1:10" ht="28.8" x14ac:dyDescent="0.3">
      <c r="A16" s="8" t="s">
        <v>127</v>
      </c>
      <c r="B16" s="9"/>
      <c r="C16" s="9"/>
      <c r="D16" s="9"/>
      <c r="E16" s="10"/>
    </row>
    <row r="17" spans="1:5" x14ac:dyDescent="0.3">
      <c r="A17" s="8"/>
      <c r="B17" s="9"/>
      <c r="C17" s="9"/>
      <c r="D17" s="9"/>
      <c r="E17" s="10"/>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L186"/>
  <sheetViews>
    <sheetView topLeftCell="A6" zoomScale="40" zoomScaleNormal="40" workbookViewId="0">
      <selection activeCell="F21" sqref="F21"/>
    </sheetView>
  </sheetViews>
  <sheetFormatPr defaultRowHeight="14.4" x14ac:dyDescent="0.3"/>
  <cols>
    <col min="1" max="1" width="10.77734375" bestFit="1" customWidth="1"/>
    <col min="2" max="2" width="40.33203125" customWidth="1"/>
    <col min="3" max="3" width="13.33203125" bestFit="1" customWidth="1"/>
    <col min="4" max="4" width="11.21875" bestFit="1" customWidth="1"/>
    <col min="5" max="5" width="13.33203125" bestFit="1" customWidth="1"/>
    <col min="6" max="6" width="10.77734375" bestFit="1" customWidth="1"/>
    <col min="7" max="7" width="6.109375" bestFit="1" customWidth="1"/>
    <col min="9" max="12" width="16.77734375" customWidth="1"/>
  </cols>
  <sheetData>
    <row r="1" spans="1:5" x14ac:dyDescent="0.3">
      <c r="A1" s="34" t="s">
        <v>54</v>
      </c>
      <c r="B1" s="34"/>
      <c r="C1" s="34"/>
    </row>
    <row r="2" spans="1:5" ht="58.8" x14ac:dyDescent="0.65">
      <c r="A2" s="35" t="s">
        <v>55</v>
      </c>
      <c r="B2" s="35"/>
      <c r="C2" s="35"/>
    </row>
    <row r="3" spans="1:5" ht="15.6" x14ac:dyDescent="0.35">
      <c r="A3" s="36" t="s">
        <v>56</v>
      </c>
      <c r="B3" s="2" t="s">
        <v>57</v>
      </c>
      <c r="C3" s="2"/>
    </row>
    <row r="4" spans="1:5" ht="15.6" x14ac:dyDescent="0.35">
      <c r="A4" s="36" t="s">
        <v>58</v>
      </c>
      <c r="B4" s="2" t="s">
        <v>59</v>
      </c>
      <c r="C4" s="2"/>
    </row>
    <row r="5" spans="1:5" ht="15.6" x14ac:dyDescent="0.35">
      <c r="A5" s="36" t="s">
        <v>60</v>
      </c>
      <c r="B5" s="2" t="s">
        <v>61</v>
      </c>
      <c r="C5" s="2"/>
    </row>
    <row r="6" spans="1:5" ht="15.6" x14ac:dyDescent="0.35">
      <c r="A6" s="36" t="s">
        <v>62</v>
      </c>
      <c r="B6" s="2" t="s">
        <v>63</v>
      </c>
      <c r="C6" s="2"/>
    </row>
    <row r="7" spans="1:5" ht="15.6" x14ac:dyDescent="0.35">
      <c r="A7" s="36" t="s">
        <v>64</v>
      </c>
      <c r="B7" s="2" t="s">
        <v>65</v>
      </c>
      <c r="C7" s="2"/>
    </row>
    <row r="8" spans="1:5" ht="15.6" x14ac:dyDescent="0.35">
      <c r="A8" s="37" t="s">
        <v>66</v>
      </c>
      <c r="B8" s="2" t="s">
        <v>67</v>
      </c>
      <c r="C8" s="2"/>
    </row>
    <row r="10" spans="1:5" x14ac:dyDescent="0.3">
      <c r="B10" s="2" t="s">
        <v>50</v>
      </c>
      <c r="C10" s="5">
        <f>AVERAGE(C28:C186)</f>
        <v>2.1623851520322815E-3</v>
      </c>
      <c r="E10" s="5">
        <f>AVERAGE(E28:E186)</f>
        <v>1.9571608804311112E-3</v>
      </c>
    </row>
    <row r="11" spans="1:5" x14ac:dyDescent="0.3">
      <c r="B11" s="2" t="s">
        <v>51</v>
      </c>
      <c r="C11" s="5">
        <f>SUMPRODUCT(GEOMEAN(C28:C186+1))-1</f>
        <v>-6.3263629596932436E-4</v>
      </c>
      <c r="E11" s="5">
        <f>SUMPRODUCT(GEOMEAN(E28:E186+1))-1</f>
        <v>1.2628284718070315E-3</v>
      </c>
    </row>
    <row r="12" spans="1:5" x14ac:dyDescent="0.3">
      <c r="B12" s="2" t="s">
        <v>52</v>
      </c>
      <c r="C12" s="5">
        <f>AVERAGE(C10:C11)</f>
        <v>7.6487442803147856E-4</v>
      </c>
      <c r="E12" s="5">
        <f>AVERAGE(E10:E11)</f>
        <v>1.6099946761190713E-3</v>
      </c>
    </row>
    <row r="13" spans="1:5" x14ac:dyDescent="0.3">
      <c r="B13" s="2" t="s">
        <v>53</v>
      </c>
      <c r="C13" s="5">
        <f>C12*52</f>
        <v>3.9773470257636882E-2</v>
      </c>
      <c r="E13" s="5">
        <f>E12*52</f>
        <v>8.3719723158191706E-2</v>
      </c>
    </row>
    <row r="14" spans="1:5" x14ac:dyDescent="0.3">
      <c r="B14" s="2" t="s">
        <v>31</v>
      </c>
      <c r="C14" s="5">
        <f>[1]Case!B4</f>
        <v>1.6000000000000001E-3</v>
      </c>
    </row>
    <row r="15" spans="1:5" x14ac:dyDescent="0.3">
      <c r="B15" s="2" t="s">
        <v>68</v>
      </c>
      <c r="C15" s="5">
        <f>COUNT(C28:C186)</f>
        <v>159</v>
      </c>
    </row>
    <row r="16" spans="1:5" ht="15.6" x14ac:dyDescent="0.35">
      <c r="B16" s="2" t="s">
        <v>69</v>
      </c>
      <c r="C16" s="5">
        <f>AVERAGE(C28:C186)</f>
        <v>2.1623851520322815E-3</v>
      </c>
    </row>
    <row r="17" spans="1:12" x14ac:dyDescent="0.3">
      <c r="B17" s="2" t="s">
        <v>72</v>
      </c>
      <c r="C17" s="5">
        <f>INTERCEPT(C28:C186,E28:E186)</f>
        <v>3.5790331101655162E-5</v>
      </c>
    </row>
    <row r="18" spans="1:12" x14ac:dyDescent="0.3">
      <c r="B18" s="2" t="s">
        <v>73</v>
      </c>
      <c r="C18" s="5">
        <f>SLOPE(C28:C186,E28:E186)</f>
        <v>1.0865712891533952</v>
      </c>
    </row>
    <row r="19" spans="1:12" x14ac:dyDescent="0.3">
      <c r="B19" s="2" t="s">
        <v>74</v>
      </c>
      <c r="C19" s="5">
        <f>STEYX(C28:C186,E28:E186)</f>
        <v>6.2527918478833031E-2</v>
      </c>
    </row>
    <row r="20" spans="1:12" x14ac:dyDescent="0.3">
      <c r="B20" s="2" t="s">
        <v>74</v>
      </c>
      <c r="C20" s="5">
        <f>SQRT(SUMPRODUCT((J28:J186)^2)/(C15-2))</f>
        <v>6.2527918478833072E-2</v>
      </c>
      <c r="D20" t="s">
        <v>81</v>
      </c>
    </row>
    <row r="21" spans="1:12" x14ac:dyDescent="0.3">
      <c r="B21" s="2" t="s">
        <v>79</v>
      </c>
      <c r="C21" s="5">
        <f>SQRT(SUMPRODUCT((K28:K186)^2)/(C15-2))</f>
        <v>7.4927850777708818E-2</v>
      </c>
      <c r="D21" t="s">
        <v>82</v>
      </c>
    </row>
    <row r="22" spans="1:12" x14ac:dyDescent="0.3">
      <c r="B22" s="2" t="s">
        <v>80</v>
      </c>
      <c r="C22" s="5">
        <f>SQRT(SUMPRODUCT((L28:L186)^2)/(C15-2))</f>
        <v>4.1284891096756086E-2</v>
      </c>
      <c r="D22" t="s">
        <v>83</v>
      </c>
    </row>
    <row r="23" spans="1:12" x14ac:dyDescent="0.3">
      <c r="B23" s="2"/>
      <c r="C23" s="5"/>
    </row>
    <row r="26" spans="1:12" ht="45.6" x14ac:dyDescent="0.35">
      <c r="A26" s="12" t="s">
        <v>46</v>
      </c>
      <c r="B26" s="12" t="s">
        <v>48</v>
      </c>
      <c r="C26" s="12" t="s">
        <v>70</v>
      </c>
      <c r="D26" s="12" t="s">
        <v>49</v>
      </c>
      <c r="E26" s="12" t="s">
        <v>71</v>
      </c>
      <c r="F26" s="12" t="s">
        <v>46</v>
      </c>
      <c r="G26" s="12"/>
      <c r="I26" s="38" t="s">
        <v>75</v>
      </c>
      <c r="J26" s="38" t="s">
        <v>76</v>
      </c>
      <c r="K26" s="38" t="s">
        <v>77</v>
      </c>
      <c r="L26" s="38" t="s">
        <v>78</v>
      </c>
    </row>
    <row r="27" spans="1:12" x14ac:dyDescent="0.3">
      <c r="A27" s="33">
        <v>40504</v>
      </c>
      <c r="B27" s="2">
        <v>47.01</v>
      </c>
      <c r="C27" s="2"/>
      <c r="D27" s="2">
        <v>1189.4000000000001</v>
      </c>
      <c r="E27" s="2"/>
      <c r="F27" s="33">
        <v>40504</v>
      </c>
      <c r="G27" s="2" t="b">
        <f>F27=A27</f>
        <v>1</v>
      </c>
      <c r="I27" s="2"/>
      <c r="J27" s="2"/>
      <c r="K27" s="2"/>
      <c r="L27" s="2"/>
    </row>
    <row r="28" spans="1:12" x14ac:dyDescent="0.3">
      <c r="A28" s="33">
        <v>40497</v>
      </c>
      <c r="B28" s="2">
        <v>45.71</v>
      </c>
      <c r="C28" s="5">
        <f>B28/B27-1</f>
        <v>-2.7653690704105505E-2</v>
      </c>
      <c r="D28" s="2">
        <v>1199.73</v>
      </c>
      <c r="E28" s="5">
        <f>D28/D27-1</f>
        <v>8.685051286362766E-3</v>
      </c>
      <c r="F28" s="33">
        <v>40497</v>
      </c>
      <c r="G28" s="2" t="b">
        <f t="shared" ref="G28:G91" si="0">F28=A28</f>
        <v>1</v>
      </c>
      <c r="I28" s="2">
        <f>$C$17+$C$18*E28</f>
        <v>9.4727177036882E-3</v>
      </c>
      <c r="J28" s="2">
        <f>C28-I28</f>
        <v>-3.7126408407793701E-2</v>
      </c>
      <c r="K28" s="2">
        <f>C28-$C$10</f>
        <v>-2.9816075856137787E-2</v>
      </c>
      <c r="L28" s="2">
        <f>I28-$C$10</f>
        <v>7.3103325516559181E-3</v>
      </c>
    </row>
    <row r="29" spans="1:12" x14ac:dyDescent="0.3">
      <c r="A29" s="33">
        <v>40490</v>
      </c>
      <c r="B29" s="2">
        <v>46.86</v>
      </c>
      <c r="C29" s="5">
        <f t="shared" ref="C29:C92" si="1">B29/B28-1</f>
        <v>2.5158608619558098E-2</v>
      </c>
      <c r="D29" s="2">
        <v>1199.21</v>
      </c>
      <c r="E29" s="5">
        <f t="shared" ref="E29:E92" si="2">D29/D28-1</f>
        <v>-4.3343085527580705E-4</v>
      </c>
      <c r="F29" s="33">
        <v>40490</v>
      </c>
      <c r="G29" s="2" t="b">
        <f t="shared" si="0"/>
        <v>1</v>
      </c>
      <c r="I29" s="2">
        <f t="shared" ref="I29:I92" si="3">$C$17+$C$18*E29</f>
        <v>-4.3516319207423718E-4</v>
      </c>
      <c r="J29" s="2">
        <f t="shared" ref="J29:J92" si="4">C29-I29</f>
        <v>2.5593771811632336E-2</v>
      </c>
      <c r="K29" s="2">
        <f t="shared" ref="K29:K92" si="5">C29-$C$10</f>
        <v>2.2996223467525816E-2</v>
      </c>
      <c r="L29" s="2">
        <f t="shared" ref="L29:L92" si="6">I29-$C$10</f>
        <v>-2.5975483441065188E-3</v>
      </c>
    </row>
    <row r="30" spans="1:12" x14ac:dyDescent="0.3">
      <c r="A30" s="33">
        <v>40483</v>
      </c>
      <c r="B30" s="2">
        <v>45.49</v>
      </c>
      <c r="C30" s="5">
        <f t="shared" si="1"/>
        <v>-2.923602219376864E-2</v>
      </c>
      <c r="D30" s="2">
        <v>1225.8499999999999</v>
      </c>
      <c r="E30" s="5">
        <f t="shared" si="2"/>
        <v>2.221462462787982E-2</v>
      </c>
      <c r="F30" s="33">
        <v>40483</v>
      </c>
      <c r="G30" s="2" t="b">
        <f t="shared" si="0"/>
        <v>1</v>
      </c>
      <c r="I30" s="2">
        <f t="shared" si="3"/>
        <v>2.4173563651075793E-2</v>
      </c>
      <c r="J30" s="2">
        <f t="shared" si="4"/>
        <v>-5.3409585844844433E-2</v>
      </c>
      <c r="K30" s="2">
        <f t="shared" si="5"/>
        <v>-3.1398407345800919E-2</v>
      </c>
      <c r="L30" s="2">
        <f t="shared" si="6"/>
        <v>2.2011178499043511E-2</v>
      </c>
    </row>
    <row r="31" spans="1:12" x14ac:dyDescent="0.3">
      <c r="A31" s="33">
        <v>40476</v>
      </c>
      <c r="B31" s="2">
        <v>39.75</v>
      </c>
      <c r="C31" s="5">
        <f t="shared" si="1"/>
        <v>-0.12618157836887234</v>
      </c>
      <c r="D31" s="2">
        <v>1183.26</v>
      </c>
      <c r="E31" s="5">
        <f t="shared" si="2"/>
        <v>-3.4743239384916524E-2</v>
      </c>
      <c r="F31" s="33">
        <v>40476</v>
      </c>
      <c r="G31" s="2" t="b">
        <f t="shared" si="0"/>
        <v>1</v>
      </c>
      <c r="I31" s="2">
        <f t="shared" si="3"/>
        <v>-3.771521607673211E-2</v>
      </c>
      <c r="J31" s="2">
        <f t="shared" si="4"/>
        <v>-8.8466362292140222E-2</v>
      </c>
      <c r="K31" s="2">
        <f t="shared" si="5"/>
        <v>-0.12834396352090463</v>
      </c>
      <c r="L31" s="2">
        <f t="shared" si="6"/>
        <v>-3.9877601228764388E-2</v>
      </c>
    </row>
    <row r="32" spans="1:12" x14ac:dyDescent="0.3">
      <c r="A32" s="33">
        <v>40469</v>
      </c>
      <c r="B32" s="2">
        <v>39.89</v>
      </c>
      <c r="C32" s="5">
        <f t="shared" si="1"/>
        <v>3.5220125786163958E-3</v>
      </c>
      <c r="D32" s="2">
        <v>1183.08</v>
      </c>
      <c r="E32" s="5">
        <f t="shared" si="2"/>
        <v>-1.5212210334170084E-4</v>
      </c>
      <c r="F32" s="33">
        <v>40469</v>
      </c>
      <c r="G32" s="2" t="b">
        <f t="shared" si="0"/>
        <v>1</v>
      </c>
      <c r="I32" s="2">
        <f t="shared" si="3"/>
        <v>-1.2950117883506272E-4</v>
      </c>
      <c r="J32" s="2">
        <f t="shared" si="4"/>
        <v>3.6515137574514587E-3</v>
      </c>
      <c r="K32" s="2">
        <f t="shared" si="5"/>
        <v>1.3596274265841144E-3</v>
      </c>
      <c r="L32" s="2">
        <f t="shared" si="6"/>
        <v>-2.2918863308673443E-3</v>
      </c>
    </row>
    <row r="33" spans="1:12" x14ac:dyDescent="0.3">
      <c r="A33" s="33">
        <v>40462</v>
      </c>
      <c r="B33" s="2">
        <v>38.299999999999997</v>
      </c>
      <c r="C33" s="5">
        <f t="shared" si="1"/>
        <v>-3.9859613938330485E-2</v>
      </c>
      <c r="D33" s="2">
        <v>1176.19</v>
      </c>
      <c r="E33" s="5">
        <f t="shared" si="2"/>
        <v>-5.8237819927645651E-3</v>
      </c>
      <c r="F33" s="33">
        <v>40462</v>
      </c>
      <c r="G33" s="2" t="b">
        <f t="shared" si="0"/>
        <v>1</v>
      </c>
      <c r="I33" s="2">
        <f t="shared" si="3"/>
        <v>-6.2921639765248678E-3</v>
      </c>
      <c r="J33" s="2">
        <f t="shared" si="4"/>
        <v>-3.356744996180562E-2</v>
      </c>
      <c r="K33" s="2">
        <f t="shared" si="5"/>
        <v>-4.2021999090362763E-2</v>
      </c>
      <c r="L33" s="2">
        <f t="shared" si="6"/>
        <v>-8.4545491285571497E-3</v>
      </c>
    </row>
    <row r="34" spans="1:12" x14ac:dyDescent="0.3">
      <c r="A34" s="33">
        <v>40455</v>
      </c>
      <c r="B34" s="2">
        <v>34.57</v>
      </c>
      <c r="C34" s="5">
        <f t="shared" si="1"/>
        <v>-9.7389033942558711E-2</v>
      </c>
      <c r="D34" s="2">
        <v>1165.1500000000001</v>
      </c>
      <c r="E34" s="5">
        <f t="shared" si="2"/>
        <v>-9.3862386179103252E-3</v>
      </c>
      <c r="F34" s="33">
        <v>40455</v>
      </c>
      <c r="G34" s="2" t="b">
        <f t="shared" si="0"/>
        <v>1</v>
      </c>
      <c r="I34" s="2">
        <f t="shared" si="3"/>
        <v>-1.0163027064262548E-2</v>
      </c>
      <c r="J34" s="2">
        <f t="shared" si="4"/>
        <v>-8.7226006878296167E-2</v>
      </c>
      <c r="K34" s="2">
        <f t="shared" si="5"/>
        <v>-9.955141909459099E-2</v>
      </c>
      <c r="L34" s="2">
        <f t="shared" si="6"/>
        <v>-1.232541221629483E-2</v>
      </c>
    </row>
    <row r="35" spans="1:12" x14ac:dyDescent="0.3">
      <c r="A35" s="33">
        <v>40448</v>
      </c>
      <c r="B35" s="2">
        <v>37.07</v>
      </c>
      <c r="C35" s="5">
        <f t="shared" si="1"/>
        <v>7.23170378941278E-2</v>
      </c>
      <c r="D35" s="2">
        <v>1146.24</v>
      </c>
      <c r="E35" s="5">
        <f t="shared" si="2"/>
        <v>-1.6229669999570984E-2</v>
      </c>
      <c r="F35" s="33">
        <v>40448</v>
      </c>
      <c r="G35" s="2" t="b">
        <f t="shared" si="0"/>
        <v>1</v>
      </c>
      <c r="I35" s="2">
        <f t="shared" si="3"/>
        <v>-1.7598903122866372E-2</v>
      </c>
      <c r="J35" s="2">
        <f t="shared" si="4"/>
        <v>8.9915941016994169E-2</v>
      </c>
      <c r="K35" s="2">
        <f t="shared" si="5"/>
        <v>7.0154652742095522E-2</v>
      </c>
      <c r="L35" s="2">
        <f t="shared" si="6"/>
        <v>-1.9761288274898654E-2</v>
      </c>
    </row>
    <row r="36" spans="1:12" x14ac:dyDescent="0.3">
      <c r="A36" s="33">
        <v>40441</v>
      </c>
      <c r="B36" s="2">
        <v>37.07</v>
      </c>
      <c r="C36" s="5">
        <f t="shared" si="1"/>
        <v>0</v>
      </c>
      <c r="D36" s="2">
        <v>1148.67</v>
      </c>
      <c r="E36" s="5">
        <f t="shared" si="2"/>
        <v>2.1199748743718771E-3</v>
      </c>
      <c r="F36" s="33">
        <v>40441</v>
      </c>
      <c r="G36" s="2" t="b">
        <f t="shared" si="0"/>
        <v>1</v>
      </c>
      <c r="I36" s="2">
        <f t="shared" si="3"/>
        <v>2.3392941633207129E-3</v>
      </c>
      <c r="J36" s="2">
        <f t="shared" si="4"/>
        <v>-2.3392941633207129E-3</v>
      </c>
      <c r="K36" s="2">
        <f t="shared" si="5"/>
        <v>-2.1623851520322815E-3</v>
      </c>
      <c r="L36" s="2">
        <f t="shared" si="6"/>
        <v>1.7690901128843139E-4</v>
      </c>
    </row>
    <row r="37" spans="1:12" x14ac:dyDescent="0.3">
      <c r="A37" s="33">
        <v>40434</v>
      </c>
      <c r="B37" s="2">
        <v>37.090000000000003</v>
      </c>
      <c r="C37" s="5">
        <f t="shared" si="1"/>
        <v>5.3951982735367388E-4</v>
      </c>
      <c r="D37" s="2">
        <v>1125.5899999999999</v>
      </c>
      <c r="E37" s="5">
        <f t="shared" si="2"/>
        <v>-2.009280298083882E-2</v>
      </c>
      <c r="F37" s="33">
        <v>40434</v>
      </c>
      <c r="G37" s="2" t="b">
        <f t="shared" si="0"/>
        <v>1</v>
      </c>
      <c r="I37" s="2">
        <f t="shared" si="3"/>
        <v>-2.1796472506493563E-2</v>
      </c>
      <c r="J37" s="2">
        <f t="shared" si="4"/>
        <v>2.2335992333847237E-2</v>
      </c>
      <c r="K37" s="2">
        <f t="shared" si="5"/>
        <v>-1.6228653246786076E-3</v>
      </c>
      <c r="L37" s="2">
        <f t="shared" si="6"/>
        <v>-2.3958857658525845E-2</v>
      </c>
    </row>
    <row r="38" spans="1:12" x14ac:dyDescent="0.3">
      <c r="A38" s="33">
        <v>40428</v>
      </c>
      <c r="B38" s="2">
        <v>35.47</v>
      </c>
      <c r="C38" s="5">
        <f t="shared" si="1"/>
        <v>-4.3677541116203922E-2</v>
      </c>
      <c r="D38" s="2">
        <v>1109.55</v>
      </c>
      <c r="E38" s="5">
        <f t="shared" si="2"/>
        <v>-1.4250304284863957E-2</v>
      </c>
      <c r="F38" s="33">
        <v>40428</v>
      </c>
      <c r="G38" s="2" t="b">
        <f t="shared" si="0"/>
        <v>1</v>
      </c>
      <c r="I38" s="2">
        <f t="shared" si="3"/>
        <v>-1.5448181166531126E-2</v>
      </c>
      <c r="J38" s="2">
        <f t="shared" si="4"/>
        <v>-2.8229359949672794E-2</v>
      </c>
      <c r="K38" s="2">
        <f t="shared" si="5"/>
        <v>-4.58399262682362E-2</v>
      </c>
      <c r="L38" s="2">
        <f t="shared" si="6"/>
        <v>-1.7610566318563406E-2</v>
      </c>
    </row>
    <row r="39" spans="1:12" x14ac:dyDescent="0.3">
      <c r="A39" s="33">
        <v>40420</v>
      </c>
      <c r="B39" s="2">
        <v>36.659999999999997</v>
      </c>
      <c r="C39" s="5">
        <f t="shared" si="1"/>
        <v>3.354947843247813E-2</v>
      </c>
      <c r="D39" s="2">
        <v>1104.51</v>
      </c>
      <c r="E39" s="5">
        <f t="shared" si="2"/>
        <v>-4.5423820467757059E-3</v>
      </c>
      <c r="F39" s="33">
        <v>40420</v>
      </c>
      <c r="G39" s="2" t="b">
        <f t="shared" si="0"/>
        <v>1</v>
      </c>
      <c r="I39" s="2">
        <f t="shared" si="3"/>
        <v>-4.8998315852906617E-3</v>
      </c>
      <c r="J39" s="2">
        <f t="shared" si="4"/>
        <v>3.8449310017768794E-2</v>
      </c>
      <c r="K39" s="2">
        <f t="shared" si="5"/>
        <v>3.1387093280445852E-2</v>
      </c>
      <c r="L39" s="2">
        <f t="shared" si="6"/>
        <v>-7.0622167373229437E-3</v>
      </c>
    </row>
    <row r="40" spans="1:12" x14ac:dyDescent="0.3">
      <c r="A40" s="33">
        <v>40413</v>
      </c>
      <c r="B40" s="2">
        <v>35.700000000000003</v>
      </c>
      <c r="C40" s="5">
        <f t="shared" si="1"/>
        <v>-2.6186579378068564E-2</v>
      </c>
      <c r="D40" s="2">
        <v>1064.5899999999999</v>
      </c>
      <c r="E40" s="5">
        <f t="shared" si="2"/>
        <v>-3.6142723922825581E-2</v>
      </c>
      <c r="F40" s="33">
        <v>40413</v>
      </c>
      <c r="G40" s="2" t="b">
        <f t="shared" si="0"/>
        <v>1</v>
      </c>
      <c r="I40" s="2">
        <f t="shared" si="3"/>
        <v>-3.9235855795238195E-2</v>
      </c>
      <c r="J40" s="2">
        <f t="shared" si="4"/>
        <v>1.3049276417169631E-2</v>
      </c>
      <c r="K40" s="2">
        <f t="shared" si="5"/>
        <v>-2.8348964530100846E-2</v>
      </c>
      <c r="L40" s="2">
        <f t="shared" si="6"/>
        <v>-4.1398240947270473E-2</v>
      </c>
    </row>
    <row r="41" spans="1:12" x14ac:dyDescent="0.3">
      <c r="A41" s="33">
        <v>40406</v>
      </c>
      <c r="B41" s="2">
        <v>36.72</v>
      </c>
      <c r="C41" s="5">
        <f t="shared" si="1"/>
        <v>2.857142857142847E-2</v>
      </c>
      <c r="D41" s="2">
        <v>1071.69</v>
      </c>
      <c r="E41" s="5">
        <f t="shared" si="2"/>
        <v>6.6692341652656584E-3</v>
      </c>
      <c r="F41" s="33">
        <v>40406</v>
      </c>
      <c r="G41" s="2" t="b">
        <f t="shared" si="0"/>
        <v>1</v>
      </c>
      <c r="I41" s="2">
        <f t="shared" si="3"/>
        <v>7.2823886957202287E-3</v>
      </c>
      <c r="J41" s="2">
        <f t="shared" si="4"/>
        <v>2.1289039875708241E-2</v>
      </c>
      <c r="K41" s="2">
        <f t="shared" si="5"/>
        <v>2.6409043419396188E-2</v>
      </c>
      <c r="L41" s="2">
        <f t="shared" si="6"/>
        <v>5.1200035436879468E-3</v>
      </c>
    </row>
    <row r="42" spans="1:12" x14ac:dyDescent="0.3">
      <c r="A42" s="33">
        <v>40399</v>
      </c>
      <c r="B42" s="2">
        <v>36.42</v>
      </c>
      <c r="C42" s="5">
        <f t="shared" si="1"/>
        <v>-8.1699346405228468E-3</v>
      </c>
      <c r="D42" s="2">
        <v>1079.25</v>
      </c>
      <c r="E42" s="5">
        <f t="shared" si="2"/>
        <v>7.0542787559835229E-3</v>
      </c>
      <c r="F42" s="33">
        <v>40399</v>
      </c>
      <c r="G42" s="2" t="b">
        <f t="shared" si="0"/>
        <v>1</v>
      </c>
      <c r="I42" s="2">
        <f t="shared" si="3"/>
        <v>7.7007670930380797E-3</v>
      </c>
      <c r="J42" s="2">
        <f t="shared" si="4"/>
        <v>-1.5870701733560928E-2</v>
      </c>
      <c r="K42" s="2">
        <f t="shared" si="5"/>
        <v>-1.0332319792555129E-2</v>
      </c>
      <c r="L42" s="2">
        <f t="shared" si="6"/>
        <v>5.5383819410057978E-3</v>
      </c>
    </row>
    <row r="43" spans="1:12" x14ac:dyDescent="0.3">
      <c r="A43" s="33">
        <v>40392</v>
      </c>
      <c r="B43" s="2">
        <v>36.479999999999997</v>
      </c>
      <c r="C43" s="5">
        <f t="shared" si="1"/>
        <v>1.6474464579900872E-3</v>
      </c>
      <c r="D43" s="2">
        <v>1121.6400000000001</v>
      </c>
      <c r="E43" s="5">
        <f t="shared" si="2"/>
        <v>3.9277275886032026E-2</v>
      </c>
      <c r="F43" s="33">
        <v>40392</v>
      </c>
      <c r="G43" s="2" t="b">
        <f t="shared" si="0"/>
        <v>1</v>
      </c>
      <c r="I43" s="2">
        <f t="shared" si="3"/>
        <v>4.2713350625021032E-2</v>
      </c>
      <c r="J43" s="2">
        <f t="shared" si="4"/>
        <v>-4.1065904167030945E-2</v>
      </c>
      <c r="K43" s="2">
        <f t="shared" si="5"/>
        <v>-5.1493869404219432E-4</v>
      </c>
      <c r="L43" s="2">
        <f t="shared" si="6"/>
        <v>4.0550965472988754E-2</v>
      </c>
    </row>
    <row r="44" spans="1:12" x14ac:dyDescent="0.3">
      <c r="A44" s="33">
        <v>40385</v>
      </c>
      <c r="B44" s="2">
        <v>37.97</v>
      </c>
      <c r="C44" s="5">
        <f t="shared" si="1"/>
        <v>4.0844298245614086E-2</v>
      </c>
      <c r="D44" s="2">
        <v>1101.5999999999999</v>
      </c>
      <c r="E44" s="5">
        <f t="shared" si="2"/>
        <v>-1.7866695196319893E-2</v>
      </c>
      <c r="F44" s="33">
        <v>40385</v>
      </c>
      <c r="G44" s="2" t="b">
        <f t="shared" si="0"/>
        <v>1</v>
      </c>
      <c r="I44" s="2">
        <f t="shared" si="3"/>
        <v>-1.9377647701274425E-2</v>
      </c>
      <c r="J44" s="2">
        <f t="shared" si="4"/>
        <v>6.0221945946888511E-2</v>
      </c>
      <c r="K44" s="2">
        <f t="shared" si="5"/>
        <v>3.8681913093581807E-2</v>
      </c>
      <c r="L44" s="2">
        <f t="shared" si="6"/>
        <v>-2.1540032853306707E-2</v>
      </c>
    </row>
    <row r="45" spans="1:12" x14ac:dyDescent="0.3">
      <c r="A45" s="33">
        <v>40378</v>
      </c>
      <c r="B45" s="2">
        <v>38.770000000000003</v>
      </c>
      <c r="C45" s="5">
        <f t="shared" si="1"/>
        <v>2.106926520937602E-2</v>
      </c>
      <c r="D45" s="2">
        <v>1102.6600000000001</v>
      </c>
      <c r="E45" s="5">
        <f t="shared" si="2"/>
        <v>9.6223674655071534E-4</v>
      </c>
      <c r="F45" s="33">
        <v>40378</v>
      </c>
      <c r="G45" s="2" t="b">
        <f t="shared" si="0"/>
        <v>1</v>
      </c>
      <c r="I45" s="2">
        <f t="shared" si="3"/>
        <v>1.0813291532720346E-3</v>
      </c>
      <c r="J45" s="2">
        <f t="shared" si="4"/>
        <v>1.9987936056103987E-2</v>
      </c>
      <c r="K45" s="2">
        <f t="shared" si="5"/>
        <v>1.8906880057343738E-2</v>
      </c>
      <c r="L45" s="2">
        <f t="shared" si="6"/>
        <v>-1.0810559987602469E-3</v>
      </c>
    </row>
    <row r="46" spans="1:12" x14ac:dyDescent="0.3">
      <c r="A46" s="33">
        <v>40371</v>
      </c>
      <c r="B46" s="2">
        <v>37.21</v>
      </c>
      <c r="C46" s="5">
        <f t="shared" si="1"/>
        <v>-4.0237296879030215E-2</v>
      </c>
      <c r="D46" s="2">
        <v>1064.8800000000001</v>
      </c>
      <c r="E46" s="5">
        <f t="shared" si="2"/>
        <v>-3.4262601345836363E-2</v>
      </c>
      <c r="F46" s="33">
        <v>40371</v>
      </c>
      <c r="G46" s="2" t="b">
        <f t="shared" si="0"/>
        <v>1</v>
      </c>
      <c r="I46" s="2">
        <f t="shared" si="3"/>
        <v>-3.7192968582992619E-2</v>
      </c>
      <c r="J46" s="2">
        <f t="shared" si="4"/>
        <v>-3.0443282960375961E-3</v>
      </c>
      <c r="K46" s="2">
        <f t="shared" si="5"/>
        <v>-4.2399682031062494E-2</v>
      </c>
      <c r="L46" s="2">
        <f t="shared" si="6"/>
        <v>-3.9355353735024898E-2</v>
      </c>
    </row>
    <row r="47" spans="1:12" x14ac:dyDescent="0.3">
      <c r="A47" s="33">
        <v>40365</v>
      </c>
      <c r="B47" s="2">
        <v>36.659999999999997</v>
      </c>
      <c r="C47" s="5">
        <f t="shared" si="1"/>
        <v>-1.4780972856759056E-2</v>
      </c>
      <c r="D47" s="2">
        <v>1077.96</v>
      </c>
      <c r="E47" s="5">
        <f t="shared" si="2"/>
        <v>1.2283074149199935E-2</v>
      </c>
      <c r="F47" s="33">
        <v>40365</v>
      </c>
      <c r="G47" s="2" t="b">
        <f t="shared" si="0"/>
        <v>1</v>
      </c>
      <c r="I47" s="2">
        <f t="shared" si="3"/>
        <v>1.3382226044164572E-2</v>
      </c>
      <c r="J47" s="2">
        <f t="shared" si="4"/>
        <v>-2.8163198900923628E-2</v>
      </c>
      <c r="K47" s="2">
        <f t="shared" si="5"/>
        <v>-1.6943358008791338E-2</v>
      </c>
      <c r="L47" s="2">
        <f t="shared" si="6"/>
        <v>1.121984089213229E-2</v>
      </c>
    </row>
    <row r="48" spans="1:12" x14ac:dyDescent="0.3">
      <c r="A48" s="33">
        <v>40357</v>
      </c>
      <c r="B48" s="2">
        <v>35.020000000000003</v>
      </c>
      <c r="C48" s="5">
        <f t="shared" si="1"/>
        <v>-4.4735406437533931E-2</v>
      </c>
      <c r="D48" s="2">
        <v>1022.58</v>
      </c>
      <c r="E48" s="5">
        <f t="shared" si="2"/>
        <v>-5.1374819102749658E-2</v>
      </c>
      <c r="F48" s="33">
        <v>40357</v>
      </c>
      <c r="G48" s="2" t="b">
        <f t="shared" si="0"/>
        <v>1</v>
      </c>
      <c r="I48" s="2">
        <f t="shared" si="3"/>
        <v>-5.5786613091395515E-2</v>
      </c>
      <c r="J48" s="2">
        <f t="shared" si="4"/>
        <v>1.1051206653861584E-2</v>
      </c>
      <c r="K48" s="2">
        <f t="shared" si="5"/>
        <v>-4.689779158956621E-2</v>
      </c>
      <c r="L48" s="2">
        <f t="shared" si="6"/>
        <v>-5.7948998243427793E-2</v>
      </c>
    </row>
    <row r="49" spans="1:12" x14ac:dyDescent="0.3">
      <c r="A49" s="33">
        <v>40350</v>
      </c>
      <c r="B49" s="2">
        <v>38.69</v>
      </c>
      <c r="C49" s="5">
        <f t="shared" si="1"/>
        <v>0.10479725870930889</v>
      </c>
      <c r="D49" s="2">
        <v>1076.76</v>
      </c>
      <c r="E49" s="5">
        <f t="shared" si="2"/>
        <v>5.2983629642668451E-2</v>
      </c>
      <c r="F49" s="33">
        <v>40350</v>
      </c>
      <c r="G49" s="2" t="b">
        <f t="shared" si="0"/>
        <v>1</v>
      </c>
      <c r="I49" s="2">
        <f t="shared" si="3"/>
        <v>5.7606281095961956E-2</v>
      </c>
      <c r="J49" s="2">
        <f t="shared" si="4"/>
        <v>4.7190977613346938E-2</v>
      </c>
      <c r="K49" s="2">
        <f t="shared" si="5"/>
        <v>0.10263487355727662</v>
      </c>
      <c r="L49" s="2">
        <f t="shared" si="6"/>
        <v>5.5443895943929677E-2</v>
      </c>
    </row>
    <row r="50" spans="1:12" x14ac:dyDescent="0.3">
      <c r="A50" s="33">
        <v>40343</v>
      </c>
      <c r="B50" s="2">
        <v>40.36</v>
      </c>
      <c r="C50" s="5">
        <f t="shared" si="1"/>
        <v>4.3163608167485101E-2</v>
      </c>
      <c r="D50" s="2">
        <v>1117.51</v>
      </c>
      <c r="E50" s="5">
        <f t="shared" si="2"/>
        <v>3.7845016531074638E-2</v>
      </c>
      <c r="F50" s="33">
        <v>40343</v>
      </c>
      <c r="G50" s="2" t="b">
        <f t="shared" si="0"/>
        <v>1</v>
      </c>
      <c r="I50" s="2">
        <f t="shared" si="3"/>
        <v>4.1157098731302973E-2</v>
      </c>
      <c r="J50" s="2">
        <f t="shared" si="4"/>
        <v>2.0065094361821287E-3</v>
      </c>
      <c r="K50" s="2">
        <f t="shared" si="5"/>
        <v>4.1001223015452823E-2</v>
      </c>
      <c r="L50" s="2">
        <f t="shared" si="6"/>
        <v>3.8994713579270694E-2</v>
      </c>
    </row>
    <row r="51" spans="1:12" x14ac:dyDescent="0.3">
      <c r="A51" s="33">
        <v>40336</v>
      </c>
      <c r="B51" s="2">
        <v>39.380000000000003</v>
      </c>
      <c r="C51" s="5">
        <f t="shared" si="1"/>
        <v>-2.4281466798810603E-2</v>
      </c>
      <c r="D51" s="2">
        <v>1091.5999999999999</v>
      </c>
      <c r="E51" s="5">
        <f t="shared" si="2"/>
        <v>-2.3185474850336951E-2</v>
      </c>
      <c r="F51" s="33">
        <v>40336</v>
      </c>
      <c r="G51" s="2" t="b">
        <f t="shared" si="0"/>
        <v>1</v>
      </c>
      <c r="I51" s="2">
        <f t="shared" si="3"/>
        <v>-2.515688096666259E-2</v>
      </c>
      <c r="J51" s="2">
        <f t="shared" si="4"/>
        <v>8.7541416785198722E-4</v>
      </c>
      <c r="K51" s="2">
        <f t="shared" si="5"/>
        <v>-2.6443851950842884E-2</v>
      </c>
      <c r="L51" s="2">
        <f t="shared" si="6"/>
        <v>-2.7319266118694872E-2</v>
      </c>
    </row>
    <row r="52" spans="1:12" x14ac:dyDescent="0.3">
      <c r="A52" s="33">
        <v>40330</v>
      </c>
      <c r="B52" s="2">
        <v>38.61</v>
      </c>
      <c r="C52" s="5">
        <f t="shared" si="1"/>
        <v>-1.9553072625698387E-2</v>
      </c>
      <c r="D52" s="2">
        <v>1064.8800000000001</v>
      </c>
      <c r="E52" s="5">
        <f t="shared" si="2"/>
        <v>-2.447783070721854E-2</v>
      </c>
      <c r="F52" s="33">
        <v>40330</v>
      </c>
      <c r="G52" s="2" t="b">
        <f t="shared" si="0"/>
        <v>1</v>
      </c>
      <c r="I52" s="2">
        <f t="shared" si="3"/>
        <v>-2.6561117736119359E-2</v>
      </c>
      <c r="J52" s="2">
        <f t="shared" si="4"/>
        <v>7.0080451104209719E-3</v>
      </c>
      <c r="K52" s="2">
        <f t="shared" si="5"/>
        <v>-2.1715457777730669E-2</v>
      </c>
      <c r="L52" s="2">
        <f t="shared" si="6"/>
        <v>-2.872350288815164E-2</v>
      </c>
    </row>
    <row r="53" spans="1:12" x14ac:dyDescent="0.3">
      <c r="A53" s="33">
        <v>40322</v>
      </c>
      <c r="B53" s="2">
        <v>40.43</v>
      </c>
      <c r="C53" s="5">
        <f t="shared" si="1"/>
        <v>4.7138047138047146E-2</v>
      </c>
      <c r="D53" s="2">
        <v>1089.4100000000001</v>
      </c>
      <c r="E53" s="5">
        <f t="shared" si="2"/>
        <v>2.3035459394485702E-2</v>
      </c>
      <c r="F53" s="33">
        <v>40322</v>
      </c>
      <c r="G53" s="2" t="b">
        <f t="shared" si="0"/>
        <v>1</v>
      </c>
      <c r="I53" s="2">
        <f t="shared" si="3"/>
        <v>2.5065459141608671E-2</v>
      </c>
      <c r="J53" s="2">
        <f t="shared" si="4"/>
        <v>2.2072587996438475E-2</v>
      </c>
      <c r="K53" s="2">
        <f t="shared" si="5"/>
        <v>4.4975661986014867E-2</v>
      </c>
      <c r="L53" s="2">
        <f t="shared" si="6"/>
        <v>2.2903073989576389E-2</v>
      </c>
    </row>
    <row r="54" spans="1:12" x14ac:dyDescent="0.3">
      <c r="A54" s="33">
        <v>40315</v>
      </c>
      <c r="B54" s="2">
        <v>39.24</v>
      </c>
      <c r="C54" s="5">
        <f t="shared" si="1"/>
        <v>-2.9433588919119402E-2</v>
      </c>
      <c r="D54" s="2">
        <v>1087.69</v>
      </c>
      <c r="E54" s="5">
        <f t="shared" si="2"/>
        <v>-1.5788362508146747E-3</v>
      </c>
      <c r="F54" s="33">
        <v>40315</v>
      </c>
      <c r="G54" s="2" t="b">
        <f t="shared" si="0"/>
        <v>1</v>
      </c>
      <c r="I54" s="2">
        <f t="shared" si="3"/>
        <v>-1.6797278093081591E-3</v>
      </c>
      <c r="J54" s="2">
        <f t="shared" si="4"/>
        <v>-2.7753861109811245E-2</v>
      </c>
      <c r="K54" s="2">
        <f t="shared" si="5"/>
        <v>-3.1595974071151681E-2</v>
      </c>
      <c r="L54" s="2">
        <f t="shared" si="6"/>
        <v>-3.8421129613404404E-3</v>
      </c>
    </row>
    <row r="55" spans="1:12" x14ac:dyDescent="0.3">
      <c r="A55" s="33">
        <v>40308</v>
      </c>
      <c r="B55" s="2">
        <v>40.83</v>
      </c>
      <c r="C55" s="5">
        <f t="shared" si="1"/>
        <v>4.0519877675840865E-2</v>
      </c>
      <c r="D55" s="2">
        <v>1135.68</v>
      </c>
      <c r="E55" s="5">
        <f t="shared" si="2"/>
        <v>4.4121027130892054E-2</v>
      </c>
      <c r="F55" s="33">
        <v>40308</v>
      </c>
      <c r="G55" s="2" t="b">
        <f t="shared" si="0"/>
        <v>1</v>
      </c>
      <c r="I55" s="2">
        <f t="shared" si="3"/>
        <v>4.7976431659486958E-2</v>
      </c>
      <c r="J55" s="2">
        <f t="shared" si="4"/>
        <v>-7.4565539836460928E-3</v>
      </c>
      <c r="K55" s="2">
        <f t="shared" si="5"/>
        <v>3.8357492523808587E-2</v>
      </c>
      <c r="L55" s="2">
        <f t="shared" si="6"/>
        <v>4.581404650745468E-2</v>
      </c>
    </row>
    <row r="56" spans="1:12" x14ac:dyDescent="0.3">
      <c r="A56" s="33">
        <v>40301</v>
      </c>
      <c r="B56" s="2">
        <v>36.68</v>
      </c>
      <c r="C56" s="5">
        <f t="shared" si="1"/>
        <v>-0.10164095028165565</v>
      </c>
      <c r="D56" s="2">
        <v>1110.8800000000001</v>
      </c>
      <c r="E56" s="5">
        <f t="shared" si="2"/>
        <v>-2.1837137221752512E-2</v>
      </c>
      <c r="F56" s="33">
        <v>40301</v>
      </c>
      <c r="G56" s="2" t="b">
        <f t="shared" si="0"/>
        <v>1</v>
      </c>
      <c r="I56" s="2">
        <f t="shared" si="3"/>
        <v>-2.3691816011357562E-2</v>
      </c>
      <c r="J56" s="2">
        <f t="shared" si="4"/>
        <v>-7.7949134270298093E-2</v>
      </c>
      <c r="K56" s="2">
        <f t="shared" si="5"/>
        <v>-0.10380333543368793</v>
      </c>
      <c r="L56" s="2">
        <f t="shared" si="6"/>
        <v>-2.5854201163389844E-2</v>
      </c>
    </row>
    <row r="57" spans="1:12" x14ac:dyDescent="0.3">
      <c r="A57" s="33">
        <v>40294</v>
      </c>
      <c r="B57" s="2">
        <v>39.020000000000003</v>
      </c>
      <c r="C57" s="5">
        <f t="shared" si="1"/>
        <v>6.3794983642311953E-2</v>
      </c>
      <c r="D57" s="2">
        <v>1186.69</v>
      </c>
      <c r="E57" s="5">
        <f t="shared" si="2"/>
        <v>6.8243194584473477E-2</v>
      </c>
      <c r="F57" s="33">
        <v>40294</v>
      </c>
      <c r="G57" s="2" t="b">
        <f t="shared" si="0"/>
        <v>1</v>
      </c>
      <c r="I57" s="2">
        <f t="shared" si="3"/>
        <v>7.4186886246699002E-2</v>
      </c>
      <c r="J57" s="2">
        <f t="shared" si="4"/>
        <v>-1.0391902604387049E-2</v>
      </c>
      <c r="K57" s="2">
        <f t="shared" si="5"/>
        <v>6.1632598490279675E-2</v>
      </c>
      <c r="L57" s="2">
        <f t="shared" si="6"/>
        <v>7.2024501094666724E-2</v>
      </c>
    </row>
    <row r="58" spans="1:12" x14ac:dyDescent="0.3">
      <c r="A58" s="33">
        <v>40287</v>
      </c>
      <c r="B58" s="2">
        <v>40.200000000000003</v>
      </c>
      <c r="C58" s="5">
        <f t="shared" si="1"/>
        <v>3.0240902101486444E-2</v>
      </c>
      <c r="D58" s="2">
        <v>1217.28</v>
      </c>
      <c r="E58" s="5">
        <f t="shared" si="2"/>
        <v>2.5777583025052841E-2</v>
      </c>
      <c r="F58" s="33">
        <v>40287</v>
      </c>
      <c r="G58" s="2" t="b">
        <f t="shared" si="0"/>
        <v>1</v>
      </c>
      <c r="I58" s="2">
        <f t="shared" si="3"/>
        <v>2.8044971949891997E-2</v>
      </c>
      <c r="J58" s="2">
        <f t="shared" si="4"/>
        <v>2.1959301515944475E-3</v>
      </c>
      <c r="K58" s="2">
        <f t="shared" si="5"/>
        <v>2.8078516949454162E-2</v>
      </c>
      <c r="L58" s="2">
        <f t="shared" si="6"/>
        <v>2.5882586797859715E-2</v>
      </c>
    </row>
    <row r="59" spans="1:12" x14ac:dyDescent="0.3">
      <c r="A59" s="33">
        <v>40280</v>
      </c>
      <c r="B59" s="2">
        <v>39.11</v>
      </c>
      <c r="C59" s="5">
        <f t="shared" si="1"/>
        <v>-2.7114427860696622E-2</v>
      </c>
      <c r="D59" s="2">
        <v>1192.1300000000001</v>
      </c>
      <c r="E59" s="5">
        <f t="shared" si="2"/>
        <v>-2.0660817560462563E-2</v>
      </c>
      <c r="F59" s="33">
        <v>40280</v>
      </c>
      <c r="G59" s="2" t="b">
        <f t="shared" si="0"/>
        <v>1</v>
      </c>
      <c r="I59" s="2">
        <f t="shared" si="3"/>
        <v>-2.2413660840533259E-2</v>
      </c>
      <c r="J59" s="2">
        <f t="shared" si="4"/>
        <v>-4.7007670201633621E-3</v>
      </c>
      <c r="K59" s="2">
        <f t="shared" si="5"/>
        <v>-2.9276813012728903E-2</v>
      </c>
      <c r="L59" s="2">
        <f t="shared" si="6"/>
        <v>-2.4576045992565541E-2</v>
      </c>
    </row>
    <row r="60" spans="1:12" x14ac:dyDescent="0.3">
      <c r="A60" s="33">
        <v>40273</v>
      </c>
      <c r="B60" s="2">
        <v>38.799999999999997</v>
      </c>
      <c r="C60" s="5">
        <f t="shared" si="1"/>
        <v>-7.9263615443621038E-3</v>
      </c>
      <c r="D60" s="2">
        <v>1194.3699999999999</v>
      </c>
      <c r="E60" s="5">
        <f t="shared" si="2"/>
        <v>1.8789897074982242E-3</v>
      </c>
      <c r="F60" s="33">
        <v>40273</v>
      </c>
      <c r="G60" s="2" t="b">
        <f t="shared" si="0"/>
        <v>1</v>
      </c>
      <c r="I60" s="2">
        <f t="shared" si="3"/>
        <v>2.0774465998839617E-3</v>
      </c>
      <c r="J60" s="2">
        <f t="shared" si="4"/>
        <v>-1.0003808144246066E-2</v>
      </c>
      <c r="K60" s="2">
        <f t="shared" si="5"/>
        <v>-1.0088746696394386E-2</v>
      </c>
      <c r="L60" s="2">
        <f t="shared" si="6"/>
        <v>-8.4938552148319801E-5</v>
      </c>
    </row>
    <row r="61" spans="1:12" x14ac:dyDescent="0.3">
      <c r="A61" s="33">
        <v>40266</v>
      </c>
      <c r="B61" s="2">
        <v>36.909999999999997</v>
      </c>
      <c r="C61" s="5">
        <f t="shared" si="1"/>
        <v>-4.8711340206185616E-2</v>
      </c>
      <c r="D61" s="2">
        <v>1178.0999999999999</v>
      </c>
      <c r="E61" s="5">
        <f t="shared" si="2"/>
        <v>-1.3622244363137082E-2</v>
      </c>
      <c r="F61" s="33">
        <v>40266</v>
      </c>
      <c r="G61" s="2" t="b">
        <f t="shared" si="0"/>
        <v>1</v>
      </c>
      <c r="I61" s="2">
        <f t="shared" si="3"/>
        <v>-1.4765749287714774E-2</v>
      </c>
      <c r="J61" s="2">
        <f t="shared" si="4"/>
        <v>-3.3945590918470839E-2</v>
      </c>
      <c r="K61" s="2">
        <f t="shared" si="5"/>
        <v>-5.0873725358217894E-2</v>
      </c>
      <c r="L61" s="2">
        <f t="shared" si="6"/>
        <v>-1.6928134439747056E-2</v>
      </c>
    </row>
    <row r="62" spans="1:12" x14ac:dyDescent="0.3">
      <c r="A62" s="33">
        <v>40259</v>
      </c>
      <c r="B62" s="2">
        <v>35.409999999999997</v>
      </c>
      <c r="C62" s="5">
        <f t="shared" si="1"/>
        <v>-4.063939311839615E-2</v>
      </c>
      <c r="D62" s="2">
        <v>1166.5899999999999</v>
      </c>
      <c r="E62" s="5">
        <f t="shared" si="2"/>
        <v>-9.7699685934979907E-3</v>
      </c>
      <c r="F62" s="33">
        <v>40259</v>
      </c>
      <c r="G62" s="2" t="b">
        <f t="shared" si="0"/>
        <v>1</v>
      </c>
      <c r="I62" s="2">
        <f t="shared" si="3"/>
        <v>-1.057997703852364E-2</v>
      </c>
      <c r="J62" s="2">
        <f t="shared" si="4"/>
        <v>-3.005941607987251E-2</v>
      </c>
      <c r="K62" s="2">
        <f t="shared" si="5"/>
        <v>-4.2801778270428428E-2</v>
      </c>
      <c r="L62" s="2">
        <f t="shared" si="6"/>
        <v>-1.2742362190555922E-2</v>
      </c>
    </row>
    <row r="63" spans="1:12" x14ac:dyDescent="0.3">
      <c r="A63" s="33">
        <v>40252</v>
      </c>
      <c r="B63" s="2">
        <v>35.83</v>
      </c>
      <c r="C63" s="5">
        <f t="shared" si="1"/>
        <v>1.1861056198813946E-2</v>
      </c>
      <c r="D63" s="2">
        <v>1159.9000000000001</v>
      </c>
      <c r="E63" s="5">
        <f t="shared" si="2"/>
        <v>-5.7346625635397164E-3</v>
      </c>
      <c r="F63" s="33">
        <v>40252</v>
      </c>
      <c r="G63" s="2" t="b">
        <f t="shared" si="0"/>
        <v>1</v>
      </c>
      <c r="I63" s="2">
        <f t="shared" si="3"/>
        <v>-6.1953293634234088E-3</v>
      </c>
      <c r="J63" s="2">
        <f t="shared" si="4"/>
        <v>1.8056385562237355E-2</v>
      </c>
      <c r="K63" s="2">
        <f t="shared" si="5"/>
        <v>9.6986710467816643E-3</v>
      </c>
      <c r="L63" s="2">
        <f t="shared" si="6"/>
        <v>-8.3577145154556907E-3</v>
      </c>
    </row>
    <row r="64" spans="1:12" x14ac:dyDescent="0.3">
      <c r="A64" s="33">
        <v>40245</v>
      </c>
      <c r="B64" s="2">
        <v>36.299999999999997</v>
      </c>
      <c r="C64" s="5">
        <f t="shared" si="1"/>
        <v>1.3117499302260693E-2</v>
      </c>
      <c r="D64" s="2">
        <v>1149.99</v>
      </c>
      <c r="E64" s="5">
        <f t="shared" si="2"/>
        <v>-8.5438399862057812E-3</v>
      </c>
      <c r="F64" s="33">
        <v>40245</v>
      </c>
      <c r="G64" s="2" t="b">
        <f t="shared" si="0"/>
        <v>1</v>
      </c>
      <c r="I64" s="2">
        <f t="shared" si="3"/>
        <v>-9.2477008970302862E-3</v>
      </c>
      <c r="J64" s="2">
        <f t="shared" si="4"/>
        <v>2.2365200199290981E-2</v>
      </c>
      <c r="K64" s="2">
        <f t="shared" si="5"/>
        <v>1.0955114150228411E-2</v>
      </c>
      <c r="L64" s="2">
        <f t="shared" si="6"/>
        <v>-1.1410086049062568E-2</v>
      </c>
    </row>
    <row r="65" spans="1:12" x14ac:dyDescent="0.3">
      <c r="A65" s="33">
        <v>40238</v>
      </c>
      <c r="B65" s="2">
        <v>36.11</v>
      </c>
      <c r="C65" s="5">
        <f t="shared" si="1"/>
        <v>-5.234159779614278E-3</v>
      </c>
      <c r="D65" s="2">
        <v>1138.7</v>
      </c>
      <c r="E65" s="5">
        <f t="shared" si="2"/>
        <v>-9.8174766737101349E-3</v>
      </c>
      <c r="F65" s="33">
        <v>40238</v>
      </c>
      <c r="G65" s="2" t="b">
        <f t="shared" si="0"/>
        <v>1</v>
      </c>
      <c r="I65" s="2">
        <f t="shared" si="3"/>
        <v>-1.0631597954484952E-2</v>
      </c>
      <c r="J65" s="2">
        <f t="shared" si="4"/>
        <v>5.3974381748706744E-3</v>
      </c>
      <c r="K65" s="2">
        <f t="shared" si="5"/>
        <v>-7.3965449316465599E-3</v>
      </c>
      <c r="L65" s="2">
        <f t="shared" si="6"/>
        <v>-1.2793983106517234E-2</v>
      </c>
    </row>
    <row r="66" spans="1:12" x14ac:dyDescent="0.3">
      <c r="A66" s="33">
        <v>40231</v>
      </c>
      <c r="B66" s="2">
        <v>35.49</v>
      </c>
      <c r="C66" s="5">
        <f t="shared" si="1"/>
        <v>-1.7169759069509793E-2</v>
      </c>
      <c r="D66" s="2">
        <v>1104.49</v>
      </c>
      <c r="E66" s="5">
        <f t="shared" si="2"/>
        <v>-3.0043031527180131E-2</v>
      </c>
      <c r="F66" s="33">
        <v>40231</v>
      </c>
      <c r="G66" s="2" t="b">
        <f t="shared" si="0"/>
        <v>1</v>
      </c>
      <c r="I66" s="2">
        <f t="shared" si="3"/>
        <v>-3.2608105165462559E-2</v>
      </c>
      <c r="J66" s="2">
        <f t="shared" si="4"/>
        <v>1.5438346095952765E-2</v>
      </c>
      <c r="K66" s="2">
        <f t="shared" si="5"/>
        <v>-1.9332144221542075E-2</v>
      </c>
      <c r="L66" s="2">
        <f t="shared" si="6"/>
        <v>-3.4770490317494837E-2</v>
      </c>
    </row>
    <row r="67" spans="1:12" x14ac:dyDescent="0.3">
      <c r="A67" s="33">
        <v>40225</v>
      </c>
      <c r="B67" s="2">
        <v>33.659999999999997</v>
      </c>
      <c r="C67" s="5">
        <f t="shared" si="1"/>
        <v>-5.1563820794590209E-2</v>
      </c>
      <c r="D67" s="2">
        <v>1109.17</v>
      </c>
      <c r="E67" s="5">
        <f t="shared" si="2"/>
        <v>4.237249771387841E-3</v>
      </c>
      <c r="F67" s="33">
        <v>40225</v>
      </c>
      <c r="G67" s="2" t="b">
        <f t="shared" si="0"/>
        <v>1</v>
      </c>
      <c r="I67" s="2">
        <f t="shared" si="3"/>
        <v>4.6398642776634708E-3</v>
      </c>
      <c r="J67" s="2">
        <f t="shared" si="4"/>
        <v>-5.6203685072253678E-2</v>
      </c>
      <c r="K67" s="2">
        <f t="shared" si="5"/>
        <v>-5.3726205946622488E-2</v>
      </c>
      <c r="L67" s="2">
        <f t="shared" si="6"/>
        <v>2.4774791256311894E-3</v>
      </c>
    </row>
    <row r="68" spans="1:12" x14ac:dyDescent="0.3">
      <c r="A68" s="33">
        <v>40217</v>
      </c>
      <c r="B68" s="2">
        <v>29.75</v>
      </c>
      <c r="C68" s="5">
        <f t="shared" si="1"/>
        <v>-0.11616161616161602</v>
      </c>
      <c r="D68" s="2">
        <v>1075.51</v>
      </c>
      <c r="E68" s="5">
        <f t="shared" si="2"/>
        <v>-3.0347016237366797E-2</v>
      </c>
      <c r="F68" s="33">
        <v>40217</v>
      </c>
      <c r="G68" s="2" t="b">
        <f t="shared" si="0"/>
        <v>1</v>
      </c>
      <c r="I68" s="2">
        <f t="shared" si="3"/>
        <v>-3.2938406223893005E-2</v>
      </c>
      <c r="J68" s="2">
        <f t="shared" si="4"/>
        <v>-8.3223209937723017E-2</v>
      </c>
      <c r="K68" s="2">
        <f t="shared" si="5"/>
        <v>-0.1183240013136483</v>
      </c>
      <c r="L68" s="2">
        <f t="shared" si="6"/>
        <v>-3.5100791375925283E-2</v>
      </c>
    </row>
    <row r="69" spans="1:12" x14ac:dyDescent="0.3">
      <c r="A69" s="33">
        <v>40210</v>
      </c>
      <c r="B69" s="2">
        <v>27.38</v>
      </c>
      <c r="C69" s="5">
        <f t="shared" si="1"/>
        <v>-7.9663865546218515E-2</v>
      </c>
      <c r="D69" s="2">
        <v>1066.19</v>
      </c>
      <c r="E69" s="5">
        <f t="shared" si="2"/>
        <v>-8.6656562932933001E-3</v>
      </c>
      <c r="F69" s="33">
        <v>40210</v>
      </c>
      <c r="G69" s="2" t="b">
        <f t="shared" si="0"/>
        <v>1</v>
      </c>
      <c r="I69" s="2">
        <f t="shared" si="3"/>
        <v>-9.3800629988622774E-3</v>
      </c>
      <c r="J69" s="2">
        <f t="shared" si="4"/>
        <v>-7.0283802547356236E-2</v>
      </c>
      <c r="K69" s="2">
        <f t="shared" si="5"/>
        <v>-8.1826250698250794E-2</v>
      </c>
      <c r="L69" s="2">
        <f t="shared" si="6"/>
        <v>-1.1542448150894559E-2</v>
      </c>
    </row>
    <row r="70" spans="1:12" x14ac:dyDescent="0.3">
      <c r="A70" s="33">
        <v>40203</v>
      </c>
      <c r="B70" s="2">
        <v>27.22</v>
      </c>
      <c r="C70" s="5">
        <f t="shared" si="1"/>
        <v>-5.8436815193572134E-3</v>
      </c>
      <c r="D70" s="2">
        <v>1073.8699999999999</v>
      </c>
      <c r="E70" s="5">
        <f t="shared" si="2"/>
        <v>7.2032189384629852E-3</v>
      </c>
      <c r="F70" s="33">
        <v>40203</v>
      </c>
      <c r="G70" s="2" t="b">
        <f t="shared" si="0"/>
        <v>1</v>
      </c>
      <c r="I70" s="2">
        <f t="shared" si="3"/>
        <v>7.862601219121532E-3</v>
      </c>
      <c r="J70" s="2">
        <f t="shared" si="4"/>
        <v>-1.3706282738478745E-2</v>
      </c>
      <c r="K70" s="2">
        <f t="shared" si="5"/>
        <v>-8.0060666713894953E-3</v>
      </c>
      <c r="L70" s="2">
        <f t="shared" si="6"/>
        <v>5.7002160670892501E-3</v>
      </c>
    </row>
    <row r="71" spans="1:12" x14ac:dyDescent="0.3">
      <c r="A71" s="33">
        <v>40197</v>
      </c>
      <c r="B71" s="2">
        <v>28.45</v>
      </c>
      <c r="C71" s="5">
        <f t="shared" si="1"/>
        <v>4.5187362233651829E-2</v>
      </c>
      <c r="D71" s="2">
        <v>1091.76</v>
      </c>
      <c r="E71" s="5">
        <f t="shared" si="2"/>
        <v>1.665937217726543E-2</v>
      </c>
      <c r="F71" s="33">
        <v>40197</v>
      </c>
      <c r="G71" s="2" t="b">
        <f t="shared" si="0"/>
        <v>1</v>
      </c>
      <c r="I71" s="2">
        <f t="shared" si="3"/>
        <v>1.8137385834239156E-2</v>
      </c>
      <c r="J71" s="2">
        <f t="shared" si="4"/>
        <v>2.7049976399412673E-2</v>
      </c>
      <c r="K71" s="2">
        <f t="shared" si="5"/>
        <v>4.302497708161955E-2</v>
      </c>
      <c r="L71" s="2">
        <f t="shared" si="6"/>
        <v>1.5975000682206874E-2</v>
      </c>
    </row>
    <row r="72" spans="1:12" x14ac:dyDescent="0.3">
      <c r="A72" s="33">
        <v>40189</v>
      </c>
      <c r="B72" s="2">
        <v>27.95</v>
      </c>
      <c r="C72" s="5">
        <f t="shared" si="1"/>
        <v>-1.7574692442882234E-2</v>
      </c>
      <c r="D72" s="2">
        <v>1136.03</v>
      </c>
      <c r="E72" s="5">
        <f t="shared" si="2"/>
        <v>4.0549204953469697E-2</v>
      </c>
      <c r="F72" s="33">
        <v>40189</v>
      </c>
      <c r="G72" s="2" t="b">
        <f t="shared" si="0"/>
        <v>1</v>
      </c>
      <c r="I72" s="2">
        <f t="shared" si="3"/>
        <v>4.4095392231538459E-2</v>
      </c>
      <c r="J72" s="2">
        <f t="shared" si="4"/>
        <v>-6.1670084674420693E-2</v>
      </c>
      <c r="K72" s="2">
        <f t="shared" si="5"/>
        <v>-1.9737077594914516E-2</v>
      </c>
      <c r="L72" s="2">
        <f t="shared" si="6"/>
        <v>4.1933007079506181E-2</v>
      </c>
    </row>
    <row r="73" spans="1:12" x14ac:dyDescent="0.3">
      <c r="A73" s="33">
        <v>40182</v>
      </c>
      <c r="B73" s="2">
        <v>27.96</v>
      </c>
      <c r="C73" s="5">
        <f t="shared" si="1"/>
        <v>3.5778175313061489E-4</v>
      </c>
      <c r="D73" s="2">
        <v>1144.98</v>
      </c>
      <c r="E73" s="5">
        <f t="shared" si="2"/>
        <v>7.878313072718246E-3</v>
      </c>
      <c r="F73" s="33">
        <v>40182</v>
      </c>
      <c r="G73" s="2" t="b">
        <f t="shared" si="0"/>
        <v>1</v>
      </c>
      <c r="I73" s="2">
        <f t="shared" si="3"/>
        <v>8.5961391228791661E-3</v>
      </c>
      <c r="J73" s="2">
        <f t="shared" si="4"/>
        <v>-8.2383573697485512E-3</v>
      </c>
      <c r="K73" s="2">
        <f t="shared" si="5"/>
        <v>-1.8046033989016666E-3</v>
      </c>
      <c r="L73" s="2">
        <f t="shared" si="6"/>
        <v>6.4337539708468842E-3</v>
      </c>
    </row>
    <row r="74" spans="1:12" x14ac:dyDescent="0.3">
      <c r="A74" s="33">
        <v>40175</v>
      </c>
      <c r="B74" s="2">
        <v>27.45</v>
      </c>
      <c r="C74" s="5">
        <f t="shared" si="1"/>
        <v>-1.8240343347639576E-2</v>
      </c>
      <c r="D74" s="2">
        <v>1115.0999999999999</v>
      </c>
      <c r="E74" s="5">
        <f t="shared" si="2"/>
        <v>-2.6096525703505846E-2</v>
      </c>
      <c r="F74" s="33">
        <v>40175</v>
      </c>
      <c r="G74" s="2" t="b">
        <f t="shared" si="0"/>
        <v>1</v>
      </c>
      <c r="I74" s="2">
        <f t="shared" si="3"/>
        <v>-2.8319945244981406E-2</v>
      </c>
      <c r="J74" s="2">
        <f t="shared" si="4"/>
        <v>1.007960189734183E-2</v>
      </c>
      <c r="K74" s="2">
        <f t="shared" si="5"/>
        <v>-2.0402728499671858E-2</v>
      </c>
      <c r="L74" s="2">
        <f t="shared" si="6"/>
        <v>-3.0482330397013688E-2</v>
      </c>
    </row>
    <row r="75" spans="1:12" x14ac:dyDescent="0.3">
      <c r="A75" s="33">
        <v>40168</v>
      </c>
      <c r="B75" s="2">
        <v>28.41</v>
      </c>
      <c r="C75" s="5">
        <f t="shared" si="1"/>
        <v>3.4972677595628499E-2</v>
      </c>
      <c r="D75" s="2">
        <v>1126.48</v>
      </c>
      <c r="E75" s="5">
        <f t="shared" si="2"/>
        <v>1.0205362747735647E-2</v>
      </c>
      <c r="F75" s="33">
        <v>40168</v>
      </c>
      <c r="G75" s="2" t="b">
        <f t="shared" si="0"/>
        <v>1</v>
      </c>
      <c r="I75" s="2">
        <f t="shared" si="3"/>
        <v>1.1124644488186813E-2</v>
      </c>
      <c r="J75" s="2">
        <f t="shared" si="4"/>
        <v>2.3848033107441685E-2</v>
      </c>
      <c r="K75" s="2">
        <f t="shared" si="5"/>
        <v>3.281029244359622E-2</v>
      </c>
      <c r="L75" s="2">
        <f t="shared" si="6"/>
        <v>8.9622593361545315E-3</v>
      </c>
    </row>
    <row r="76" spans="1:12" x14ac:dyDescent="0.3">
      <c r="A76" s="33">
        <v>40161</v>
      </c>
      <c r="B76" s="2">
        <v>26.99</v>
      </c>
      <c r="C76" s="5">
        <f t="shared" si="1"/>
        <v>-4.9982400563182039E-2</v>
      </c>
      <c r="D76" s="2">
        <v>1102.47</v>
      </c>
      <c r="E76" s="5">
        <f t="shared" si="2"/>
        <v>-2.13141822313756E-2</v>
      </c>
      <c r="F76" s="33">
        <v>40161</v>
      </c>
      <c r="G76" s="2" t="b">
        <f t="shared" si="0"/>
        <v>1</v>
      </c>
      <c r="I76" s="2">
        <f t="shared" si="3"/>
        <v>-2.3123588133294522E-2</v>
      </c>
      <c r="J76" s="2">
        <f t="shared" si="4"/>
        <v>-2.6858812429887517E-2</v>
      </c>
      <c r="K76" s="2">
        <f t="shared" si="5"/>
        <v>-5.2144785715214317E-2</v>
      </c>
      <c r="L76" s="2">
        <f t="shared" si="6"/>
        <v>-2.5285973285326804E-2</v>
      </c>
    </row>
    <row r="77" spans="1:12" x14ac:dyDescent="0.3">
      <c r="A77" s="33">
        <v>40154</v>
      </c>
      <c r="B77" s="2">
        <v>26.67</v>
      </c>
      <c r="C77" s="5">
        <f t="shared" si="1"/>
        <v>-1.1856243052982496E-2</v>
      </c>
      <c r="D77" s="2">
        <v>1106.4100000000001</v>
      </c>
      <c r="E77" s="5">
        <f t="shared" si="2"/>
        <v>3.5737933912034503E-3</v>
      </c>
      <c r="F77" s="33">
        <v>40154</v>
      </c>
      <c r="G77" s="2" t="b">
        <f t="shared" si="0"/>
        <v>1</v>
      </c>
      <c r="I77" s="2">
        <f t="shared" si="3"/>
        <v>3.9189716233494721E-3</v>
      </c>
      <c r="J77" s="2">
        <f t="shared" si="4"/>
        <v>-1.5775214676331969E-2</v>
      </c>
      <c r="K77" s="2">
        <f t="shared" si="5"/>
        <v>-1.4018628205014778E-2</v>
      </c>
      <c r="L77" s="2">
        <f t="shared" si="6"/>
        <v>1.7565864713171907E-3</v>
      </c>
    </row>
    <row r="78" spans="1:12" x14ac:dyDescent="0.3">
      <c r="A78" s="33">
        <v>40147</v>
      </c>
      <c r="B78" s="2">
        <v>26.2</v>
      </c>
      <c r="C78" s="5">
        <f t="shared" si="1"/>
        <v>-1.7622797150356306E-2</v>
      </c>
      <c r="D78" s="2">
        <v>1105.98</v>
      </c>
      <c r="E78" s="5">
        <f t="shared" si="2"/>
        <v>-3.8864435426289035E-4</v>
      </c>
      <c r="F78" s="33">
        <v>40147</v>
      </c>
      <c r="G78" s="2" t="b">
        <f t="shared" si="0"/>
        <v>1</v>
      </c>
      <c r="I78" s="2">
        <f t="shared" si="3"/>
        <v>-3.8649946593196239E-4</v>
      </c>
      <c r="J78" s="2">
        <f t="shared" si="4"/>
        <v>-1.7236297684424345E-2</v>
      </c>
      <c r="K78" s="2">
        <f t="shared" si="5"/>
        <v>-1.9785182302388588E-2</v>
      </c>
      <c r="L78" s="2">
        <f t="shared" si="6"/>
        <v>-2.548884617964244E-3</v>
      </c>
    </row>
    <row r="79" spans="1:12" x14ac:dyDescent="0.3">
      <c r="A79" s="33">
        <v>40140</v>
      </c>
      <c r="B79" s="2">
        <v>25.9</v>
      </c>
      <c r="C79" s="5">
        <f t="shared" si="1"/>
        <v>-1.1450381679389388E-2</v>
      </c>
      <c r="D79" s="2">
        <v>1091.49</v>
      </c>
      <c r="E79" s="5">
        <f t="shared" si="2"/>
        <v>-1.3101502739651716E-2</v>
      </c>
      <c r="F79" s="33">
        <v>40140</v>
      </c>
      <c r="G79" s="2" t="b">
        <f t="shared" si="0"/>
        <v>1</v>
      </c>
      <c r="I79" s="2">
        <f t="shared" si="3"/>
        <v>-1.4199926390568447E-2</v>
      </c>
      <c r="J79" s="2">
        <f t="shared" si="4"/>
        <v>2.7495447111790597E-3</v>
      </c>
      <c r="K79" s="2">
        <f t="shared" si="5"/>
        <v>-1.3612766831421669E-2</v>
      </c>
      <c r="L79" s="2">
        <f t="shared" si="6"/>
        <v>-1.6362311542600729E-2</v>
      </c>
    </row>
    <row r="80" spans="1:12" x14ac:dyDescent="0.3">
      <c r="A80" s="33">
        <v>40133</v>
      </c>
      <c r="B80" s="2">
        <v>26.36</v>
      </c>
      <c r="C80" s="5">
        <f t="shared" si="1"/>
        <v>1.776061776061777E-2</v>
      </c>
      <c r="D80" s="2">
        <v>1091.3800000000001</v>
      </c>
      <c r="E80" s="5">
        <f t="shared" si="2"/>
        <v>-1.0077966815991157E-4</v>
      </c>
      <c r="F80" s="33">
        <v>40133</v>
      </c>
      <c r="G80" s="2" t="b">
        <f t="shared" si="0"/>
        <v>1</v>
      </c>
      <c r="I80" s="2">
        <f t="shared" si="3"/>
        <v>-7.3713962851311326E-5</v>
      </c>
      <c r="J80" s="2">
        <f t="shared" si="4"/>
        <v>1.7834331723469082E-2</v>
      </c>
      <c r="K80" s="2">
        <f t="shared" si="5"/>
        <v>1.5598232608585488E-2</v>
      </c>
      <c r="L80" s="2">
        <f t="shared" si="6"/>
        <v>-2.2360991148835927E-3</v>
      </c>
    </row>
    <row r="81" spans="1:12" x14ac:dyDescent="0.3">
      <c r="A81" s="33">
        <v>40126</v>
      </c>
      <c r="B81" s="2">
        <v>27.49</v>
      </c>
      <c r="C81" s="5">
        <f t="shared" si="1"/>
        <v>4.2867981790591703E-2</v>
      </c>
      <c r="D81" s="2">
        <v>1093.48</v>
      </c>
      <c r="E81" s="5">
        <f t="shared" si="2"/>
        <v>1.9241694002087861E-3</v>
      </c>
      <c r="F81" s="33">
        <v>40126</v>
      </c>
      <c r="G81" s="2" t="b">
        <f t="shared" si="0"/>
        <v>1</v>
      </c>
      <c r="I81" s="2">
        <f t="shared" si="3"/>
        <v>2.1265375568360312E-3</v>
      </c>
      <c r="J81" s="2">
        <f t="shared" si="4"/>
        <v>4.0741444233755669E-2</v>
      </c>
      <c r="K81" s="2">
        <f t="shared" si="5"/>
        <v>4.0705596638559424E-2</v>
      </c>
      <c r="L81" s="2">
        <f t="shared" si="6"/>
        <v>-3.5847595196250234E-5</v>
      </c>
    </row>
    <row r="82" spans="1:12" x14ac:dyDescent="0.3">
      <c r="A82" s="33">
        <v>40119</v>
      </c>
      <c r="B82" s="2">
        <v>28.25</v>
      </c>
      <c r="C82" s="5">
        <f t="shared" si="1"/>
        <v>2.7646416878865043E-2</v>
      </c>
      <c r="D82" s="2">
        <v>1069.3</v>
      </c>
      <c r="E82" s="5">
        <f t="shared" si="2"/>
        <v>-2.2112887295606787E-2</v>
      </c>
      <c r="F82" s="33">
        <v>40119</v>
      </c>
      <c r="G82" s="2" t="b">
        <f t="shared" si="0"/>
        <v>1</v>
      </c>
      <c r="I82" s="2">
        <f t="shared" si="3"/>
        <v>-2.3991438124589547E-2</v>
      </c>
      <c r="J82" s="2">
        <f t="shared" si="4"/>
        <v>5.1637855003454594E-2</v>
      </c>
      <c r="K82" s="2">
        <f t="shared" si="5"/>
        <v>2.5484031726832761E-2</v>
      </c>
      <c r="L82" s="2">
        <f t="shared" si="6"/>
        <v>-2.6153823276621829E-2</v>
      </c>
    </row>
    <row r="83" spans="1:12" x14ac:dyDescent="0.3">
      <c r="A83" s="33">
        <v>40112</v>
      </c>
      <c r="B83" s="2">
        <v>32.06</v>
      </c>
      <c r="C83" s="5">
        <f t="shared" si="1"/>
        <v>0.13486725663716825</v>
      </c>
      <c r="D83" s="2">
        <v>1036.19</v>
      </c>
      <c r="E83" s="5">
        <f t="shared" si="2"/>
        <v>-3.0964182175254762E-2</v>
      </c>
      <c r="F83" s="33">
        <v>40112</v>
      </c>
      <c r="G83" s="2" t="b">
        <f t="shared" si="0"/>
        <v>1</v>
      </c>
      <c r="I83" s="2">
        <f t="shared" si="3"/>
        <v>-3.3609001012645495E-2</v>
      </c>
      <c r="J83" s="2">
        <f t="shared" si="4"/>
        <v>0.16847625764981375</v>
      </c>
      <c r="K83" s="2">
        <f t="shared" si="5"/>
        <v>0.13270487148513596</v>
      </c>
      <c r="L83" s="2">
        <f t="shared" si="6"/>
        <v>-3.5771386164677774E-2</v>
      </c>
    </row>
    <row r="84" spans="1:12" x14ac:dyDescent="0.3">
      <c r="A84" s="33">
        <v>40105</v>
      </c>
      <c r="B84" s="2">
        <v>33.36</v>
      </c>
      <c r="C84" s="5">
        <f t="shared" si="1"/>
        <v>4.0548970679974872E-2</v>
      </c>
      <c r="D84" s="2">
        <v>1079.5999999999999</v>
      </c>
      <c r="E84" s="5">
        <f t="shared" si="2"/>
        <v>4.1893861164458146E-2</v>
      </c>
      <c r="F84" s="33">
        <v>40105</v>
      </c>
      <c r="G84" s="2" t="b">
        <f t="shared" si="0"/>
        <v>1</v>
      </c>
      <c r="I84" s="2">
        <f t="shared" si="3"/>
        <v>4.5556457064180302E-2</v>
      </c>
      <c r="J84" s="2">
        <f t="shared" si="4"/>
        <v>-5.0074863842054299E-3</v>
      </c>
      <c r="K84" s="2">
        <f t="shared" si="5"/>
        <v>3.8386585527942593E-2</v>
      </c>
      <c r="L84" s="2">
        <f t="shared" si="6"/>
        <v>4.3394071912148023E-2</v>
      </c>
    </row>
    <row r="85" spans="1:12" x14ac:dyDescent="0.3">
      <c r="A85" s="33">
        <v>40098</v>
      </c>
      <c r="B85" s="2">
        <v>33.74</v>
      </c>
      <c r="C85" s="5">
        <f t="shared" si="1"/>
        <v>1.1390887290168017E-2</v>
      </c>
      <c r="D85" s="2">
        <v>1087.68</v>
      </c>
      <c r="E85" s="5">
        <f t="shared" si="2"/>
        <v>7.4842534271954975E-3</v>
      </c>
      <c r="F85" s="33">
        <v>40098</v>
      </c>
      <c r="G85" s="2" t="b">
        <f t="shared" si="0"/>
        <v>1</v>
      </c>
      <c r="I85" s="2">
        <f t="shared" si="3"/>
        <v>8.1679652258401826E-3</v>
      </c>
      <c r="J85" s="2">
        <f t="shared" si="4"/>
        <v>3.2229220643278343E-3</v>
      </c>
      <c r="K85" s="2">
        <f t="shared" si="5"/>
        <v>9.228502138135735E-3</v>
      </c>
      <c r="L85" s="2">
        <f t="shared" si="6"/>
        <v>6.0055800738079007E-3</v>
      </c>
    </row>
    <row r="86" spans="1:12" x14ac:dyDescent="0.3">
      <c r="A86" s="33">
        <v>40091</v>
      </c>
      <c r="B86" s="2">
        <v>31.67</v>
      </c>
      <c r="C86" s="5">
        <f t="shared" si="1"/>
        <v>-6.1351511558980443E-2</v>
      </c>
      <c r="D86" s="2">
        <v>1071.49</v>
      </c>
      <c r="E86" s="5">
        <f t="shared" si="2"/>
        <v>-1.4884892615475209E-2</v>
      </c>
      <c r="F86" s="33">
        <v>40091</v>
      </c>
      <c r="G86" s="2" t="b">
        <f t="shared" si="0"/>
        <v>1</v>
      </c>
      <c r="I86" s="2">
        <f t="shared" si="3"/>
        <v>-1.6137706627005095E-2</v>
      </c>
      <c r="J86" s="2">
        <f t="shared" si="4"/>
        <v>-4.5213804931975347E-2</v>
      </c>
      <c r="K86" s="2">
        <f t="shared" si="5"/>
        <v>-6.3513896711012721E-2</v>
      </c>
      <c r="L86" s="2">
        <f t="shared" si="6"/>
        <v>-1.8300091779037377E-2</v>
      </c>
    </row>
    <row r="87" spans="1:12" x14ac:dyDescent="0.3">
      <c r="A87" s="33">
        <v>40084</v>
      </c>
      <c r="B87" s="2">
        <v>29.21</v>
      </c>
      <c r="C87" s="5">
        <f t="shared" si="1"/>
        <v>-7.7676034101673563E-2</v>
      </c>
      <c r="D87" s="2">
        <v>1025.21</v>
      </c>
      <c r="E87" s="5">
        <f t="shared" si="2"/>
        <v>-4.3192190314421897E-2</v>
      </c>
      <c r="F87" s="33">
        <v>40084</v>
      </c>
      <c r="G87" s="2" t="b">
        <f t="shared" si="0"/>
        <v>1</v>
      </c>
      <c r="I87" s="2">
        <f t="shared" si="3"/>
        <v>-4.6895603580198536E-2</v>
      </c>
      <c r="J87" s="2">
        <f t="shared" si="4"/>
        <v>-3.0780430521475027E-2</v>
      </c>
      <c r="K87" s="2">
        <f t="shared" si="5"/>
        <v>-7.9838419253705842E-2</v>
      </c>
      <c r="L87" s="2">
        <f t="shared" si="6"/>
        <v>-4.9057988732230814E-2</v>
      </c>
    </row>
    <row r="88" spans="1:12" x14ac:dyDescent="0.3">
      <c r="A88" s="33">
        <v>40077</v>
      </c>
      <c r="B88" s="2">
        <v>28.77</v>
      </c>
      <c r="C88" s="5">
        <f t="shared" si="1"/>
        <v>-1.5063334474495038E-2</v>
      </c>
      <c r="D88" s="2">
        <v>1044.3800000000001</v>
      </c>
      <c r="E88" s="5">
        <f t="shared" si="2"/>
        <v>1.8698608090049973E-2</v>
      </c>
      <c r="F88" s="33">
        <v>40077</v>
      </c>
      <c r="G88" s="2" t="b">
        <f t="shared" si="0"/>
        <v>1</v>
      </c>
      <c r="I88" s="2">
        <f t="shared" si="3"/>
        <v>2.0353161028881357E-2</v>
      </c>
      <c r="J88" s="2">
        <f t="shared" si="4"/>
        <v>-3.5416495503376395E-2</v>
      </c>
      <c r="K88" s="2">
        <f t="shared" si="5"/>
        <v>-1.722571962652732E-2</v>
      </c>
      <c r="L88" s="2">
        <f t="shared" si="6"/>
        <v>1.8190775876849075E-2</v>
      </c>
    </row>
    <row r="89" spans="1:12" x14ac:dyDescent="0.3">
      <c r="A89" s="33">
        <v>40070</v>
      </c>
      <c r="B89" s="2">
        <v>28.6</v>
      </c>
      <c r="C89" s="5">
        <f t="shared" si="1"/>
        <v>-5.9089329162320681E-3</v>
      </c>
      <c r="D89" s="2">
        <v>1068.3</v>
      </c>
      <c r="E89" s="5">
        <f t="shared" si="2"/>
        <v>2.290354085677615E-2</v>
      </c>
      <c r="F89" s="33">
        <v>40070</v>
      </c>
      <c r="G89" s="2" t="b">
        <f t="shared" si="0"/>
        <v>1</v>
      </c>
      <c r="I89" s="2">
        <f t="shared" si="3"/>
        <v>2.4922120246026372E-2</v>
      </c>
      <c r="J89" s="2">
        <f t="shared" si="4"/>
        <v>-3.083105316225844E-2</v>
      </c>
      <c r="K89" s="2">
        <f t="shared" si="5"/>
        <v>-8.07131806826435E-3</v>
      </c>
      <c r="L89" s="2">
        <f t="shared" si="6"/>
        <v>2.275973509399409E-2</v>
      </c>
    </row>
    <row r="90" spans="1:12" x14ac:dyDescent="0.3">
      <c r="A90" s="33">
        <v>40064</v>
      </c>
      <c r="B90" s="2">
        <v>28.43</v>
      </c>
      <c r="C90" s="5">
        <f t="shared" si="1"/>
        <v>-5.9440559440560037E-3</v>
      </c>
      <c r="D90" s="2">
        <v>1042.73</v>
      </c>
      <c r="E90" s="5">
        <f t="shared" si="2"/>
        <v>-2.3935224187962123E-2</v>
      </c>
      <c r="F90" s="33">
        <v>40064</v>
      </c>
      <c r="G90" s="2" t="b">
        <f t="shared" si="0"/>
        <v>1</v>
      </c>
      <c r="I90" s="2">
        <f t="shared" si="3"/>
        <v>-2.5971537070987878E-2</v>
      </c>
      <c r="J90" s="2">
        <f t="shared" si="4"/>
        <v>2.0027481126931874E-2</v>
      </c>
      <c r="K90" s="2">
        <f t="shared" si="5"/>
        <v>-8.1064410960882856E-3</v>
      </c>
      <c r="L90" s="2">
        <f t="shared" si="6"/>
        <v>-2.813392222302016E-2</v>
      </c>
    </row>
    <row r="91" spans="1:12" x14ac:dyDescent="0.3">
      <c r="A91" s="33">
        <v>40056</v>
      </c>
      <c r="B91" s="2">
        <v>27.65</v>
      </c>
      <c r="C91" s="5">
        <f t="shared" si="1"/>
        <v>-2.7435807245867028E-2</v>
      </c>
      <c r="D91" s="2">
        <v>1016.4</v>
      </c>
      <c r="E91" s="5">
        <f t="shared" si="2"/>
        <v>-2.525102375495103E-2</v>
      </c>
      <c r="F91" s="33">
        <v>40056</v>
      </c>
      <c r="G91" s="2" t="b">
        <f t="shared" si="0"/>
        <v>1</v>
      </c>
      <c r="I91" s="2">
        <f t="shared" si="3"/>
        <v>-2.7401247102758493E-2</v>
      </c>
      <c r="J91" s="2">
        <f t="shared" si="4"/>
        <v>-3.4560143108534891E-5</v>
      </c>
      <c r="K91" s="2">
        <f t="shared" si="5"/>
        <v>-2.959819239789931E-2</v>
      </c>
      <c r="L91" s="2">
        <f t="shared" si="6"/>
        <v>-2.9563632254790775E-2</v>
      </c>
    </row>
    <row r="92" spans="1:12" x14ac:dyDescent="0.3">
      <c r="A92" s="33">
        <v>40049</v>
      </c>
      <c r="B92" s="2">
        <v>29.11</v>
      </c>
      <c r="C92" s="5">
        <f t="shared" si="1"/>
        <v>5.2802893309222387E-2</v>
      </c>
      <c r="D92" s="2">
        <v>1028.93</v>
      </c>
      <c r="E92" s="5">
        <f t="shared" si="2"/>
        <v>1.2327823691460127E-2</v>
      </c>
      <c r="F92" s="33">
        <v>40049</v>
      </c>
      <c r="G92" s="2" t="b">
        <f t="shared" ref="G92:G155" si="7">F92=A92</f>
        <v>1</v>
      </c>
      <c r="I92" s="2">
        <f t="shared" si="3"/>
        <v>1.3430849611987252E-2</v>
      </c>
      <c r="J92" s="2">
        <f t="shared" si="4"/>
        <v>3.9372043697235133E-2</v>
      </c>
      <c r="K92" s="2">
        <f t="shared" si="5"/>
        <v>5.0640508157190109E-2</v>
      </c>
      <c r="L92" s="2">
        <f t="shared" si="6"/>
        <v>1.1268464459954971E-2</v>
      </c>
    </row>
    <row r="93" spans="1:12" x14ac:dyDescent="0.3">
      <c r="A93" s="33">
        <v>40042</v>
      </c>
      <c r="B93" s="2">
        <v>28.78</v>
      </c>
      <c r="C93" s="5">
        <f t="shared" ref="C93:C156" si="8">B93/B92-1</f>
        <v>-1.1336310546203987E-2</v>
      </c>
      <c r="D93" s="2">
        <v>1026.1300000000001</v>
      </c>
      <c r="E93" s="5">
        <f t="shared" ref="E93:E156" si="9">D93/D92-1</f>
        <v>-2.7212735560241397E-3</v>
      </c>
      <c r="F93" s="33">
        <v>40042</v>
      </c>
      <c r="G93" s="2" t="b">
        <f t="shared" si="7"/>
        <v>1</v>
      </c>
      <c r="I93" s="2">
        <f t="shared" ref="I93:I156" si="10">$C$17+$C$18*E93</f>
        <v>-2.921067384806538E-3</v>
      </c>
      <c r="J93" s="2">
        <f t="shared" ref="J93:J156" si="11">C93-I93</f>
        <v>-8.4152431613974486E-3</v>
      </c>
      <c r="K93" s="2">
        <f t="shared" ref="K93:K156" si="12">C93-$C$10</f>
        <v>-1.3498695698236269E-2</v>
      </c>
      <c r="L93" s="2">
        <f t="shared" ref="L93:L156" si="13">I93-$C$10</f>
        <v>-5.0834525368388195E-3</v>
      </c>
    </row>
    <row r="94" spans="1:12" x14ac:dyDescent="0.3">
      <c r="A94" s="33">
        <v>40035</v>
      </c>
      <c r="B94" s="2">
        <v>28.1</v>
      </c>
      <c r="C94" s="5">
        <f t="shared" si="8"/>
        <v>-2.3627519110493433E-2</v>
      </c>
      <c r="D94" s="2">
        <v>1004.09</v>
      </c>
      <c r="E94" s="5">
        <f t="shared" si="9"/>
        <v>-2.147876000116955E-2</v>
      </c>
      <c r="F94" s="33">
        <v>40035</v>
      </c>
      <c r="G94" s="2" t="b">
        <f t="shared" si="7"/>
        <v>1</v>
      </c>
      <c r="I94" s="2">
        <f t="shared" si="10"/>
        <v>-2.3302413612785525E-2</v>
      </c>
      <c r="J94" s="2">
        <f t="shared" si="11"/>
        <v>-3.2510549770790875E-4</v>
      </c>
      <c r="K94" s="2">
        <f t="shared" si="12"/>
        <v>-2.5789904262525715E-2</v>
      </c>
      <c r="L94" s="2">
        <f t="shared" si="13"/>
        <v>-2.5464798764817807E-2</v>
      </c>
    </row>
    <row r="95" spans="1:12" x14ac:dyDescent="0.3">
      <c r="A95" s="33">
        <v>40028</v>
      </c>
      <c r="B95" s="2">
        <v>28.42</v>
      </c>
      <c r="C95" s="5">
        <f t="shared" si="8"/>
        <v>1.1387900355871894E-2</v>
      </c>
      <c r="D95" s="2">
        <v>1010.48</v>
      </c>
      <c r="E95" s="5">
        <f t="shared" si="9"/>
        <v>6.3639713571492784E-3</v>
      </c>
      <c r="F95" s="33">
        <v>40028</v>
      </c>
      <c r="G95" s="2" t="b">
        <f t="shared" si="7"/>
        <v>1</v>
      </c>
      <c r="I95" s="2">
        <f t="shared" si="10"/>
        <v>6.9506988927746285E-3</v>
      </c>
      <c r="J95" s="2">
        <f t="shared" si="11"/>
        <v>4.4372014630972654E-3</v>
      </c>
      <c r="K95" s="2">
        <f t="shared" si="12"/>
        <v>9.225515203839612E-3</v>
      </c>
      <c r="L95" s="2">
        <f t="shared" si="13"/>
        <v>4.7883137407423466E-3</v>
      </c>
    </row>
    <row r="96" spans="1:12" x14ac:dyDescent="0.3">
      <c r="A96" s="33">
        <v>40021</v>
      </c>
      <c r="B96" s="2">
        <v>24.19</v>
      </c>
      <c r="C96" s="5">
        <f t="shared" si="8"/>
        <v>-0.14883884588318086</v>
      </c>
      <c r="D96" s="2">
        <v>987.48</v>
      </c>
      <c r="E96" s="5">
        <f t="shared" si="9"/>
        <v>-2.2761459900245473E-2</v>
      </c>
      <c r="F96" s="33">
        <v>40021</v>
      </c>
      <c r="G96" s="2" t="b">
        <f t="shared" si="7"/>
        <v>1</v>
      </c>
      <c r="I96" s="2">
        <f t="shared" si="10"/>
        <v>-2.469615849572138E-2</v>
      </c>
      <c r="J96" s="2">
        <f t="shared" si="11"/>
        <v>-0.12414268738745948</v>
      </c>
      <c r="K96" s="2">
        <f t="shared" si="12"/>
        <v>-0.15100123103521315</v>
      </c>
      <c r="L96" s="2">
        <f t="shared" si="13"/>
        <v>-2.6858543647753662E-2</v>
      </c>
    </row>
    <row r="97" spans="1:12" x14ac:dyDescent="0.3">
      <c r="A97" s="33">
        <v>40014</v>
      </c>
      <c r="B97" s="2">
        <v>23.73</v>
      </c>
      <c r="C97" s="5">
        <f t="shared" si="8"/>
        <v>-1.9016122364613475E-2</v>
      </c>
      <c r="D97" s="2">
        <v>979.26</v>
      </c>
      <c r="E97" s="5">
        <f t="shared" si="9"/>
        <v>-8.3242192246931745E-3</v>
      </c>
      <c r="F97" s="33">
        <v>40014</v>
      </c>
      <c r="G97" s="2" t="b">
        <f t="shared" si="7"/>
        <v>1</v>
      </c>
      <c r="I97" s="2">
        <f t="shared" si="10"/>
        <v>-9.0090672830686822E-3</v>
      </c>
      <c r="J97" s="2">
        <f t="shared" si="11"/>
        <v>-1.0007055081544793E-2</v>
      </c>
      <c r="K97" s="2">
        <f t="shared" si="12"/>
        <v>-2.1178507516645757E-2</v>
      </c>
      <c r="L97" s="2">
        <f t="shared" si="13"/>
        <v>-1.1171452435100964E-2</v>
      </c>
    </row>
    <row r="98" spans="1:12" x14ac:dyDescent="0.3">
      <c r="A98" s="33">
        <v>40007</v>
      </c>
      <c r="B98" s="2">
        <v>21.87</v>
      </c>
      <c r="C98" s="5">
        <f t="shared" si="8"/>
        <v>-7.8381795195954451E-2</v>
      </c>
      <c r="D98" s="2">
        <v>940.38</v>
      </c>
      <c r="E98" s="5">
        <f t="shared" si="9"/>
        <v>-3.9703449543532887E-2</v>
      </c>
      <c r="F98" s="33">
        <v>40007</v>
      </c>
      <c r="G98" s="2" t="b">
        <f t="shared" si="7"/>
        <v>1</v>
      </c>
      <c r="I98" s="2">
        <f t="shared" si="10"/>
        <v>-4.3104838023251657E-2</v>
      </c>
      <c r="J98" s="2">
        <f t="shared" si="11"/>
        <v>-3.5276957172702794E-2</v>
      </c>
      <c r="K98" s="2">
        <f t="shared" si="12"/>
        <v>-8.054418034798673E-2</v>
      </c>
      <c r="L98" s="2">
        <f t="shared" si="13"/>
        <v>-4.5267223175283935E-2</v>
      </c>
    </row>
    <row r="99" spans="1:12" x14ac:dyDescent="0.3">
      <c r="A99" s="33">
        <v>40000</v>
      </c>
      <c r="B99" s="2">
        <v>19.25</v>
      </c>
      <c r="C99" s="5">
        <f t="shared" si="8"/>
        <v>-0.11979881115683588</v>
      </c>
      <c r="D99" s="2">
        <v>879.13</v>
      </c>
      <c r="E99" s="5">
        <f t="shared" si="9"/>
        <v>-6.5133244007741564E-2</v>
      </c>
      <c r="F99" s="33">
        <v>40000</v>
      </c>
      <c r="G99" s="2" t="b">
        <f t="shared" si="7"/>
        <v>1</v>
      </c>
      <c r="I99" s="2">
        <f t="shared" si="10"/>
        <v>-7.0736122577132743E-2</v>
      </c>
      <c r="J99" s="2">
        <f t="shared" si="11"/>
        <v>-4.906268857970314E-2</v>
      </c>
      <c r="K99" s="2">
        <f t="shared" si="12"/>
        <v>-0.12196119630886816</v>
      </c>
      <c r="L99" s="2">
        <f t="shared" si="13"/>
        <v>-7.2898507729165021E-2</v>
      </c>
    </row>
    <row r="100" spans="1:12" x14ac:dyDescent="0.3">
      <c r="A100" s="33">
        <v>39993</v>
      </c>
      <c r="B100" s="2">
        <v>17.97</v>
      </c>
      <c r="C100" s="5">
        <f t="shared" si="8"/>
        <v>-6.6493506493506604E-2</v>
      </c>
      <c r="D100" s="2">
        <v>896.42</v>
      </c>
      <c r="E100" s="5">
        <f t="shared" si="9"/>
        <v>1.9667170953101332E-2</v>
      </c>
      <c r="F100" s="33">
        <v>39993</v>
      </c>
      <c r="G100" s="2" t="b">
        <f t="shared" si="7"/>
        <v>1</v>
      </c>
      <c r="I100" s="2">
        <f t="shared" si="10"/>
        <v>2.1405573627613174E-2</v>
      </c>
      <c r="J100" s="2">
        <f t="shared" si="11"/>
        <v>-8.7899080121119771E-2</v>
      </c>
      <c r="K100" s="2">
        <f t="shared" si="12"/>
        <v>-6.8655891645538883E-2</v>
      </c>
      <c r="L100" s="2">
        <f t="shared" si="13"/>
        <v>1.9243188475580892E-2</v>
      </c>
    </row>
    <row r="101" spans="1:12" x14ac:dyDescent="0.3">
      <c r="A101" s="33">
        <v>39986</v>
      </c>
      <c r="B101" s="2">
        <v>19.2</v>
      </c>
      <c r="C101" s="5">
        <f t="shared" si="8"/>
        <v>6.8447412353923154E-2</v>
      </c>
      <c r="D101" s="2">
        <v>918.9</v>
      </c>
      <c r="E101" s="5">
        <f t="shared" si="9"/>
        <v>2.5077530621806732E-2</v>
      </c>
      <c r="F101" s="33">
        <v>39986</v>
      </c>
      <c r="G101" s="2" t="b">
        <f t="shared" si="7"/>
        <v>1</v>
      </c>
      <c r="I101" s="2">
        <f t="shared" si="10"/>
        <v>2.7284315107621939E-2</v>
      </c>
      <c r="J101" s="2">
        <f t="shared" si="11"/>
        <v>4.1163097246301211E-2</v>
      </c>
      <c r="K101" s="2">
        <f t="shared" si="12"/>
        <v>6.6285027201890875E-2</v>
      </c>
      <c r="L101" s="2">
        <f t="shared" si="13"/>
        <v>2.5121929955589657E-2</v>
      </c>
    </row>
    <row r="102" spans="1:12" x14ac:dyDescent="0.3">
      <c r="A102" s="33">
        <v>39979</v>
      </c>
      <c r="B102" s="2">
        <v>19.27</v>
      </c>
      <c r="C102" s="5">
        <f t="shared" si="8"/>
        <v>3.6458333333333481E-3</v>
      </c>
      <c r="D102" s="2">
        <v>921.23</v>
      </c>
      <c r="E102" s="5">
        <f t="shared" si="9"/>
        <v>2.5356404396561505E-3</v>
      </c>
      <c r="F102" s="33">
        <v>39979</v>
      </c>
      <c r="G102" s="2" t="b">
        <f t="shared" si="7"/>
        <v>1</v>
      </c>
      <c r="I102" s="2">
        <f t="shared" si="10"/>
        <v>2.7909444324483203E-3</v>
      </c>
      <c r="J102" s="2">
        <f t="shared" si="11"/>
        <v>8.5488890088502786E-4</v>
      </c>
      <c r="K102" s="2">
        <f t="shared" si="12"/>
        <v>1.4834481813010667E-3</v>
      </c>
      <c r="L102" s="2">
        <f t="shared" si="13"/>
        <v>6.285592804160388E-4</v>
      </c>
    </row>
    <row r="103" spans="1:12" x14ac:dyDescent="0.3">
      <c r="A103" s="33">
        <v>39972</v>
      </c>
      <c r="B103" s="2">
        <v>20.440000000000001</v>
      </c>
      <c r="C103" s="5">
        <f t="shared" si="8"/>
        <v>6.0716139076284481E-2</v>
      </c>
      <c r="D103" s="2">
        <v>946.21</v>
      </c>
      <c r="E103" s="5">
        <f t="shared" si="9"/>
        <v>2.7115921105478558E-2</v>
      </c>
      <c r="F103" s="33">
        <v>39972</v>
      </c>
      <c r="G103" s="2" t="b">
        <f t="shared" si="7"/>
        <v>1</v>
      </c>
      <c r="I103" s="2">
        <f t="shared" si="10"/>
        <v>2.9499171683263246E-2</v>
      </c>
      <c r="J103" s="2">
        <f t="shared" si="11"/>
        <v>3.1216967393021235E-2</v>
      </c>
      <c r="K103" s="2">
        <f t="shared" si="12"/>
        <v>5.8553753924252203E-2</v>
      </c>
      <c r="L103" s="2">
        <f t="shared" si="13"/>
        <v>2.7336786531230964E-2</v>
      </c>
    </row>
    <row r="104" spans="1:12" x14ac:dyDescent="0.3">
      <c r="A104" s="33">
        <v>39965</v>
      </c>
      <c r="B104" s="2">
        <v>21.16</v>
      </c>
      <c r="C104" s="5">
        <f t="shared" si="8"/>
        <v>3.5225048923678948E-2</v>
      </c>
      <c r="D104" s="2">
        <v>940.09</v>
      </c>
      <c r="E104" s="5">
        <f t="shared" si="9"/>
        <v>-6.4679088151678998E-3</v>
      </c>
      <c r="F104" s="33">
        <v>39965</v>
      </c>
      <c r="G104" s="2" t="b">
        <f t="shared" si="7"/>
        <v>1</v>
      </c>
      <c r="I104" s="2">
        <f t="shared" si="10"/>
        <v>-6.9920536883219392E-3</v>
      </c>
      <c r="J104" s="2">
        <f t="shared" si="11"/>
        <v>4.2217102612000887E-2</v>
      </c>
      <c r="K104" s="2">
        <f t="shared" si="12"/>
        <v>3.3062663771646669E-2</v>
      </c>
      <c r="L104" s="2">
        <f t="shared" si="13"/>
        <v>-9.1544388403542211E-3</v>
      </c>
    </row>
    <row r="105" spans="1:12" x14ac:dyDescent="0.3">
      <c r="A105" s="33">
        <v>39959</v>
      </c>
      <c r="B105" s="2">
        <v>18.87</v>
      </c>
      <c r="C105" s="5">
        <f t="shared" si="8"/>
        <v>-0.10822306238185253</v>
      </c>
      <c r="D105" s="2">
        <v>919.14</v>
      </c>
      <c r="E105" s="5">
        <f t="shared" si="9"/>
        <v>-2.2285100362731236E-2</v>
      </c>
      <c r="F105" s="33">
        <v>39959</v>
      </c>
      <c r="G105" s="2" t="b">
        <f t="shared" si="7"/>
        <v>1</v>
      </c>
      <c r="I105" s="2">
        <f t="shared" si="10"/>
        <v>-2.4178559898944019E-2</v>
      </c>
      <c r="J105" s="2">
        <f t="shared" si="11"/>
        <v>-8.4044502482908512E-2</v>
      </c>
      <c r="K105" s="2">
        <f t="shared" si="12"/>
        <v>-0.11038544753388481</v>
      </c>
      <c r="L105" s="2">
        <f t="shared" si="13"/>
        <v>-2.6340945050976301E-2</v>
      </c>
    </row>
    <row r="106" spans="1:12" x14ac:dyDescent="0.3">
      <c r="A106" s="33">
        <v>39951</v>
      </c>
      <c r="B106" s="2">
        <v>18.899999999999999</v>
      </c>
      <c r="C106" s="5">
        <f t="shared" si="8"/>
        <v>1.5898251192367763E-3</v>
      </c>
      <c r="D106" s="2">
        <v>887</v>
      </c>
      <c r="E106" s="5">
        <f t="shared" si="9"/>
        <v>-3.4967469591139499E-2</v>
      </c>
      <c r="F106" s="33">
        <v>39951</v>
      </c>
      <c r="G106" s="2" t="b">
        <f t="shared" si="7"/>
        <v>1</v>
      </c>
      <c r="I106" s="2">
        <f t="shared" si="10"/>
        <v>-3.7958858180974935E-2</v>
      </c>
      <c r="J106" s="2">
        <f t="shared" si="11"/>
        <v>3.9548683300211711E-2</v>
      </c>
      <c r="K106" s="2">
        <f t="shared" si="12"/>
        <v>-5.725600327955052E-4</v>
      </c>
      <c r="L106" s="2">
        <f t="shared" si="13"/>
        <v>-4.0121243333007213E-2</v>
      </c>
    </row>
    <row r="107" spans="1:12" x14ac:dyDescent="0.3">
      <c r="A107" s="33">
        <v>39944</v>
      </c>
      <c r="B107" s="2">
        <v>19.61</v>
      </c>
      <c r="C107" s="5">
        <f t="shared" si="8"/>
        <v>3.7566137566137581E-2</v>
      </c>
      <c r="D107" s="2">
        <v>882.88</v>
      </c>
      <c r="E107" s="5">
        <f t="shared" si="9"/>
        <v>-4.6448703494926802E-3</v>
      </c>
      <c r="F107" s="33">
        <v>39944</v>
      </c>
      <c r="G107" s="2" t="b">
        <f t="shared" si="7"/>
        <v>1</v>
      </c>
      <c r="I107" s="2">
        <f t="shared" si="10"/>
        <v>-5.0111924324969873E-3</v>
      </c>
      <c r="J107" s="2">
        <f t="shared" si="11"/>
        <v>4.2577329998634568E-2</v>
      </c>
      <c r="K107" s="2">
        <f t="shared" si="12"/>
        <v>3.5403752414105302E-2</v>
      </c>
      <c r="L107" s="2">
        <f t="shared" si="13"/>
        <v>-7.1735775845292692E-3</v>
      </c>
    </row>
    <row r="108" spans="1:12" x14ac:dyDescent="0.3">
      <c r="A108" s="33">
        <v>39937</v>
      </c>
      <c r="B108" s="2">
        <v>22.17</v>
      </c>
      <c r="C108" s="5">
        <f t="shared" si="8"/>
        <v>0.13054563997960233</v>
      </c>
      <c r="D108" s="2">
        <v>929.23</v>
      </c>
      <c r="E108" s="5">
        <f t="shared" si="9"/>
        <v>5.2498640811888375E-2</v>
      </c>
      <c r="F108" s="33">
        <v>39937</v>
      </c>
      <c r="G108" s="2" t="b">
        <f t="shared" si="7"/>
        <v>1</v>
      </c>
      <c r="I108" s="2">
        <f t="shared" si="10"/>
        <v>5.7079306156876251E-2</v>
      </c>
      <c r="J108" s="2">
        <f t="shared" si="11"/>
        <v>7.3466333822726076E-2</v>
      </c>
      <c r="K108" s="2">
        <f t="shared" si="12"/>
        <v>0.12838325482757004</v>
      </c>
      <c r="L108" s="2">
        <f t="shared" si="13"/>
        <v>5.4916921004843973E-2</v>
      </c>
    </row>
    <row r="109" spans="1:12" x14ac:dyDescent="0.3">
      <c r="A109" s="33">
        <v>39930</v>
      </c>
      <c r="B109" s="2">
        <v>20.93</v>
      </c>
      <c r="C109" s="5">
        <f t="shared" si="8"/>
        <v>-5.5931438881371309E-2</v>
      </c>
      <c r="D109" s="2">
        <v>877.52</v>
      </c>
      <c r="E109" s="5">
        <f t="shared" si="9"/>
        <v>-5.5648224874358387E-2</v>
      </c>
      <c r="F109" s="33">
        <v>39930</v>
      </c>
      <c r="G109" s="2" t="b">
        <f t="shared" si="7"/>
        <v>1</v>
      </c>
      <c r="I109" s="2">
        <f t="shared" si="10"/>
        <v>-6.0429973109727975E-2</v>
      </c>
      <c r="J109" s="2">
        <f t="shared" si="11"/>
        <v>4.4985342283566654E-3</v>
      </c>
      <c r="K109" s="2">
        <f t="shared" si="12"/>
        <v>-5.8093824033403588E-2</v>
      </c>
      <c r="L109" s="2">
        <f t="shared" si="13"/>
        <v>-6.2592358261760253E-2</v>
      </c>
    </row>
    <row r="110" spans="1:12" x14ac:dyDescent="0.3">
      <c r="A110" s="33">
        <v>39923</v>
      </c>
      <c r="B110" s="2">
        <v>19.739999999999998</v>
      </c>
      <c r="C110" s="5">
        <f t="shared" si="8"/>
        <v>-5.6856187290969973E-2</v>
      </c>
      <c r="D110" s="2">
        <v>866.23</v>
      </c>
      <c r="E110" s="5">
        <f t="shared" si="9"/>
        <v>-1.286580362840728E-2</v>
      </c>
      <c r="F110" s="33">
        <v>39923</v>
      </c>
      <c r="G110" s="2" t="b">
        <f t="shared" si="7"/>
        <v>1</v>
      </c>
      <c r="I110" s="2">
        <f t="shared" si="10"/>
        <v>-1.3943822503411271E-2</v>
      </c>
      <c r="J110" s="2">
        <f t="shared" si="11"/>
        <v>-4.29123647875587E-2</v>
      </c>
      <c r="K110" s="2">
        <f t="shared" si="12"/>
        <v>-5.9018572443002251E-2</v>
      </c>
      <c r="L110" s="2">
        <f t="shared" si="13"/>
        <v>-1.6106207655443551E-2</v>
      </c>
    </row>
    <row r="111" spans="1:12" x14ac:dyDescent="0.3">
      <c r="A111" s="33">
        <v>39916</v>
      </c>
      <c r="B111" s="2">
        <v>18.48</v>
      </c>
      <c r="C111" s="5">
        <f t="shared" si="8"/>
        <v>-6.3829787234042423E-2</v>
      </c>
      <c r="D111" s="2">
        <v>869.6</v>
      </c>
      <c r="E111" s="5">
        <f t="shared" si="9"/>
        <v>3.8904217124782203E-3</v>
      </c>
      <c r="F111" s="33">
        <v>39916</v>
      </c>
      <c r="G111" s="2" t="b">
        <f t="shared" si="7"/>
        <v>1</v>
      </c>
      <c r="I111" s="2">
        <f t="shared" si="10"/>
        <v>4.2630108665794742E-3</v>
      </c>
      <c r="J111" s="2">
        <f t="shared" si="11"/>
        <v>-6.8092798100621896E-2</v>
      </c>
      <c r="K111" s="2">
        <f t="shared" si="12"/>
        <v>-6.5992172386074702E-2</v>
      </c>
      <c r="L111" s="2">
        <f t="shared" si="13"/>
        <v>2.1006257145471927E-3</v>
      </c>
    </row>
    <row r="112" spans="1:12" x14ac:dyDescent="0.3">
      <c r="A112" s="33">
        <v>39909</v>
      </c>
      <c r="B112" s="2">
        <v>18.36</v>
      </c>
      <c r="C112" s="5">
        <f t="shared" si="8"/>
        <v>-6.4935064935065512E-3</v>
      </c>
      <c r="D112" s="2">
        <v>856.56</v>
      </c>
      <c r="E112" s="5">
        <f t="shared" si="9"/>
        <v>-1.4995400183992702E-2</v>
      </c>
      <c r="F112" s="33">
        <v>39909</v>
      </c>
      <c r="G112" s="2" t="b">
        <f t="shared" si="7"/>
        <v>1</v>
      </c>
      <c r="I112" s="2">
        <f t="shared" si="10"/>
        <v>-1.6257780978190355E-2</v>
      </c>
      <c r="J112" s="2">
        <f t="shared" si="11"/>
        <v>9.7642744846838034E-3</v>
      </c>
      <c r="K112" s="2">
        <f t="shared" si="12"/>
        <v>-8.6558916455388331E-3</v>
      </c>
      <c r="L112" s="2">
        <f t="shared" si="13"/>
        <v>-1.8420166130222636E-2</v>
      </c>
    </row>
    <row r="113" spans="1:12" x14ac:dyDescent="0.3">
      <c r="A113" s="33">
        <v>39902</v>
      </c>
      <c r="B113" s="2">
        <v>18.64</v>
      </c>
      <c r="C113" s="5">
        <f t="shared" si="8"/>
        <v>1.5250544662309462E-2</v>
      </c>
      <c r="D113" s="2">
        <v>842.5</v>
      </c>
      <c r="E113" s="5">
        <f t="shared" si="9"/>
        <v>-1.641449519006255E-2</v>
      </c>
      <c r="F113" s="33">
        <v>39902</v>
      </c>
      <c r="G113" s="2" t="b">
        <f t="shared" si="7"/>
        <v>1</v>
      </c>
      <c r="I113" s="2">
        <f t="shared" si="10"/>
        <v>-1.7799728868366817E-2</v>
      </c>
      <c r="J113" s="2">
        <f t="shared" si="11"/>
        <v>3.3050273530676279E-2</v>
      </c>
      <c r="K113" s="2">
        <f t="shared" si="12"/>
        <v>1.308815951027718E-2</v>
      </c>
      <c r="L113" s="2">
        <f t="shared" si="13"/>
        <v>-1.9962114020399099E-2</v>
      </c>
    </row>
    <row r="114" spans="1:12" x14ac:dyDescent="0.3">
      <c r="A114" s="33">
        <v>39895</v>
      </c>
      <c r="B114" s="2">
        <v>17.97</v>
      </c>
      <c r="C114" s="5">
        <f t="shared" si="8"/>
        <v>-3.5944206008583834E-2</v>
      </c>
      <c r="D114" s="2">
        <v>815.94</v>
      </c>
      <c r="E114" s="5">
        <f t="shared" si="9"/>
        <v>-3.1525222551928689E-2</v>
      </c>
      <c r="F114" s="33">
        <v>39895</v>
      </c>
      <c r="G114" s="2" t="b">
        <f t="shared" si="7"/>
        <v>1</v>
      </c>
      <c r="I114" s="2">
        <f t="shared" si="10"/>
        <v>-3.4218611377995187E-2</v>
      </c>
      <c r="J114" s="2">
        <f t="shared" si="11"/>
        <v>-1.7255946305886477E-3</v>
      </c>
      <c r="K114" s="2">
        <f t="shared" si="12"/>
        <v>-3.8106591160616113E-2</v>
      </c>
      <c r="L114" s="2">
        <f t="shared" si="13"/>
        <v>-3.6380996530027465E-2</v>
      </c>
    </row>
    <row r="115" spans="1:12" x14ac:dyDescent="0.3">
      <c r="A115" s="33">
        <v>39888</v>
      </c>
      <c r="B115" s="2">
        <v>15.37</v>
      </c>
      <c r="C115" s="5">
        <f t="shared" si="8"/>
        <v>-0.14468558708959378</v>
      </c>
      <c r="D115" s="2">
        <v>768.54</v>
      </c>
      <c r="E115" s="5">
        <f t="shared" si="9"/>
        <v>-5.8092506801970867E-2</v>
      </c>
      <c r="F115" s="33">
        <v>39888</v>
      </c>
      <c r="G115" s="2" t="b">
        <f t="shared" si="7"/>
        <v>1</v>
      </c>
      <c r="I115" s="2">
        <f t="shared" si="10"/>
        <v>-6.3085859674868211E-2</v>
      </c>
      <c r="J115" s="2">
        <f t="shared" si="11"/>
        <v>-8.159972741472557E-2</v>
      </c>
      <c r="K115" s="2">
        <f t="shared" si="12"/>
        <v>-0.14684797224162607</v>
      </c>
      <c r="L115" s="2">
        <f t="shared" si="13"/>
        <v>-6.5248244826900489E-2</v>
      </c>
    </row>
    <row r="116" spans="1:12" x14ac:dyDescent="0.3">
      <c r="A116" s="33">
        <v>39881</v>
      </c>
      <c r="B116" s="2">
        <v>14.38</v>
      </c>
      <c r="C116" s="5">
        <f t="shared" si="8"/>
        <v>-6.4411190631099458E-2</v>
      </c>
      <c r="D116" s="2">
        <v>756.55</v>
      </c>
      <c r="E116" s="5">
        <f t="shared" si="9"/>
        <v>-1.5601009706716629E-2</v>
      </c>
      <c r="F116" s="33">
        <v>39881</v>
      </c>
      <c r="G116" s="2" t="b">
        <f t="shared" si="7"/>
        <v>1</v>
      </c>
      <c r="I116" s="2">
        <f t="shared" si="10"/>
        <v>-1.6915818898020064E-2</v>
      </c>
      <c r="J116" s="2">
        <f t="shared" si="11"/>
        <v>-4.7495371733079397E-2</v>
      </c>
      <c r="K116" s="2">
        <f t="shared" si="12"/>
        <v>-6.6573575783131736E-2</v>
      </c>
      <c r="L116" s="2">
        <f t="shared" si="13"/>
        <v>-1.9078204050052346E-2</v>
      </c>
    </row>
    <row r="117" spans="1:12" x14ac:dyDescent="0.3">
      <c r="A117" s="33">
        <v>39874</v>
      </c>
      <c r="B117" s="2">
        <v>12.08</v>
      </c>
      <c r="C117" s="5">
        <f t="shared" si="8"/>
        <v>-0.15994436717663429</v>
      </c>
      <c r="D117" s="2">
        <v>683.38</v>
      </c>
      <c r="E117" s="5">
        <f t="shared" si="9"/>
        <v>-9.6715352587403269E-2</v>
      </c>
      <c r="F117" s="33">
        <v>39874</v>
      </c>
      <c r="G117" s="2" t="b">
        <f t="shared" si="7"/>
        <v>1</v>
      </c>
      <c r="I117" s="2">
        <f t="shared" si="10"/>
        <v>-0.10505233501071827</v>
      </c>
      <c r="J117" s="2">
        <f t="shared" si="11"/>
        <v>-5.4892032165916024E-2</v>
      </c>
      <c r="K117" s="2">
        <f t="shared" si="12"/>
        <v>-0.16210675232866659</v>
      </c>
      <c r="L117" s="2">
        <f t="shared" si="13"/>
        <v>-0.10721472016275055</v>
      </c>
    </row>
    <row r="118" spans="1:12" x14ac:dyDescent="0.3">
      <c r="A118" s="33">
        <v>39867</v>
      </c>
      <c r="B118" s="2">
        <v>12.15</v>
      </c>
      <c r="C118" s="5">
        <f t="shared" si="8"/>
        <v>5.7947019867550242E-3</v>
      </c>
      <c r="D118" s="2">
        <v>735.09</v>
      </c>
      <c r="E118" s="5">
        <f t="shared" si="9"/>
        <v>7.5668003160759723E-2</v>
      </c>
      <c r="F118" s="33">
        <v>39867</v>
      </c>
      <c r="G118" s="2" t="b">
        <f t="shared" si="7"/>
        <v>1</v>
      </c>
      <c r="I118" s="2">
        <f t="shared" si="10"/>
        <v>8.2254470073151523E-2</v>
      </c>
      <c r="J118" s="2">
        <f t="shared" si="11"/>
        <v>-7.6459768086396498E-2</v>
      </c>
      <c r="K118" s="2">
        <f t="shared" si="12"/>
        <v>3.6323168347227428E-3</v>
      </c>
      <c r="L118" s="2">
        <f t="shared" si="13"/>
        <v>8.0092084921119244E-2</v>
      </c>
    </row>
    <row r="119" spans="1:12" x14ac:dyDescent="0.3">
      <c r="A119" s="33">
        <v>39861</v>
      </c>
      <c r="B119" s="2">
        <v>12.84</v>
      </c>
      <c r="C119" s="5">
        <f t="shared" si="8"/>
        <v>5.679012345679002E-2</v>
      </c>
      <c r="D119" s="2">
        <v>770.05</v>
      </c>
      <c r="E119" s="5">
        <f t="shared" si="9"/>
        <v>4.755880232352494E-2</v>
      </c>
      <c r="F119" s="33">
        <v>39861</v>
      </c>
      <c r="G119" s="2" t="b">
        <f t="shared" si="7"/>
        <v>1</v>
      </c>
      <c r="I119" s="2">
        <f t="shared" si="10"/>
        <v>5.1711819482365633E-2</v>
      </c>
      <c r="J119" s="2">
        <f t="shared" si="11"/>
        <v>5.0783039744243877E-3</v>
      </c>
      <c r="K119" s="2">
        <f t="shared" si="12"/>
        <v>5.4627738304757742E-2</v>
      </c>
      <c r="L119" s="2">
        <f t="shared" si="13"/>
        <v>4.9549434330333354E-2</v>
      </c>
    </row>
    <row r="120" spans="1:12" x14ac:dyDescent="0.3">
      <c r="A120" s="33">
        <v>39853</v>
      </c>
      <c r="B120" s="2">
        <v>9.9700000000000006</v>
      </c>
      <c r="C120" s="5">
        <f t="shared" si="8"/>
        <v>-0.22352024922118374</v>
      </c>
      <c r="D120" s="2">
        <v>826.84</v>
      </c>
      <c r="E120" s="5">
        <f t="shared" si="9"/>
        <v>7.3748457892344854E-2</v>
      </c>
      <c r="F120" s="33">
        <v>39853</v>
      </c>
      <c r="G120" s="2" t="b">
        <f t="shared" si="7"/>
        <v>1</v>
      </c>
      <c r="I120" s="2">
        <f t="shared" si="10"/>
        <v>8.016874729626168E-2</v>
      </c>
      <c r="J120" s="2">
        <f t="shared" si="11"/>
        <v>-0.30368899651744541</v>
      </c>
      <c r="K120" s="2">
        <f t="shared" si="12"/>
        <v>-0.22568263437321603</v>
      </c>
      <c r="L120" s="2">
        <f t="shared" si="13"/>
        <v>7.8006362144229402E-2</v>
      </c>
    </row>
    <row r="121" spans="1:12" x14ac:dyDescent="0.3">
      <c r="A121" s="33">
        <v>39846</v>
      </c>
      <c r="B121" s="2">
        <v>10.88</v>
      </c>
      <c r="C121" s="5">
        <f t="shared" si="8"/>
        <v>9.1273821464393112E-2</v>
      </c>
      <c r="D121" s="2">
        <v>868.6</v>
      </c>
      <c r="E121" s="5">
        <f t="shared" si="9"/>
        <v>5.0505539161143531E-2</v>
      </c>
      <c r="F121" s="33">
        <v>39846</v>
      </c>
      <c r="G121" s="2" t="b">
        <f t="shared" si="7"/>
        <v>1</v>
      </c>
      <c r="I121" s="2">
        <f t="shared" si="10"/>
        <v>5.4913659126812668E-2</v>
      </c>
      <c r="J121" s="2">
        <f t="shared" si="11"/>
        <v>3.6360162337580444E-2</v>
      </c>
      <c r="K121" s="2">
        <f t="shared" si="12"/>
        <v>8.9111436312360834E-2</v>
      </c>
      <c r="L121" s="2">
        <f t="shared" si="13"/>
        <v>5.275127397478039E-2</v>
      </c>
    </row>
    <row r="122" spans="1:12" x14ac:dyDescent="0.3">
      <c r="A122" s="33">
        <v>39839</v>
      </c>
      <c r="B122" s="2">
        <v>10.25</v>
      </c>
      <c r="C122" s="5">
        <f t="shared" si="8"/>
        <v>-5.7904411764705954E-2</v>
      </c>
      <c r="D122" s="2">
        <v>825.88</v>
      </c>
      <c r="E122" s="5">
        <f t="shared" si="9"/>
        <v>-4.9182592677872505E-2</v>
      </c>
      <c r="F122" s="33">
        <v>39839</v>
      </c>
      <c r="G122" s="2" t="b">
        <f t="shared" si="7"/>
        <v>1</v>
      </c>
      <c r="I122" s="2">
        <f t="shared" si="10"/>
        <v>-5.3404602798800611E-2</v>
      </c>
      <c r="J122" s="2">
        <f t="shared" si="11"/>
        <v>-4.4998089659053428E-3</v>
      </c>
      <c r="K122" s="2">
        <f t="shared" si="12"/>
        <v>-6.0066796916738233E-2</v>
      </c>
      <c r="L122" s="2">
        <f t="shared" si="13"/>
        <v>-5.556698795083289E-2</v>
      </c>
    </row>
    <row r="123" spans="1:12" x14ac:dyDescent="0.3">
      <c r="A123" s="33">
        <v>39833</v>
      </c>
      <c r="B123" s="2">
        <v>11.37</v>
      </c>
      <c r="C123" s="5">
        <f t="shared" si="8"/>
        <v>0.1092682926829267</v>
      </c>
      <c r="D123" s="2">
        <v>831.95</v>
      </c>
      <c r="E123" s="5">
        <f t="shared" si="9"/>
        <v>7.349736039134136E-3</v>
      </c>
      <c r="F123" s="33">
        <v>39833</v>
      </c>
      <c r="G123" s="2" t="b">
        <f t="shared" si="7"/>
        <v>1</v>
      </c>
      <c r="I123" s="2">
        <f t="shared" si="10"/>
        <v>8.0218024940808021E-3</v>
      </c>
      <c r="J123" s="2">
        <f t="shared" si="11"/>
        <v>0.10124649018884591</v>
      </c>
      <c r="K123" s="2">
        <f t="shared" si="12"/>
        <v>0.10710590753089443</v>
      </c>
      <c r="L123" s="2">
        <f t="shared" si="13"/>
        <v>5.8594173420485202E-3</v>
      </c>
    </row>
    <row r="124" spans="1:12" x14ac:dyDescent="0.3">
      <c r="A124" s="33">
        <v>39825</v>
      </c>
      <c r="B124" s="2">
        <v>12.16</v>
      </c>
      <c r="C124" s="5">
        <f t="shared" si="8"/>
        <v>6.9481090589269989E-2</v>
      </c>
      <c r="D124" s="2">
        <v>850.12</v>
      </c>
      <c r="E124" s="5">
        <f t="shared" si="9"/>
        <v>2.1840254823006111E-2</v>
      </c>
      <c r="F124" s="33">
        <v>39825</v>
      </c>
      <c r="G124" s="2" t="b">
        <f t="shared" si="7"/>
        <v>1</v>
      </c>
      <c r="I124" s="2">
        <f t="shared" si="10"/>
        <v>2.3766784169574062E-2</v>
      </c>
      <c r="J124" s="2">
        <f t="shared" si="11"/>
        <v>4.5714306419695927E-2</v>
      </c>
      <c r="K124" s="2">
        <f t="shared" si="12"/>
        <v>6.7318705437237711E-2</v>
      </c>
      <c r="L124" s="2">
        <f t="shared" si="13"/>
        <v>2.160439901754178E-2</v>
      </c>
    </row>
    <row r="125" spans="1:12" x14ac:dyDescent="0.3">
      <c r="A125" s="33">
        <v>39818</v>
      </c>
      <c r="B125" s="2">
        <v>12.57</v>
      </c>
      <c r="C125" s="5">
        <f t="shared" si="8"/>
        <v>3.3717105263157965E-2</v>
      </c>
      <c r="D125" s="2">
        <v>890.35</v>
      </c>
      <c r="E125" s="5">
        <f t="shared" si="9"/>
        <v>4.7322730908577526E-2</v>
      </c>
      <c r="F125" s="33">
        <v>39818</v>
      </c>
      <c r="G125" s="2" t="b">
        <f t="shared" si="7"/>
        <v>1</v>
      </c>
      <c r="I125" s="2">
        <f t="shared" si="10"/>
        <v>5.1455311060693953E-2</v>
      </c>
      <c r="J125" s="2">
        <f t="shared" si="11"/>
        <v>-1.7738205797535989E-2</v>
      </c>
      <c r="K125" s="2">
        <f t="shared" si="12"/>
        <v>3.1554720111125686E-2</v>
      </c>
      <c r="L125" s="2">
        <f t="shared" si="13"/>
        <v>4.9292925908661675E-2</v>
      </c>
    </row>
    <row r="126" spans="1:12" x14ac:dyDescent="0.3">
      <c r="A126" s="33">
        <v>39811</v>
      </c>
      <c r="B126" s="2">
        <v>9.89</v>
      </c>
      <c r="C126" s="5">
        <f t="shared" si="8"/>
        <v>-0.21320604614160699</v>
      </c>
      <c r="D126" s="2">
        <v>931.8</v>
      </c>
      <c r="E126" s="5">
        <f t="shared" si="9"/>
        <v>4.655472566968033E-2</v>
      </c>
      <c r="F126" s="33">
        <v>39811</v>
      </c>
      <c r="G126" s="2" t="b">
        <f t="shared" si="7"/>
        <v>1</v>
      </c>
      <c r="I126" s="2">
        <f t="shared" si="10"/>
        <v>5.0620818618188866E-2</v>
      </c>
      <c r="J126" s="2">
        <f t="shared" si="11"/>
        <v>-0.26382686475979583</v>
      </c>
      <c r="K126" s="2">
        <f t="shared" si="12"/>
        <v>-0.21536843129363928</v>
      </c>
      <c r="L126" s="2">
        <f t="shared" si="13"/>
        <v>4.8458433466156588E-2</v>
      </c>
    </row>
    <row r="127" spans="1:12" x14ac:dyDescent="0.3">
      <c r="A127" s="33">
        <v>39804</v>
      </c>
      <c r="B127" s="2">
        <v>8.89</v>
      </c>
      <c r="C127" s="5">
        <f t="shared" si="8"/>
        <v>-0.10111223458038421</v>
      </c>
      <c r="D127" s="2">
        <v>872.8</v>
      </c>
      <c r="E127" s="5">
        <f t="shared" si="9"/>
        <v>-6.3318308649924826E-2</v>
      </c>
      <c r="F127" s="33">
        <v>39804</v>
      </c>
      <c r="G127" s="2" t="b">
        <f t="shared" si="7"/>
        <v>1</v>
      </c>
      <c r="I127" s="2">
        <f t="shared" si="10"/>
        <v>-6.8764065925659743E-2</v>
      </c>
      <c r="J127" s="2">
        <f t="shared" si="11"/>
        <v>-3.2348168654724466E-2</v>
      </c>
      <c r="K127" s="2">
        <f t="shared" si="12"/>
        <v>-0.10327461973241649</v>
      </c>
      <c r="L127" s="2">
        <f t="shared" si="13"/>
        <v>-7.0926451077692021E-2</v>
      </c>
    </row>
    <row r="128" spans="1:12" x14ac:dyDescent="0.3">
      <c r="A128" s="33">
        <v>39797</v>
      </c>
      <c r="B128" s="2">
        <v>9.9600000000000009</v>
      </c>
      <c r="C128" s="5">
        <f t="shared" si="8"/>
        <v>0.12035995500562424</v>
      </c>
      <c r="D128" s="2">
        <v>887.88</v>
      </c>
      <c r="E128" s="5">
        <f t="shared" si="9"/>
        <v>1.7277726856095299E-2</v>
      </c>
      <c r="F128" s="33">
        <v>39797</v>
      </c>
      <c r="G128" s="2" t="b">
        <f t="shared" si="7"/>
        <v>1</v>
      </c>
      <c r="I128" s="2">
        <f t="shared" si="10"/>
        <v>1.8809272274769362E-2</v>
      </c>
      <c r="J128" s="2">
        <f t="shared" si="11"/>
        <v>0.10155068273085488</v>
      </c>
      <c r="K128" s="2">
        <f t="shared" si="12"/>
        <v>0.11819756985359196</v>
      </c>
      <c r="L128" s="2">
        <f t="shared" si="13"/>
        <v>1.664688712273708E-2</v>
      </c>
    </row>
    <row r="129" spans="1:12" x14ac:dyDescent="0.3">
      <c r="A129" s="33">
        <v>39790</v>
      </c>
      <c r="B129" s="2">
        <v>10.35</v>
      </c>
      <c r="C129" s="5">
        <f t="shared" si="8"/>
        <v>3.9156626506023917E-2</v>
      </c>
      <c r="D129" s="2">
        <v>879.73</v>
      </c>
      <c r="E129" s="5">
        <f t="shared" si="9"/>
        <v>-9.179168356084122E-3</v>
      </c>
      <c r="F129" s="33">
        <v>39790</v>
      </c>
      <c r="G129" s="2" t="b">
        <f t="shared" si="7"/>
        <v>1</v>
      </c>
      <c r="I129" s="2">
        <f t="shared" si="10"/>
        <v>-9.9380304629247199E-3</v>
      </c>
      <c r="J129" s="2">
        <f t="shared" si="11"/>
        <v>4.9094656968948637E-2</v>
      </c>
      <c r="K129" s="2">
        <f t="shared" si="12"/>
        <v>3.6994241353991639E-2</v>
      </c>
      <c r="L129" s="2">
        <f t="shared" si="13"/>
        <v>-1.2100415614957002E-2</v>
      </c>
    </row>
    <row r="130" spans="1:12" x14ac:dyDescent="0.3">
      <c r="A130" s="33">
        <v>39783</v>
      </c>
      <c r="B130" s="2">
        <v>10.6</v>
      </c>
      <c r="C130" s="5">
        <f t="shared" si="8"/>
        <v>2.4154589371980784E-2</v>
      </c>
      <c r="D130" s="2">
        <v>876.07</v>
      </c>
      <c r="E130" s="5">
        <f t="shared" si="9"/>
        <v>-4.160367385447783E-3</v>
      </c>
      <c r="F130" s="33">
        <v>39783</v>
      </c>
      <c r="G130" s="2" t="b">
        <f t="shared" si="7"/>
        <v>1</v>
      </c>
      <c r="I130" s="2">
        <f t="shared" si="10"/>
        <v>-4.4847454222560826E-3</v>
      </c>
      <c r="J130" s="2">
        <f t="shared" si="11"/>
        <v>2.8639334794236866E-2</v>
      </c>
      <c r="K130" s="2">
        <f t="shared" si="12"/>
        <v>2.1992204219948502E-2</v>
      </c>
      <c r="L130" s="2">
        <f t="shared" si="13"/>
        <v>-6.6471305742883645E-3</v>
      </c>
    </row>
    <row r="131" spans="1:12" x14ac:dyDescent="0.3">
      <c r="A131" s="33">
        <v>39776</v>
      </c>
      <c r="B131" s="2">
        <v>10.58</v>
      </c>
      <c r="C131" s="5">
        <f t="shared" si="8"/>
        <v>-1.8867924528301883E-3</v>
      </c>
      <c r="D131" s="2">
        <v>896.24</v>
      </c>
      <c r="E131" s="5">
        <f t="shared" si="9"/>
        <v>2.3023274395881588E-2</v>
      </c>
      <c r="F131" s="33">
        <v>39776</v>
      </c>
      <c r="G131" s="2" t="b">
        <f t="shared" si="7"/>
        <v>1</v>
      </c>
      <c r="I131" s="2">
        <f t="shared" si="10"/>
        <v>2.5052219271967067E-2</v>
      </c>
      <c r="J131" s="2">
        <f t="shared" si="11"/>
        <v>-2.6939011724797256E-2</v>
      </c>
      <c r="K131" s="2">
        <f t="shared" si="12"/>
        <v>-4.0491776048624702E-3</v>
      </c>
      <c r="L131" s="2">
        <f t="shared" si="13"/>
        <v>2.2889834119934786E-2</v>
      </c>
    </row>
    <row r="132" spans="1:12" x14ac:dyDescent="0.3">
      <c r="A132" s="33">
        <v>39769</v>
      </c>
      <c r="B132" s="2">
        <v>8.19</v>
      </c>
      <c r="C132" s="5">
        <f t="shared" si="8"/>
        <v>-0.22589792060491498</v>
      </c>
      <c r="D132" s="2">
        <v>800.03</v>
      </c>
      <c r="E132" s="5">
        <f t="shared" si="9"/>
        <v>-0.10734847808622694</v>
      </c>
      <c r="F132" s="33">
        <v>39769</v>
      </c>
      <c r="G132" s="2" t="b">
        <f t="shared" si="7"/>
        <v>1</v>
      </c>
      <c r="I132" s="2">
        <f t="shared" si="10"/>
        <v>-0.11660598389170494</v>
      </c>
      <c r="J132" s="2">
        <f t="shared" si="11"/>
        <v>-0.10929193671321004</v>
      </c>
      <c r="K132" s="2">
        <f t="shared" si="12"/>
        <v>-0.22806030575694727</v>
      </c>
      <c r="L132" s="2">
        <f t="shared" si="13"/>
        <v>-0.11876836904373722</v>
      </c>
    </row>
    <row r="133" spans="1:12" x14ac:dyDescent="0.3">
      <c r="A133" s="33">
        <v>39762</v>
      </c>
      <c r="B133" s="2">
        <v>9.3800000000000008</v>
      </c>
      <c r="C133" s="5">
        <f t="shared" si="8"/>
        <v>0.14529914529914545</v>
      </c>
      <c r="D133" s="2">
        <v>873.29</v>
      </c>
      <c r="E133" s="5">
        <f t="shared" si="9"/>
        <v>9.1571566066272592E-2</v>
      </c>
      <c r="F133" s="33">
        <v>39762</v>
      </c>
      <c r="G133" s="2" t="b">
        <f t="shared" si="7"/>
        <v>1</v>
      </c>
      <c r="I133" s="2">
        <f t="shared" si="10"/>
        <v>9.9534824921526766E-2</v>
      </c>
      <c r="J133" s="2">
        <f t="shared" si="11"/>
        <v>4.5764320377618684E-2</v>
      </c>
      <c r="K133" s="2">
        <f t="shared" si="12"/>
        <v>0.14313676014711316</v>
      </c>
      <c r="L133" s="2">
        <f t="shared" si="13"/>
        <v>9.7372439769494487E-2</v>
      </c>
    </row>
    <row r="134" spans="1:12" x14ac:dyDescent="0.3">
      <c r="A134" s="33">
        <v>39755</v>
      </c>
      <c r="B134" s="2">
        <v>10.050000000000001</v>
      </c>
      <c r="C134" s="5">
        <f t="shared" si="8"/>
        <v>7.1428571428571397E-2</v>
      </c>
      <c r="D134" s="2">
        <v>930.99</v>
      </c>
      <c r="E134" s="5">
        <f t="shared" si="9"/>
        <v>6.6071980670796782E-2</v>
      </c>
      <c r="F134" s="33">
        <v>39755</v>
      </c>
      <c r="G134" s="2" t="b">
        <f t="shared" si="7"/>
        <v>1</v>
      </c>
      <c r="I134" s="2">
        <f t="shared" si="10"/>
        <v>7.1827707545487521E-2</v>
      </c>
      <c r="J134" s="2">
        <f t="shared" si="11"/>
        <v>-3.9913611691612394E-4</v>
      </c>
      <c r="K134" s="2">
        <f t="shared" si="12"/>
        <v>6.9266186276539118E-2</v>
      </c>
      <c r="L134" s="2">
        <f t="shared" si="13"/>
        <v>6.9665322393455242E-2</v>
      </c>
    </row>
    <row r="135" spans="1:12" x14ac:dyDescent="0.3">
      <c r="A135" s="33">
        <v>39748</v>
      </c>
      <c r="B135" s="2">
        <v>10.72</v>
      </c>
      <c r="C135" s="5">
        <f t="shared" si="8"/>
        <v>6.6666666666666652E-2</v>
      </c>
      <c r="D135" s="2">
        <v>968.75</v>
      </c>
      <c r="E135" s="5">
        <f t="shared" si="9"/>
        <v>4.0558974854724594E-2</v>
      </c>
      <c r="F135" s="33">
        <v>39748</v>
      </c>
      <c r="G135" s="2" t="b">
        <f t="shared" si="7"/>
        <v>1</v>
      </c>
      <c r="I135" s="2">
        <f t="shared" si="10"/>
        <v>4.4106007925739897E-2</v>
      </c>
      <c r="J135" s="2">
        <f t="shared" si="11"/>
        <v>2.2560658740926755E-2</v>
      </c>
      <c r="K135" s="2">
        <f t="shared" si="12"/>
        <v>6.4504281514634373E-2</v>
      </c>
      <c r="L135" s="2">
        <f t="shared" si="13"/>
        <v>4.1943622773707619E-2</v>
      </c>
    </row>
    <row r="136" spans="1:12" x14ac:dyDescent="0.3">
      <c r="A136" s="33">
        <v>39741</v>
      </c>
      <c r="B136" s="2">
        <v>10.74</v>
      </c>
      <c r="C136" s="5">
        <f t="shared" si="8"/>
        <v>1.8656716417910779E-3</v>
      </c>
      <c r="D136" s="2">
        <v>876.77</v>
      </c>
      <c r="E136" s="5">
        <f t="shared" si="9"/>
        <v>-9.4947096774193551E-2</v>
      </c>
      <c r="F136" s="33">
        <v>39741</v>
      </c>
      <c r="G136" s="2" t="b">
        <f t="shared" si="7"/>
        <v>1</v>
      </c>
      <c r="I136" s="2">
        <f t="shared" si="10"/>
        <v>-0.103130999012206</v>
      </c>
      <c r="J136" s="2">
        <f t="shared" si="11"/>
        <v>0.10499667065399708</v>
      </c>
      <c r="K136" s="2">
        <f t="shared" si="12"/>
        <v>-2.9671351024120355E-4</v>
      </c>
      <c r="L136" s="2">
        <f t="shared" si="13"/>
        <v>-0.10529338416423828</v>
      </c>
    </row>
    <row r="137" spans="1:12" x14ac:dyDescent="0.3">
      <c r="A137" s="33">
        <v>39734</v>
      </c>
      <c r="B137" s="2">
        <v>13.98</v>
      </c>
      <c r="C137" s="5">
        <f t="shared" si="8"/>
        <v>0.3016759776536313</v>
      </c>
      <c r="D137" s="2">
        <v>940.55</v>
      </c>
      <c r="E137" s="5">
        <f t="shared" si="9"/>
        <v>7.2744277290509363E-2</v>
      </c>
      <c r="F137" s="33">
        <v>39734</v>
      </c>
      <c r="G137" s="2" t="b">
        <f t="shared" si="7"/>
        <v>1</v>
      </c>
      <c r="I137" s="2">
        <f t="shared" si="10"/>
        <v>7.9077633485182458E-2</v>
      </c>
      <c r="J137" s="2">
        <f t="shared" si="11"/>
        <v>0.22259834416844884</v>
      </c>
      <c r="K137" s="2">
        <f t="shared" si="12"/>
        <v>0.29951359250159904</v>
      </c>
      <c r="L137" s="2">
        <f t="shared" si="13"/>
        <v>7.691524833315018E-2</v>
      </c>
    </row>
    <row r="138" spans="1:12" x14ac:dyDescent="0.3">
      <c r="A138" s="33">
        <v>39727</v>
      </c>
      <c r="B138" s="2">
        <v>14.83</v>
      </c>
      <c r="C138" s="5">
        <f t="shared" si="8"/>
        <v>6.0801144492131698E-2</v>
      </c>
      <c r="D138" s="2">
        <v>899.22</v>
      </c>
      <c r="E138" s="5">
        <f t="shared" si="9"/>
        <v>-4.3942374142788676E-2</v>
      </c>
      <c r="F138" s="33">
        <v>39727</v>
      </c>
      <c r="G138" s="2" t="b">
        <f t="shared" si="7"/>
        <v>1</v>
      </c>
      <c r="I138" s="2">
        <f t="shared" si="10"/>
        <v>-4.7710731789689056E-2</v>
      </c>
      <c r="J138" s="2">
        <f t="shared" si="11"/>
        <v>0.10851187628182075</v>
      </c>
      <c r="K138" s="2">
        <f t="shared" si="12"/>
        <v>5.8638759340099419E-2</v>
      </c>
      <c r="L138" s="2">
        <f t="shared" si="13"/>
        <v>-4.9873116941721335E-2</v>
      </c>
    </row>
    <row r="139" spans="1:12" x14ac:dyDescent="0.3">
      <c r="A139" s="33">
        <v>39720</v>
      </c>
      <c r="B139" s="2">
        <v>18</v>
      </c>
      <c r="C139" s="5">
        <f t="shared" si="8"/>
        <v>0.21375590020229263</v>
      </c>
      <c r="D139" s="2">
        <v>1099.23</v>
      </c>
      <c r="E139" s="5">
        <f t="shared" si="9"/>
        <v>0.22242610262227269</v>
      </c>
      <c r="F139" s="33">
        <v>39720</v>
      </c>
      <c r="G139" s="2" t="b">
        <f t="shared" si="7"/>
        <v>1</v>
      </c>
      <c r="I139" s="2">
        <f t="shared" si="10"/>
        <v>0.24171760739874987</v>
      </c>
      <c r="J139" s="2">
        <f t="shared" si="11"/>
        <v>-2.7961707196457242E-2</v>
      </c>
      <c r="K139" s="2">
        <f t="shared" si="12"/>
        <v>0.21159351505026033</v>
      </c>
      <c r="L139" s="2">
        <f t="shared" si="13"/>
        <v>0.23955522224671758</v>
      </c>
    </row>
    <row r="140" spans="1:12" x14ac:dyDescent="0.3">
      <c r="A140" s="33">
        <v>39713</v>
      </c>
      <c r="B140" s="2">
        <v>20.64</v>
      </c>
      <c r="C140" s="5">
        <f t="shared" si="8"/>
        <v>0.14666666666666672</v>
      </c>
      <c r="D140" s="2">
        <v>1213.27</v>
      </c>
      <c r="E140" s="5">
        <f t="shared" si="9"/>
        <v>0.10374534901703925</v>
      </c>
      <c r="F140" s="33">
        <v>39713</v>
      </c>
      <c r="G140" s="2" t="b">
        <f t="shared" si="7"/>
        <v>1</v>
      </c>
      <c r="I140" s="2">
        <f t="shared" si="10"/>
        <v>0.11276250795621491</v>
      </c>
      <c r="J140" s="2">
        <f t="shared" si="11"/>
        <v>3.3904158710451812E-2</v>
      </c>
      <c r="K140" s="2">
        <f t="shared" si="12"/>
        <v>0.14450428151463443</v>
      </c>
      <c r="L140" s="2">
        <f t="shared" si="13"/>
        <v>0.11060012280418263</v>
      </c>
    </row>
    <row r="141" spans="1:12" x14ac:dyDescent="0.3">
      <c r="A141" s="33">
        <v>39706</v>
      </c>
      <c r="B141" s="2">
        <v>20.79</v>
      </c>
      <c r="C141" s="5">
        <f t="shared" si="8"/>
        <v>7.2674418604650182E-3</v>
      </c>
      <c r="D141" s="2">
        <v>1255.08</v>
      </c>
      <c r="E141" s="5">
        <f t="shared" si="9"/>
        <v>3.4460589975850331E-2</v>
      </c>
      <c r="F141" s="33">
        <v>39706</v>
      </c>
      <c r="G141" s="2" t="b">
        <f t="shared" si="7"/>
        <v>1</v>
      </c>
      <c r="I141" s="2">
        <f t="shared" si="10"/>
        <v>3.7479678006147918E-2</v>
      </c>
      <c r="J141" s="2">
        <f t="shared" si="11"/>
        <v>-3.02122361456829E-2</v>
      </c>
      <c r="K141" s="2">
        <f t="shared" si="12"/>
        <v>5.1050567084327363E-3</v>
      </c>
      <c r="L141" s="2">
        <f t="shared" si="13"/>
        <v>3.5317292854115639E-2</v>
      </c>
    </row>
    <row r="142" spans="1:12" x14ac:dyDescent="0.3">
      <c r="A142" s="33">
        <v>39699</v>
      </c>
      <c r="B142" s="2">
        <v>18.43</v>
      </c>
      <c r="C142" s="5">
        <f t="shared" si="8"/>
        <v>-0.11351611351611346</v>
      </c>
      <c r="D142" s="2">
        <v>1251.7</v>
      </c>
      <c r="E142" s="5">
        <f t="shared" si="9"/>
        <v>-2.6930554227617698E-3</v>
      </c>
      <c r="F142" s="33">
        <v>39699</v>
      </c>
      <c r="G142" s="2" t="b">
        <f t="shared" si="7"/>
        <v>1</v>
      </c>
      <c r="I142" s="2">
        <f t="shared" si="10"/>
        <v>-2.8904063713701428E-3</v>
      </c>
      <c r="J142" s="2">
        <f t="shared" si="11"/>
        <v>-0.11062570714474332</v>
      </c>
      <c r="K142" s="2">
        <f t="shared" si="12"/>
        <v>-0.11567849866814574</v>
      </c>
      <c r="L142" s="2">
        <f t="shared" si="13"/>
        <v>-5.0527915234024248E-3</v>
      </c>
    </row>
    <row r="143" spans="1:12" x14ac:dyDescent="0.3">
      <c r="A143" s="33">
        <v>39693</v>
      </c>
      <c r="B143" s="2">
        <v>18.12</v>
      </c>
      <c r="C143" s="5">
        <f t="shared" si="8"/>
        <v>-1.6820401519262007E-2</v>
      </c>
      <c r="D143" s="2">
        <v>1242.31</v>
      </c>
      <c r="E143" s="5">
        <f t="shared" si="9"/>
        <v>-7.5017975553248739E-3</v>
      </c>
      <c r="F143" s="33">
        <v>39693</v>
      </c>
      <c r="G143" s="2" t="b">
        <f t="shared" si="7"/>
        <v>1</v>
      </c>
      <c r="I143" s="2">
        <f t="shared" si="10"/>
        <v>-8.1154475095554807E-3</v>
      </c>
      <c r="J143" s="2">
        <f t="shared" si="11"/>
        <v>-8.7049540097065264E-3</v>
      </c>
      <c r="K143" s="2">
        <f t="shared" si="12"/>
        <v>-1.8982786671294289E-2</v>
      </c>
      <c r="L143" s="2">
        <f t="shared" si="13"/>
        <v>-1.0277832661587763E-2</v>
      </c>
    </row>
    <row r="144" spans="1:12" x14ac:dyDescent="0.3">
      <c r="A144" s="33">
        <v>39685</v>
      </c>
      <c r="B144" s="2">
        <v>18.309999999999999</v>
      </c>
      <c r="C144" s="5">
        <f t="shared" si="8"/>
        <v>1.0485651214127811E-2</v>
      </c>
      <c r="D144" s="2">
        <v>1282.83</v>
      </c>
      <c r="E144" s="5">
        <f t="shared" si="9"/>
        <v>3.2616657678035343E-2</v>
      </c>
      <c r="F144" s="33">
        <v>39685</v>
      </c>
      <c r="G144" s="2" t="b">
        <f t="shared" si="7"/>
        <v>1</v>
      </c>
      <c r="I144" s="2">
        <f t="shared" si="10"/>
        <v>3.5476114112199503E-2</v>
      </c>
      <c r="J144" s="2">
        <f t="shared" si="11"/>
        <v>-2.4990462898071691E-2</v>
      </c>
      <c r="K144" s="2">
        <f t="shared" si="12"/>
        <v>8.3232660620955294E-3</v>
      </c>
      <c r="L144" s="2">
        <f t="shared" si="13"/>
        <v>3.3313728960167224E-2</v>
      </c>
    </row>
    <row r="145" spans="1:12" x14ac:dyDescent="0.3">
      <c r="A145" s="33">
        <v>39678</v>
      </c>
      <c r="B145" s="2">
        <v>18.440000000000001</v>
      </c>
      <c r="C145" s="5">
        <f t="shared" si="8"/>
        <v>7.0999453850355554E-3</v>
      </c>
      <c r="D145" s="2">
        <v>1292.2</v>
      </c>
      <c r="E145" s="5">
        <f t="shared" si="9"/>
        <v>7.3041634511199494E-3</v>
      </c>
      <c r="F145" s="33">
        <v>39678</v>
      </c>
      <c r="G145" s="2" t="b">
        <f t="shared" si="7"/>
        <v>1</v>
      </c>
      <c r="I145" s="2">
        <f t="shared" si="10"/>
        <v>7.9722846283721716E-3</v>
      </c>
      <c r="J145" s="2">
        <f t="shared" si="11"/>
        <v>-8.7233924333661624E-4</v>
      </c>
      <c r="K145" s="2">
        <f t="shared" si="12"/>
        <v>4.9375602330032735E-3</v>
      </c>
      <c r="L145" s="2">
        <f t="shared" si="13"/>
        <v>5.8098994763398897E-3</v>
      </c>
    </row>
    <row r="146" spans="1:12" x14ac:dyDescent="0.3">
      <c r="A146" s="33">
        <v>39671</v>
      </c>
      <c r="B146" s="2">
        <v>19.690000000000001</v>
      </c>
      <c r="C146" s="5">
        <f t="shared" si="8"/>
        <v>6.778741865509752E-2</v>
      </c>
      <c r="D146" s="2">
        <v>1298.2</v>
      </c>
      <c r="E146" s="5">
        <f t="shared" si="9"/>
        <v>4.6432440798638286E-3</v>
      </c>
      <c r="F146" s="33">
        <v>39671</v>
      </c>
      <c r="G146" s="2" t="b">
        <f t="shared" si="7"/>
        <v>1</v>
      </c>
      <c r="I146" s="2">
        <f t="shared" si="10"/>
        <v>5.0810060368131661E-3</v>
      </c>
      <c r="J146" s="2">
        <f t="shared" si="11"/>
        <v>6.2706412618284357E-2</v>
      </c>
      <c r="K146" s="2">
        <f t="shared" si="12"/>
        <v>6.5625033503065242E-2</v>
      </c>
      <c r="L146" s="2">
        <f t="shared" si="13"/>
        <v>2.9186208847808847E-3</v>
      </c>
    </row>
    <row r="147" spans="1:12" x14ac:dyDescent="0.3">
      <c r="A147" s="33">
        <v>39664</v>
      </c>
      <c r="B147" s="2">
        <v>18.649999999999999</v>
      </c>
      <c r="C147" s="5">
        <f t="shared" si="8"/>
        <v>-5.2818689690198206E-2</v>
      </c>
      <c r="D147" s="2">
        <v>1296.32</v>
      </c>
      <c r="E147" s="5">
        <f t="shared" si="9"/>
        <v>-1.4481589893700075E-3</v>
      </c>
      <c r="F147" s="33">
        <v>39664</v>
      </c>
      <c r="G147" s="2" t="b">
        <f t="shared" si="7"/>
        <v>1</v>
      </c>
      <c r="I147" s="2">
        <f t="shared" si="10"/>
        <v>-1.5377376488771917E-3</v>
      </c>
      <c r="J147" s="2">
        <f t="shared" si="11"/>
        <v>-5.1280952041321014E-2</v>
      </c>
      <c r="K147" s="2">
        <f t="shared" si="12"/>
        <v>-5.4981074842230485E-2</v>
      </c>
      <c r="L147" s="2">
        <f t="shared" si="13"/>
        <v>-3.7001228009094734E-3</v>
      </c>
    </row>
    <row r="148" spans="1:12" x14ac:dyDescent="0.3">
      <c r="A148" s="33">
        <v>39657</v>
      </c>
      <c r="B148" s="2">
        <v>21.42</v>
      </c>
      <c r="C148" s="5">
        <f t="shared" si="8"/>
        <v>0.14852546916890108</v>
      </c>
      <c r="D148" s="2">
        <v>1260.31</v>
      </c>
      <c r="E148" s="5">
        <f t="shared" si="9"/>
        <v>-2.7778634904961685E-2</v>
      </c>
      <c r="F148" s="33">
        <v>39657</v>
      </c>
      <c r="G148" s="2" t="b">
        <f t="shared" si="7"/>
        <v>1</v>
      </c>
      <c r="I148" s="2">
        <f t="shared" si="10"/>
        <v>-3.0147676808504068E-2</v>
      </c>
      <c r="J148" s="2">
        <f t="shared" si="11"/>
        <v>0.17867314597740513</v>
      </c>
      <c r="K148" s="2">
        <f t="shared" si="12"/>
        <v>0.14636308401686879</v>
      </c>
      <c r="L148" s="2">
        <f t="shared" si="13"/>
        <v>-3.2310061960536346E-2</v>
      </c>
    </row>
    <row r="149" spans="1:12" x14ac:dyDescent="0.3">
      <c r="A149" s="33">
        <v>39650</v>
      </c>
      <c r="B149" s="2">
        <v>22.52</v>
      </c>
      <c r="C149" s="5">
        <f t="shared" si="8"/>
        <v>5.1353874883286466E-2</v>
      </c>
      <c r="D149" s="2">
        <v>1257.76</v>
      </c>
      <c r="E149" s="5">
        <f t="shared" si="9"/>
        <v>-2.0233117248930066E-3</v>
      </c>
      <c r="F149" s="33">
        <v>39650</v>
      </c>
      <c r="G149" s="2" t="b">
        <f t="shared" si="7"/>
        <v>1</v>
      </c>
      <c r="I149" s="2">
        <f t="shared" si="10"/>
        <v>-2.1626820981745188E-3</v>
      </c>
      <c r="J149" s="2">
        <f t="shared" si="11"/>
        <v>5.3516556981460982E-2</v>
      </c>
      <c r="K149" s="2">
        <f t="shared" si="12"/>
        <v>4.9191489731254187E-2</v>
      </c>
      <c r="L149" s="2">
        <f t="shared" si="13"/>
        <v>-4.3250672502067999E-3</v>
      </c>
    </row>
    <row r="150" spans="1:12" x14ac:dyDescent="0.3">
      <c r="A150" s="33">
        <v>39643</v>
      </c>
      <c r="B150" s="2">
        <v>21.38</v>
      </c>
      <c r="C150" s="5">
        <f t="shared" si="8"/>
        <v>-5.0621669626998211E-2</v>
      </c>
      <c r="D150" s="2">
        <v>1260.68</v>
      </c>
      <c r="E150" s="5">
        <f t="shared" si="9"/>
        <v>2.3215875842768074E-3</v>
      </c>
      <c r="F150" s="33">
        <v>39643</v>
      </c>
      <c r="G150" s="2" t="b">
        <f t="shared" si="7"/>
        <v>1</v>
      </c>
      <c r="I150" s="2">
        <f t="shared" si="10"/>
        <v>2.5583607454318221E-3</v>
      </c>
      <c r="J150" s="2">
        <f t="shared" si="11"/>
        <v>-5.3180030372430034E-2</v>
      </c>
      <c r="K150" s="2">
        <f t="shared" si="12"/>
        <v>-5.278405477903049E-2</v>
      </c>
      <c r="L150" s="2">
        <f t="shared" si="13"/>
        <v>3.9597559339954068E-4</v>
      </c>
    </row>
    <row r="151" spans="1:12" x14ac:dyDescent="0.3">
      <c r="A151" s="33">
        <v>39636</v>
      </c>
      <c r="B151" s="2">
        <v>21.04</v>
      </c>
      <c r="C151" s="5">
        <f t="shared" si="8"/>
        <v>-1.5902712815715647E-2</v>
      </c>
      <c r="D151" s="2">
        <v>1239.49</v>
      </c>
      <c r="E151" s="5">
        <f t="shared" si="9"/>
        <v>-1.680838912333027E-2</v>
      </c>
      <c r="F151" s="33">
        <v>39636</v>
      </c>
      <c r="G151" s="2" t="b">
        <f t="shared" si="7"/>
        <v>1</v>
      </c>
      <c r="I151" s="2">
        <f t="shared" si="10"/>
        <v>-1.8227722707227223E-2</v>
      </c>
      <c r="J151" s="2">
        <f t="shared" si="11"/>
        <v>2.3250098915115758E-3</v>
      </c>
      <c r="K151" s="2">
        <f t="shared" si="12"/>
        <v>-1.8065097967747929E-2</v>
      </c>
      <c r="L151" s="2">
        <f t="shared" si="13"/>
        <v>-2.0390107859259505E-2</v>
      </c>
    </row>
    <row r="152" spans="1:12" x14ac:dyDescent="0.3">
      <c r="A152" s="33">
        <v>39629</v>
      </c>
      <c r="B152" s="2">
        <v>22.51</v>
      </c>
      <c r="C152" s="5">
        <f t="shared" si="8"/>
        <v>6.9866920152091394E-2</v>
      </c>
      <c r="D152" s="2">
        <v>1262.9000000000001</v>
      </c>
      <c r="E152" s="5">
        <f t="shared" si="9"/>
        <v>1.8886800216218136E-2</v>
      </c>
      <c r="F152" s="33">
        <v>39629</v>
      </c>
      <c r="G152" s="2" t="b">
        <f t="shared" si="7"/>
        <v>1</v>
      </c>
      <c r="I152" s="2">
        <f t="shared" si="10"/>
        <v>2.0557645190020415E-2</v>
      </c>
      <c r="J152" s="2">
        <f t="shared" si="11"/>
        <v>4.9309274962070979E-2</v>
      </c>
      <c r="K152" s="2">
        <f t="shared" si="12"/>
        <v>6.7704535000059116E-2</v>
      </c>
      <c r="L152" s="2">
        <f t="shared" si="13"/>
        <v>1.8395260037988134E-2</v>
      </c>
    </row>
    <row r="153" spans="1:12" x14ac:dyDescent="0.3">
      <c r="A153" s="33">
        <v>39622</v>
      </c>
      <c r="B153" s="2">
        <v>24.44</v>
      </c>
      <c r="C153" s="5">
        <f t="shared" si="8"/>
        <v>8.573967125721893E-2</v>
      </c>
      <c r="D153" s="2">
        <v>1278.3800000000001</v>
      </c>
      <c r="E153" s="5">
        <f t="shared" si="9"/>
        <v>1.2257502573442158E-2</v>
      </c>
      <c r="F153" s="33">
        <v>39622</v>
      </c>
      <c r="G153" s="2" t="b">
        <f t="shared" si="7"/>
        <v>1</v>
      </c>
      <c r="I153" s="2">
        <f t="shared" si="10"/>
        <v>1.335444070412776E-2</v>
      </c>
      <c r="J153" s="2">
        <f t="shared" si="11"/>
        <v>7.2385230553091165E-2</v>
      </c>
      <c r="K153" s="2">
        <f t="shared" si="12"/>
        <v>8.3577286105186652E-2</v>
      </c>
      <c r="L153" s="2">
        <f t="shared" si="13"/>
        <v>1.1192055552095478E-2</v>
      </c>
    </row>
    <row r="154" spans="1:12" x14ac:dyDescent="0.3">
      <c r="A154" s="33">
        <v>39615</v>
      </c>
      <c r="B154" s="2">
        <v>26.09</v>
      </c>
      <c r="C154" s="5">
        <f t="shared" si="8"/>
        <v>6.7512274959083518E-2</v>
      </c>
      <c r="D154" s="2">
        <v>1317.93</v>
      </c>
      <c r="E154" s="5">
        <f t="shared" si="9"/>
        <v>3.093759289100273E-2</v>
      </c>
      <c r="F154" s="33">
        <v>39615</v>
      </c>
      <c r="G154" s="2" t="b">
        <f t="shared" si="7"/>
        <v>1</v>
      </c>
      <c r="I154" s="2">
        <f t="shared" si="10"/>
        <v>3.3651690521981407E-2</v>
      </c>
      <c r="J154" s="2">
        <f t="shared" si="11"/>
        <v>3.3860584437102111E-2</v>
      </c>
      <c r="K154" s="2">
        <f t="shared" si="12"/>
        <v>6.534988980705124E-2</v>
      </c>
      <c r="L154" s="2">
        <f t="shared" si="13"/>
        <v>3.1489305369949129E-2</v>
      </c>
    </row>
    <row r="155" spans="1:12" x14ac:dyDescent="0.3">
      <c r="A155" s="33">
        <v>39608</v>
      </c>
      <c r="B155" s="2">
        <v>26.93</v>
      </c>
      <c r="C155" s="5">
        <f t="shared" si="8"/>
        <v>3.219624377155994E-2</v>
      </c>
      <c r="D155" s="2">
        <v>1360.03</v>
      </c>
      <c r="E155" s="5">
        <f t="shared" si="9"/>
        <v>3.1944033446389408E-2</v>
      </c>
      <c r="F155" s="33">
        <v>39608</v>
      </c>
      <c r="G155" s="2" t="b">
        <f t="shared" si="7"/>
        <v>1</v>
      </c>
      <c r="I155" s="2">
        <f t="shared" si="10"/>
        <v>3.4745259933704163E-2</v>
      </c>
      <c r="J155" s="2">
        <f t="shared" si="11"/>
        <v>-2.5490161621442228E-3</v>
      </c>
      <c r="K155" s="2">
        <f t="shared" si="12"/>
        <v>3.0033858619527658E-2</v>
      </c>
      <c r="L155" s="2">
        <f t="shared" si="13"/>
        <v>3.2582874781671885E-2</v>
      </c>
    </row>
    <row r="156" spans="1:12" x14ac:dyDescent="0.3">
      <c r="A156" s="33">
        <v>39601</v>
      </c>
      <c r="B156" s="2">
        <v>28.25</v>
      </c>
      <c r="C156" s="5">
        <f t="shared" si="8"/>
        <v>4.9015967322688425E-2</v>
      </c>
      <c r="D156" s="2">
        <v>1360.68</v>
      </c>
      <c r="E156" s="5">
        <f t="shared" si="9"/>
        <v>4.7793063388312795E-4</v>
      </c>
      <c r="F156" s="33">
        <v>39601</v>
      </c>
      <c r="G156" s="2" t="b">
        <f t="shared" ref="G156:G186" si="14">F156=A156</f>
        <v>1</v>
      </c>
      <c r="I156" s="2">
        <f t="shared" si="10"/>
        <v>5.5509603608594482E-4</v>
      </c>
      <c r="J156" s="2">
        <f t="shared" si="11"/>
        <v>4.846087128660248E-2</v>
      </c>
      <c r="K156" s="2">
        <f t="shared" si="12"/>
        <v>4.6853582170656147E-2</v>
      </c>
      <c r="L156" s="2">
        <f t="shared" si="13"/>
        <v>-1.6072891159463368E-3</v>
      </c>
    </row>
    <row r="157" spans="1:12" x14ac:dyDescent="0.3">
      <c r="A157" s="33">
        <v>39595</v>
      </c>
      <c r="B157" s="2">
        <v>28.75</v>
      </c>
      <c r="C157" s="5">
        <f t="shared" ref="C157:C186" si="15">B157/B156-1</f>
        <v>1.7699115044247815E-2</v>
      </c>
      <c r="D157" s="2">
        <v>1400.38</v>
      </c>
      <c r="E157" s="5">
        <f t="shared" ref="E157:E186" si="16">D157/D156-1</f>
        <v>2.917658817650004E-2</v>
      </c>
      <c r="F157" s="33">
        <v>39595</v>
      </c>
      <c r="G157" s="2" t="b">
        <f t="shared" si="14"/>
        <v>1</v>
      </c>
      <c r="I157" s="2">
        <f t="shared" ref="I157:I186" si="17">$C$17+$C$18*E157</f>
        <v>3.1738233359139008E-2</v>
      </c>
      <c r="J157" s="2">
        <f t="shared" ref="J157:J186" si="18">C157-I157</f>
        <v>-1.4039118314891193E-2</v>
      </c>
      <c r="K157" s="2">
        <f t="shared" ref="K157:K186" si="19">C157-$C$10</f>
        <v>1.5536729892215533E-2</v>
      </c>
      <c r="L157" s="2">
        <f t="shared" ref="L157:L186" si="20">I157-$C$10</f>
        <v>2.9575848207106726E-2</v>
      </c>
    </row>
    <row r="158" spans="1:12" x14ac:dyDescent="0.3">
      <c r="A158" s="33">
        <v>39587</v>
      </c>
      <c r="B158" s="2">
        <v>27.38</v>
      </c>
      <c r="C158" s="5">
        <f t="shared" si="15"/>
        <v>-4.765217391304355E-2</v>
      </c>
      <c r="D158" s="2">
        <v>1375.93</v>
      </c>
      <c r="E158" s="5">
        <f t="shared" si="16"/>
        <v>-1.7459546694468697E-2</v>
      </c>
      <c r="F158" s="33">
        <v>39587</v>
      </c>
      <c r="G158" s="2" t="b">
        <f t="shared" si="14"/>
        <v>1</v>
      </c>
      <c r="I158" s="2">
        <f t="shared" si="17"/>
        <v>-1.8935251828741097E-2</v>
      </c>
      <c r="J158" s="2">
        <f t="shared" si="18"/>
        <v>-2.8716922084302453E-2</v>
      </c>
      <c r="K158" s="2">
        <f t="shared" si="19"/>
        <v>-4.9814559065075828E-2</v>
      </c>
      <c r="L158" s="2">
        <f t="shared" si="20"/>
        <v>-2.1097636980773379E-2</v>
      </c>
    </row>
    <row r="159" spans="1:12" x14ac:dyDescent="0.3">
      <c r="A159" s="33">
        <v>39580</v>
      </c>
      <c r="B159" s="2">
        <v>28.81</v>
      </c>
      <c r="C159" s="5">
        <f t="shared" si="15"/>
        <v>5.2227903579254997E-2</v>
      </c>
      <c r="D159" s="2">
        <v>1425.35</v>
      </c>
      <c r="E159" s="5">
        <f t="shared" si="16"/>
        <v>3.5917524874085061E-2</v>
      </c>
      <c r="F159" s="33">
        <v>39580</v>
      </c>
      <c r="G159" s="2" t="b">
        <f t="shared" si="14"/>
        <v>1</v>
      </c>
      <c r="I159" s="2">
        <f t="shared" si="17"/>
        <v>3.9062741636735399E-2</v>
      </c>
      <c r="J159" s="2">
        <f t="shared" si="18"/>
        <v>1.3165161942519599E-2</v>
      </c>
      <c r="K159" s="2">
        <f t="shared" si="19"/>
        <v>5.0065518427222719E-2</v>
      </c>
      <c r="L159" s="2">
        <f t="shared" si="20"/>
        <v>3.690035648470312E-2</v>
      </c>
    </row>
    <row r="160" spans="1:12" x14ac:dyDescent="0.3">
      <c r="A160" s="33">
        <v>39573</v>
      </c>
      <c r="B160" s="2">
        <v>32.5</v>
      </c>
      <c r="C160" s="5">
        <f t="shared" si="15"/>
        <v>0.12808052759458532</v>
      </c>
      <c r="D160" s="2">
        <v>1388.28</v>
      </c>
      <c r="E160" s="5">
        <f t="shared" si="16"/>
        <v>-2.6007647244536414E-2</v>
      </c>
      <c r="F160" s="33">
        <v>39573</v>
      </c>
      <c r="G160" s="2" t="b">
        <f t="shared" si="14"/>
        <v>1</v>
      </c>
      <c r="I160" s="2">
        <f t="shared" si="17"/>
        <v>-2.8223372463241022E-2</v>
      </c>
      <c r="J160" s="2">
        <f t="shared" si="18"/>
        <v>0.15630390005782635</v>
      </c>
      <c r="K160" s="2">
        <f t="shared" si="19"/>
        <v>0.12591814244255303</v>
      </c>
      <c r="L160" s="2">
        <f t="shared" si="20"/>
        <v>-3.0385757615273304E-2</v>
      </c>
    </row>
    <row r="161" spans="1:12" x14ac:dyDescent="0.3">
      <c r="A161" s="33">
        <v>39566</v>
      </c>
      <c r="B161" s="2">
        <v>34.68</v>
      </c>
      <c r="C161" s="5">
        <f t="shared" si="15"/>
        <v>6.7076923076923034E-2</v>
      </c>
      <c r="D161" s="2">
        <v>1413.9</v>
      </c>
      <c r="E161" s="5">
        <f t="shared" si="16"/>
        <v>1.8454490448612804E-2</v>
      </c>
      <c r="F161" s="33">
        <v>39566</v>
      </c>
      <c r="G161" s="2" t="b">
        <f t="shared" si="14"/>
        <v>1</v>
      </c>
      <c r="I161" s="2">
        <f t="shared" si="17"/>
        <v>2.0087909808519887E-2</v>
      </c>
      <c r="J161" s="2">
        <f t="shared" si="18"/>
        <v>4.6989013268403143E-2</v>
      </c>
      <c r="K161" s="2">
        <f t="shared" si="19"/>
        <v>6.4914537924890756E-2</v>
      </c>
      <c r="L161" s="2">
        <f t="shared" si="20"/>
        <v>1.7925524656487606E-2</v>
      </c>
    </row>
    <row r="162" spans="1:12" x14ac:dyDescent="0.3">
      <c r="A162" s="33">
        <v>39559</v>
      </c>
      <c r="B162" s="2">
        <v>30.92</v>
      </c>
      <c r="C162" s="5">
        <f t="shared" si="15"/>
        <v>-0.10841983852364467</v>
      </c>
      <c r="D162" s="2">
        <v>1397.84</v>
      </c>
      <c r="E162" s="5">
        <f t="shared" si="16"/>
        <v>-1.1358653370111216E-2</v>
      </c>
      <c r="F162" s="33">
        <v>39559</v>
      </c>
      <c r="G162" s="2" t="b">
        <f t="shared" si="14"/>
        <v>1</v>
      </c>
      <c r="I162" s="2">
        <f t="shared" si="17"/>
        <v>-1.2306196304306644E-2</v>
      </c>
      <c r="J162" s="2">
        <f t="shared" si="18"/>
        <v>-9.6113642219338033E-2</v>
      </c>
      <c r="K162" s="2">
        <f t="shared" si="19"/>
        <v>-0.11058222367567695</v>
      </c>
      <c r="L162" s="2">
        <f t="shared" si="20"/>
        <v>-1.4468581456338926E-2</v>
      </c>
    </row>
    <row r="163" spans="1:12" x14ac:dyDescent="0.3">
      <c r="A163" s="33">
        <v>39552</v>
      </c>
      <c r="B163" s="2">
        <v>32.67</v>
      </c>
      <c r="C163" s="5">
        <f t="shared" si="15"/>
        <v>5.6597671410090644E-2</v>
      </c>
      <c r="D163" s="2">
        <v>1390.33</v>
      </c>
      <c r="E163" s="5">
        <f t="shared" si="16"/>
        <v>-5.3725748297372977E-3</v>
      </c>
      <c r="F163" s="33">
        <v>39552</v>
      </c>
      <c r="G163" s="2" t="b">
        <f t="shared" si="14"/>
        <v>1</v>
      </c>
      <c r="I163" s="2">
        <f t="shared" si="17"/>
        <v>-5.8018952277190828E-3</v>
      </c>
      <c r="J163" s="2">
        <f t="shared" si="18"/>
        <v>6.2399566637809725E-2</v>
      </c>
      <c r="K163" s="2">
        <f t="shared" si="19"/>
        <v>5.4435286258058366E-2</v>
      </c>
      <c r="L163" s="2">
        <f t="shared" si="20"/>
        <v>-7.9642803797513647E-3</v>
      </c>
    </row>
    <row r="164" spans="1:12" x14ac:dyDescent="0.3">
      <c r="A164" s="33">
        <v>39545</v>
      </c>
      <c r="B164" s="2">
        <v>31.76</v>
      </c>
      <c r="C164" s="5">
        <f t="shared" si="15"/>
        <v>-2.7854300581573344E-2</v>
      </c>
      <c r="D164" s="2">
        <v>1332.83</v>
      </c>
      <c r="E164" s="5">
        <f t="shared" si="16"/>
        <v>-4.1357087885609878E-2</v>
      </c>
      <c r="F164" s="33">
        <v>39545</v>
      </c>
      <c r="G164" s="2" t="b">
        <f t="shared" si="14"/>
        <v>1</v>
      </c>
      <c r="I164" s="2">
        <f t="shared" si="17"/>
        <v>-4.4901633968395735E-2</v>
      </c>
      <c r="J164" s="2">
        <f t="shared" si="18"/>
        <v>1.7047333386822391E-2</v>
      </c>
      <c r="K164" s="2">
        <f t="shared" si="19"/>
        <v>-3.0016685733605625E-2</v>
      </c>
      <c r="L164" s="2">
        <f t="shared" si="20"/>
        <v>-4.7064019120428013E-2</v>
      </c>
    </row>
    <row r="165" spans="1:12" x14ac:dyDescent="0.3">
      <c r="A165" s="33">
        <v>39538</v>
      </c>
      <c r="B165" s="2">
        <v>33.4</v>
      </c>
      <c r="C165" s="5">
        <f t="shared" si="15"/>
        <v>5.1637279596977281E-2</v>
      </c>
      <c r="D165" s="2">
        <v>1370.4</v>
      </c>
      <c r="E165" s="5">
        <f t="shared" si="16"/>
        <v>2.8188141023236302E-2</v>
      </c>
      <c r="F165" s="33">
        <v>39538</v>
      </c>
      <c r="G165" s="2" t="b">
        <f t="shared" si="14"/>
        <v>1</v>
      </c>
      <c r="I165" s="2">
        <f t="shared" si="17"/>
        <v>3.0664215061557226E-2</v>
      </c>
      <c r="J165" s="2">
        <f t="shared" si="18"/>
        <v>2.0973064535420055E-2</v>
      </c>
      <c r="K165" s="2">
        <f t="shared" si="19"/>
        <v>4.9474894444945003E-2</v>
      </c>
      <c r="L165" s="2">
        <f t="shared" si="20"/>
        <v>2.8501829909524944E-2</v>
      </c>
    </row>
    <row r="166" spans="1:12" x14ac:dyDescent="0.3">
      <c r="A166" s="33">
        <v>39531</v>
      </c>
      <c r="B166" s="2">
        <v>32.01</v>
      </c>
      <c r="C166" s="5">
        <f t="shared" si="15"/>
        <v>-4.1616766467065913E-2</v>
      </c>
      <c r="D166" s="2">
        <v>1315.22</v>
      </c>
      <c r="E166" s="5">
        <f t="shared" si="16"/>
        <v>-4.0265615878575689E-2</v>
      </c>
      <c r="F166" s="33">
        <v>39531</v>
      </c>
      <c r="G166" s="2" t="b">
        <f t="shared" si="14"/>
        <v>1</v>
      </c>
      <c r="I166" s="2">
        <f t="shared" si="17"/>
        <v>-4.3715671822637754E-2</v>
      </c>
      <c r="J166" s="2">
        <f t="shared" si="18"/>
        <v>2.0989053555718409E-3</v>
      </c>
      <c r="K166" s="2">
        <f t="shared" si="19"/>
        <v>-4.3779151619098192E-2</v>
      </c>
      <c r="L166" s="2">
        <f t="shared" si="20"/>
        <v>-4.5878056974670033E-2</v>
      </c>
    </row>
    <row r="167" spans="1:12" x14ac:dyDescent="0.3">
      <c r="A167" s="33">
        <v>39524</v>
      </c>
      <c r="B167" s="2">
        <v>32.18</v>
      </c>
      <c r="C167" s="5">
        <f t="shared" si="15"/>
        <v>5.3108403623867151E-3</v>
      </c>
      <c r="D167" s="2">
        <v>1329.51</v>
      </c>
      <c r="E167" s="5">
        <f t="shared" si="16"/>
        <v>1.0865102416325767E-2</v>
      </c>
      <c r="F167" s="33">
        <v>39524</v>
      </c>
      <c r="G167" s="2" t="b">
        <f t="shared" si="14"/>
        <v>1</v>
      </c>
      <c r="I167" s="2">
        <f t="shared" si="17"/>
        <v>1.1841498670392414E-2</v>
      </c>
      <c r="J167" s="2">
        <f t="shared" si="18"/>
        <v>-6.530658308005699E-3</v>
      </c>
      <c r="K167" s="2">
        <f t="shared" si="19"/>
        <v>3.1484552103544336E-3</v>
      </c>
      <c r="L167" s="2">
        <f t="shared" si="20"/>
        <v>9.6791135183601322E-3</v>
      </c>
    </row>
    <row r="168" spans="1:12" x14ac:dyDescent="0.3">
      <c r="A168" s="33">
        <v>39517</v>
      </c>
      <c r="B168" s="2">
        <v>30.72</v>
      </c>
      <c r="C168" s="5">
        <f t="shared" si="15"/>
        <v>-4.5369794903666882E-2</v>
      </c>
      <c r="D168" s="2">
        <v>1288.1400000000001</v>
      </c>
      <c r="E168" s="5">
        <f t="shared" si="16"/>
        <v>-3.1116727215289797E-2</v>
      </c>
      <c r="F168" s="33">
        <v>39517</v>
      </c>
      <c r="G168" s="2" t="b">
        <f t="shared" si="14"/>
        <v>1</v>
      </c>
      <c r="I168" s="2">
        <f t="shared" si="17"/>
        <v>-3.377475207345032E-2</v>
      </c>
      <c r="J168" s="2">
        <f t="shared" si="18"/>
        <v>-1.1595042830216562E-2</v>
      </c>
      <c r="K168" s="2">
        <f t="shared" si="19"/>
        <v>-4.7532180055699161E-2</v>
      </c>
      <c r="L168" s="2">
        <f t="shared" si="20"/>
        <v>-3.5937137225482599E-2</v>
      </c>
    </row>
    <row r="169" spans="1:12" x14ac:dyDescent="0.3">
      <c r="A169" s="33">
        <v>39510</v>
      </c>
      <c r="B169" s="2">
        <v>33.58</v>
      </c>
      <c r="C169" s="5">
        <f t="shared" si="15"/>
        <v>9.3098958333333259E-2</v>
      </c>
      <c r="D169" s="2">
        <v>1293.3699999999999</v>
      </c>
      <c r="E169" s="5">
        <f t="shared" si="16"/>
        <v>4.0601176890708857E-3</v>
      </c>
      <c r="F169" s="33">
        <v>39510</v>
      </c>
      <c r="G169" s="2" t="b">
        <f t="shared" si="14"/>
        <v>1</v>
      </c>
      <c r="I169" s="2">
        <f t="shared" si="17"/>
        <v>4.4473976426299116E-3</v>
      </c>
      <c r="J169" s="2">
        <f t="shared" si="18"/>
        <v>8.8651560690703346E-2</v>
      </c>
      <c r="K169" s="2">
        <f t="shared" si="19"/>
        <v>9.0936573181300981E-2</v>
      </c>
      <c r="L169" s="2">
        <f t="shared" si="20"/>
        <v>2.2850124905976301E-3</v>
      </c>
    </row>
    <row r="170" spans="1:12" x14ac:dyDescent="0.3">
      <c r="A170" s="33">
        <v>39503</v>
      </c>
      <c r="B170" s="2">
        <v>34.64</v>
      </c>
      <c r="C170" s="5">
        <f t="shared" si="15"/>
        <v>3.15664085765337E-2</v>
      </c>
      <c r="D170" s="2">
        <v>1330.63</v>
      </c>
      <c r="E170" s="5">
        <f t="shared" si="16"/>
        <v>2.8808461615779102E-2</v>
      </c>
      <c r="F170" s="33">
        <v>39503</v>
      </c>
      <c r="G170" s="2" t="b">
        <f t="shared" si="14"/>
        <v>1</v>
      </c>
      <c r="I170" s="2">
        <f t="shared" si="17"/>
        <v>3.1338237607484852E-2</v>
      </c>
      <c r="J170" s="2">
        <f t="shared" si="18"/>
        <v>2.2817096904884787E-4</v>
      </c>
      <c r="K170" s="2">
        <f t="shared" si="19"/>
        <v>2.9404023424501418E-2</v>
      </c>
      <c r="L170" s="2">
        <f t="shared" si="20"/>
        <v>2.917585245545257E-2</v>
      </c>
    </row>
    <row r="171" spans="1:12" x14ac:dyDescent="0.3">
      <c r="A171" s="33">
        <v>39497</v>
      </c>
      <c r="B171" s="2">
        <v>36.229999999999997</v>
      </c>
      <c r="C171" s="5">
        <f t="shared" si="15"/>
        <v>4.5900692840646462E-2</v>
      </c>
      <c r="D171" s="2">
        <v>1353.11</v>
      </c>
      <c r="E171" s="5">
        <f t="shared" si="16"/>
        <v>1.6894253098156398E-2</v>
      </c>
      <c r="F171" s="33">
        <v>39497</v>
      </c>
      <c r="G171" s="2" t="b">
        <f t="shared" si="14"/>
        <v>1</v>
      </c>
      <c r="I171" s="2">
        <f t="shared" si="17"/>
        <v>1.8392600699249192E-2</v>
      </c>
      <c r="J171" s="2">
        <f t="shared" si="18"/>
        <v>2.750809214139727E-2</v>
      </c>
      <c r="K171" s="2">
        <f t="shared" si="19"/>
        <v>4.3738307688614184E-2</v>
      </c>
      <c r="L171" s="2">
        <f t="shared" si="20"/>
        <v>1.623021554721691E-2</v>
      </c>
    </row>
    <row r="172" spans="1:12" x14ac:dyDescent="0.3">
      <c r="A172" s="33">
        <v>39489</v>
      </c>
      <c r="B172" s="2">
        <v>38.549999999999997</v>
      </c>
      <c r="C172" s="5">
        <f t="shared" si="15"/>
        <v>6.4035329837151655E-2</v>
      </c>
      <c r="D172" s="2">
        <v>1349.99</v>
      </c>
      <c r="E172" s="5">
        <f t="shared" si="16"/>
        <v>-2.305799232878214E-3</v>
      </c>
      <c r="F172" s="33">
        <v>39489</v>
      </c>
      <c r="G172" s="2" t="b">
        <f t="shared" si="14"/>
        <v>1</v>
      </c>
      <c r="I172" s="2">
        <f t="shared" si="17"/>
        <v>-2.4696249138957353E-3</v>
      </c>
      <c r="J172" s="2">
        <f t="shared" si="18"/>
        <v>6.6504954751047396E-2</v>
      </c>
      <c r="K172" s="2">
        <f t="shared" si="19"/>
        <v>6.1872944685119377E-2</v>
      </c>
      <c r="L172" s="2">
        <f t="shared" si="20"/>
        <v>-4.6320100659280172E-3</v>
      </c>
    </row>
    <row r="173" spans="1:12" x14ac:dyDescent="0.3">
      <c r="A173" s="33">
        <v>39482</v>
      </c>
      <c r="B173" s="2">
        <v>38.81</v>
      </c>
      <c r="C173" s="5">
        <f t="shared" si="15"/>
        <v>6.7444876783400165E-3</v>
      </c>
      <c r="D173" s="2">
        <v>1331.29</v>
      </c>
      <c r="E173" s="5">
        <f t="shared" si="16"/>
        <v>-1.3851954458921956E-2</v>
      </c>
      <c r="F173" s="33">
        <v>39482</v>
      </c>
      <c r="G173" s="2" t="b">
        <f t="shared" si="14"/>
        <v>1</v>
      </c>
      <c r="I173" s="2">
        <f t="shared" si="17"/>
        <v>-1.5015345682623294E-2</v>
      </c>
      <c r="J173" s="2">
        <f t="shared" si="18"/>
        <v>2.1759833360963311E-2</v>
      </c>
      <c r="K173" s="2">
        <f t="shared" si="19"/>
        <v>4.5821025263077346E-3</v>
      </c>
      <c r="L173" s="2">
        <f t="shared" si="20"/>
        <v>-1.7177730834655576E-2</v>
      </c>
    </row>
    <row r="174" spans="1:12" x14ac:dyDescent="0.3">
      <c r="A174" s="33">
        <v>39475</v>
      </c>
      <c r="B174" s="2">
        <v>40.17</v>
      </c>
      <c r="C174" s="5">
        <f t="shared" si="15"/>
        <v>3.5042514815769144E-2</v>
      </c>
      <c r="D174" s="2">
        <v>1395.42</v>
      </c>
      <c r="E174" s="5">
        <f t="shared" si="16"/>
        <v>4.817132255181078E-2</v>
      </c>
      <c r="F174" s="33">
        <v>39475</v>
      </c>
      <c r="G174" s="2" t="b">
        <f t="shared" si="14"/>
        <v>1</v>
      </c>
      <c r="I174" s="2">
        <f t="shared" si="17"/>
        <v>5.2377366376446709E-2</v>
      </c>
      <c r="J174" s="2">
        <f t="shared" si="18"/>
        <v>-1.7334851560677565E-2</v>
      </c>
      <c r="K174" s="2">
        <f t="shared" si="19"/>
        <v>3.2880129663736865E-2</v>
      </c>
      <c r="L174" s="2">
        <f t="shared" si="20"/>
        <v>5.021498122441443E-2</v>
      </c>
    </row>
    <row r="175" spans="1:12" x14ac:dyDescent="0.3">
      <c r="A175" s="33">
        <v>39469</v>
      </c>
      <c r="B175" s="2">
        <v>37.01</v>
      </c>
      <c r="C175" s="5">
        <f t="shared" si="15"/>
        <v>-7.8665670898680706E-2</v>
      </c>
      <c r="D175" s="2">
        <v>1330.61</v>
      </c>
      <c r="E175" s="5">
        <f t="shared" si="16"/>
        <v>-4.6444797981969654E-2</v>
      </c>
      <c r="F175" s="33">
        <v>39469</v>
      </c>
      <c r="G175" s="2" t="b">
        <f t="shared" si="14"/>
        <v>1</v>
      </c>
      <c r="I175" s="2">
        <f t="shared" si="17"/>
        <v>-5.0429793686636123E-2</v>
      </c>
      <c r="J175" s="2">
        <f t="shared" si="18"/>
        <v>-2.8235877212044583E-2</v>
      </c>
      <c r="K175" s="2">
        <f t="shared" si="19"/>
        <v>-8.0828056050712985E-2</v>
      </c>
      <c r="L175" s="2">
        <f t="shared" si="20"/>
        <v>-5.2592178838668402E-2</v>
      </c>
    </row>
    <row r="176" spans="1:12" x14ac:dyDescent="0.3">
      <c r="A176" s="33">
        <v>39461</v>
      </c>
      <c r="B176" s="2">
        <v>34.57</v>
      </c>
      <c r="C176" s="5">
        <f t="shared" si="15"/>
        <v>-6.5928127533099068E-2</v>
      </c>
      <c r="D176" s="2">
        <v>1325.19</v>
      </c>
      <c r="E176" s="5">
        <f t="shared" si="16"/>
        <v>-4.0733197556006573E-3</v>
      </c>
      <c r="F176" s="33">
        <v>39461</v>
      </c>
      <c r="G176" s="2" t="b">
        <f t="shared" si="14"/>
        <v>1</v>
      </c>
      <c r="I176" s="2">
        <f t="shared" si="17"/>
        <v>-4.3901619668753437E-3</v>
      </c>
      <c r="J176" s="2">
        <f t="shared" si="18"/>
        <v>-6.1537965566223721E-2</v>
      </c>
      <c r="K176" s="2">
        <f t="shared" si="19"/>
        <v>-6.8090512685131346E-2</v>
      </c>
      <c r="L176" s="2">
        <f t="shared" si="20"/>
        <v>-6.5525471189076256E-3</v>
      </c>
    </row>
    <row r="177" spans="1:12" x14ac:dyDescent="0.3">
      <c r="A177" s="33">
        <v>39454</v>
      </c>
      <c r="B177" s="2">
        <v>36.96</v>
      </c>
      <c r="C177" s="5">
        <f t="shared" si="15"/>
        <v>6.9135088226786268E-2</v>
      </c>
      <c r="D177" s="2">
        <v>1401.02</v>
      </c>
      <c r="E177" s="5">
        <f t="shared" si="16"/>
        <v>5.7221983262777387E-2</v>
      </c>
      <c r="F177" s="33">
        <v>39454</v>
      </c>
      <c r="G177" s="2" t="b">
        <f t="shared" si="14"/>
        <v>1</v>
      </c>
      <c r="I177" s="2">
        <f t="shared" si="17"/>
        <v>6.2211554452851682E-2</v>
      </c>
      <c r="J177" s="2">
        <f t="shared" si="18"/>
        <v>6.9235337739345856E-3</v>
      </c>
      <c r="K177" s="2">
        <f t="shared" si="19"/>
        <v>6.6972703074753989E-2</v>
      </c>
      <c r="L177" s="2">
        <f t="shared" si="20"/>
        <v>6.0049169300819404E-2</v>
      </c>
    </row>
    <row r="178" spans="1:12" x14ac:dyDescent="0.3">
      <c r="A178" s="33">
        <v>39447</v>
      </c>
      <c r="B178" s="2">
        <v>37.159999999999997</v>
      </c>
      <c r="C178" s="5">
        <f t="shared" si="15"/>
        <v>5.4112554112553113E-3</v>
      </c>
      <c r="D178" s="2">
        <v>1411.63</v>
      </c>
      <c r="E178" s="5">
        <f t="shared" si="16"/>
        <v>7.5730539178600065E-3</v>
      </c>
      <c r="F178" s="33">
        <v>39447</v>
      </c>
      <c r="G178" s="2" t="b">
        <f t="shared" si="14"/>
        <v>1</v>
      </c>
      <c r="I178" s="2">
        <f t="shared" si="17"/>
        <v>8.2644532894589721E-3</v>
      </c>
      <c r="J178" s="2">
        <f t="shared" si="18"/>
        <v>-2.8531978782036609E-3</v>
      </c>
      <c r="K178" s="2">
        <f t="shared" si="19"/>
        <v>3.2488702592230298E-3</v>
      </c>
      <c r="L178" s="2">
        <f t="shared" si="20"/>
        <v>6.1020681374266902E-3</v>
      </c>
    </row>
    <row r="179" spans="1:12" x14ac:dyDescent="0.3">
      <c r="A179" s="33">
        <v>39440</v>
      </c>
      <c r="B179" s="2">
        <v>40.770000000000003</v>
      </c>
      <c r="C179" s="5">
        <f t="shared" si="15"/>
        <v>9.714747039827798E-2</v>
      </c>
      <c r="D179" s="2">
        <v>1478.49</v>
      </c>
      <c r="E179" s="5">
        <f t="shared" si="16"/>
        <v>4.736368595170104E-2</v>
      </c>
      <c r="F179" s="33">
        <v>39440</v>
      </c>
      <c r="G179" s="2" t="b">
        <f t="shared" si="14"/>
        <v>1</v>
      </c>
      <c r="I179" s="2">
        <f t="shared" si="17"/>
        <v>5.1499811634698009E-2</v>
      </c>
      <c r="J179" s="2">
        <f t="shared" si="18"/>
        <v>4.5647658763579971E-2</v>
      </c>
      <c r="K179" s="2">
        <f t="shared" si="19"/>
        <v>9.4985085246245701E-2</v>
      </c>
      <c r="L179" s="2">
        <f t="shared" si="20"/>
        <v>4.933742648266573E-2</v>
      </c>
    </row>
    <row r="180" spans="1:12" x14ac:dyDescent="0.3">
      <c r="A180" s="33">
        <v>39433</v>
      </c>
      <c r="B180" s="2">
        <v>41.73</v>
      </c>
      <c r="C180" s="5">
        <f t="shared" si="15"/>
        <v>2.3546725533480251E-2</v>
      </c>
      <c r="D180" s="2">
        <v>1484.46</v>
      </c>
      <c r="E180" s="5">
        <f t="shared" si="16"/>
        <v>4.0379035367166249E-3</v>
      </c>
      <c r="F180" s="33">
        <v>39433</v>
      </c>
      <c r="G180" s="2" t="b">
        <f t="shared" si="14"/>
        <v>1</v>
      </c>
      <c r="I180" s="2">
        <f t="shared" si="17"/>
        <v>4.4232603824688917E-3</v>
      </c>
      <c r="J180" s="2">
        <f t="shared" si="18"/>
        <v>1.9123465151011359E-2</v>
      </c>
      <c r="K180" s="2">
        <f t="shared" si="19"/>
        <v>2.1384340381447969E-2</v>
      </c>
      <c r="L180" s="2">
        <f t="shared" si="20"/>
        <v>2.2608752304366102E-3</v>
      </c>
    </row>
    <row r="181" spans="1:12" x14ac:dyDescent="0.3">
      <c r="A181" s="33">
        <v>39426</v>
      </c>
      <c r="B181" s="2">
        <v>39.770000000000003</v>
      </c>
      <c r="C181" s="5">
        <f t="shared" si="15"/>
        <v>-4.6968607716271094E-2</v>
      </c>
      <c r="D181" s="2">
        <v>1467.95</v>
      </c>
      <c r="E181" s="5">
        <f t="shared" si="16"/>
        <v>-1.1121889441278343E-2</v>
      </c>
      <c r="F181" s="33">
        <v>39426</v>
      </c>
      <c r="G181" s="2" t="b">
        <f t="shared" si="14"/>
        <v>1</v>
      </c>
      <c r="I181" s="2">
        <f t="shared" si="17"/>
        <v>-1.2048935416929687E-2</v>
      </c>
      <c r="J181" s="2">
        <f t="shared" si="18"/>
        <v>-3.4919672299341405E-2</v>
      </c>
      <c r="K181" s="2">
        <f t="shared" si="19"/>
        <v>-4.9130992868303372E-2</v>
      </c>
      <c r="L181" s="2">
        <f t="shared" si="20"/>
        <v>-1.4211320568961969E-2</v>
      </c>
    </row>
    <row r="182" spans="1:12" x14ac:dyDescent="0.3">
      <c r="A182" s="33">
        <v>39419</v>
      </c>
      <c r="B182" s="2">
        <v>42.19</v>
      </c>
      <c r="C182" s="5">
        <f t="shared" si="15"/>
        <v>6.0849886849383861E-2</v>
      </c>
      <c r="D182" s="2">
        <v>1504.66</v>
      </c>
      <c r="E182" s="5">
        <f t="shared" si="16"/>
        <v>2.5007663748765285E-2</v>
      </c>
      <c r="F182" s="33">
        <v>39419</v>
      </c>
      <c r="G182" s="2" t="b">
        <f t="shared" si="14"/>
        <v>1</v>
      </c>
      <c r="I182" s="2">
        <f t="shared" si="17"/>
        <v>2.7208399769312178E-2</v>
      </c>
      <c r="J182" s="2">
        <f t="shared" si="18"/>
        <v>3.3641487080071683E-2</v>
      </c>
      <c r="K182" s="2">
        <f t="shared" si="19"/>
        <v>5.8687501697351582E-2</v>
      </c>
      <c r="L182" s="2">
        <f t="shared" si="20"/>
        <v>2.5046014617279896E-2</v>
      </c>
    </row>
    <row r="183" spans="1:12" x14ac:dyDescent="0.3">
      <c r="A183" s="33">
        <v>39412</v>
      </c>
      <c r="B183" s="2">
        <v>42.15</v>
      </c>
      <c r="C183" s="5">
        <f t="shared" si="15"/>
        <v>-9.4809196492062764E-4</v>
      </c>
      <c r="D183" s="2">
        <v>1481.14</v>
      </c>
      <c r="E183" s="5">
        <f t="shared" si="16"/>
        <v>-1.5631438331583203E-2</v>
      </c>
      <c r="F183" s="33">
        <v>39412</v>
      </c>
      <c r="G183" s="2" t="b">
        <f t="shared" si="14"/>
        <v>1</v>
      </c>
      <c r="I183" s="2">
        <f t="shared" si="17"/>
        <v>-1.6948881768168503E-2</v>
      </c>
      <c r="J183" s="2">
        <f t="shared" si="18"/>
        <v>1.6000789803247876E-2</v>
      </c>
      <c r="K183" s="2">
        <f t="shared" si="19"/>
        <v>-3.1104771169529091E-3</v>
      </c>
      <c r="L183" s="2">
        <f t="shared" si="20"/>
        <v>-1.9111266920200785E-2</v>
      </c>
    </row>
    <row r="184" spans="1:12" x14ac:dyDescent="0.3">
      <c r="A184" s="33">
        <v>39405</v>
      </c>
      <c r="B184" s="2">
        <v>39.94</v>
      </c>
      <c r="C184" s="5">
        <f t="shared" si="15"/>
        <v>-5.243179122182684E-2</v>
      </c>
      <c r="D184" s="2">
        <v>1440.7</v>
      </c>
      <c r="E184" s="5">
        <f t="shared" si="16"/>
        <v>-2.7303293409130847E-2</v>
      </c>
      <c r="F184" s="33">
        <v>39405</v>
      </c>
      <c r="G184" s="2" t="b">
        <f t="shared" si="14"/>
        <v>1</v>
      </c>
      <c r="I184" s="2">
        <f t="shared" si="17"/>
        <v>-2.9631184386591049E-2</v>
      </c>
      <c r="J184" s="2">
        <f t="shared" si="18"/>
        <v>-2.2800606835235791E-2</v>
      </c>
      <c r="K184" s="2">
        <f t="shared" si="19"/>
        <v>-5.4594176373859118E-2</v>
      </c>
      <c r="L184" s="2">
        <f t="shared" si="20"/>
        <v>-3.1793569538623327E-2</v>
      </c>
    </row>
    <row r="185" spans="1:12" x14ac:dyDescent="0.3">
      <c r="A185" s="33">
        <v>39398</v>
      </c>
      <c r="B185" s="2">
        <v>44.4</v>
      </c>
      <c r="C185" s="5">
        <f t="shared" si="15"/>
        <v>0.11166750125187774</v>
      </c>
      <c r="D185" s="2">
        <v>1458.74</v>
      </c>
      <c r="E185" s="5">
        <f t="shared" si="16"/>
        <v>1.2521690844728317E-2</v>
      </c>
      <c r="F185" s="33">
        <v>39398</v>
      </c>
      <c r="G185" s="2" t="b">
        <f t="shared" si="14"/>
        <v>1</v>
      </c>
      <c r="I185" s="2">
        <f t="shared" si="17"/>
        <v>1.3641500094638369E-2</v>
      </c>
      <c r="J185" s="2">
        <f t="shared" si="18"/>
        <v>9.8026001157239376E-2</v>
      </c>
      <c r="K185" s="2">
        <f t="shared" si="19"/>
        <v>0.10950511609984546</v>
      </c>
      <c r="L185" s="2">
        <f t="shared" si="20"/>
        <v>1.1479114942606087E-2</v>
      </c>
    </row>
    <row r="186" spans="1:12" x14ac:dyDescent="0.3">
      <c r="A186" s="33">
        <v>39395</v>
      </c>
      <c r="B186" s="2">
        <v>42.51</v>
      </c>
      <c r="C186" s="5">
        <f t="shared" si="15"/>
        <v>-4.2567567567567632E-2</v>
      </c>
      <c r="D186" s="2">
        <v>1453.7</v>
      </c>
      <c r="E186" s="5">
        <f t="shared" si="16"/>
        <v>-3.4550365383824166E-3</v>
      </c>
      <c r="F186" s="33">
        <v>39395</v>
      </c>
      <c r="G186" s="2" t="b">
        <f t="shared" si="14"/>
        <v>1</v>
      </c>
      <c r="I186">
        <f t="shared" si="17"/>
        <v>-3.7183531744806111E-3</v>
      </c>
      <c r="J186">
        <f t="shared" si="18"/>
        <v>-3.8849214393087021E-2</v>
      </c>
      <c r="K186">
        <f t="shared" si="19"/>
        <v>-4.4729952719599911E-2</v>
      </c>
      <c r="L186">
        <f t="shared" si="20"/>
        <v>-5.880738326512893E-3</v>
      </c>
    </row>
  </sheetData>
  <conditionalFormatting sqref="G27:G186">
    <cfRule type="expression" dxfId="0" priority="1">
      <formula>G27=FALSE</formula>
    </cfRule>
  </conditionalFormatting>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00FF"/>
  </sheetPr>
  <dimension ref="A1:D12"/>
  <sheetViews>
    <sheetView zoomScale="115" zoomScaleNormal="115" workbookViewId="0">
      <selection activeCell="E13" sqref="E13"/>
    </sheetView>
  </sheetViews>
  <sheetFormatPr defaultRowHeight="14.4" x14ac:dyDescent="0.3"/>
  <cols>
    <col min="1" max="1" width="31.88671875" customWidth="1"/>
    <col min="3" max="4" width="16.21875" customWidth="1"/>
  </cols>
  <sheetData>
    <row r="1" spans="1:4" x14ac:dyDescent="0.3">
      <c r="A1" s="27" t="s">
        <v>38</v>
      </c>
    </row>
    <row r="3" spans="1:4" ht="28.8" x14ac:dyDescent="0.3">
      <c r="C3" s="31" t="s">
        <v>119</v>
      </c>
      <c r="D3" s="31" t="s">
        <v>122</v>
      </c>
    </row>
    <row r="4" spans="1:4" x14ac:dyDescent="0.3">
      <c r="C4" s="32">
        <v>0.02</v>
      </c>
      <c r="D4" s="28">
        <v>-0.01</v>
      </c>
    </row>
    <row r="5" spans="1:4" ht="28.8" x14ac:dyDescent="0.3">
      <c r="A5" s="1" t="s">
        <v>19</v>
      </c>
      <c r="B5" s="1" t="s">
        <v>30</v>
      </c>
      <c r="C5" s="1" t="s">
        <v>121</v>
      </c>
      <c r="D5" s="1" t="s">
        <v>121</v>
      </c>
    </row>
    <row r="6" spans="1:4" x14ac:dyDescent="0.3">
      <c r="A6" s="29" t="s">
        <v>39</v>
      </c>
      <c r="B6" s="2">
        <v>0.41</v>
      </c>
      <c r="C6" s="30">
        <f t="shared" ref="C6:D12" si="0">$B6*C$4</f>
        <v>8.199999999999999E-3</v>
      </c>
      <c r="D6" s="30">
        <f t="shared" si="0"/>
        <v>-4.0999999999999995E-3</v>
      </c>
    </row>
    <row r="7" spans="1:4" x14ac:dyDescent="0.3">
      <c r="A7" s="29" t="s">
        <v>40</v>
      </c>
      <c r="B7" s="2">
        <v>0.47</v>
      </c>
      <c r="C7" s="30">
        <f t="shared" si="0"/>
        <v>9.4000000000000004E-3</v>
      </c>
      <c r="D7" s="30">
        <f t="shared" si="0"/>
        <v>-4.7000000000000002E-3</v>
      </c>
    </row>
    <row r="8" spans="1:4" x14ac:dyDescent="0.3">
      <c r="A8" s="29" t="s">
        <v>41</v>
      </c>
      <c r="B8" s="2">
        <v>1.84</v>
      </c>
      <c r="C8" s="30">
        <f t="shared" si="0"/>
        <v>3.6799999999999999E-2</v>
      </c>
      <c r="D8" s="30">
        <f t="shared" si="0"/>
        <v>-1.84E-2</v>
      </c>
    </row>
    <row r="9" spans="1:4" x14ac:dyDescent="0.3">
      <c r="A9" s="29" t="s">
        <v>42</v>
      </c>
      <c r="B9" s="2">
        <v>1.22</v>
      </c>
      <c r="C9" s="30">
        <f t="shared" si="0"/>
        <v>2.4400000000000002E-2</v>
      </c>
      <c r="D9" s="30">
        <f t="shared" si="0"/>
        <v>-1.2200000000000001E-2</v>
      </c>
    </row>
    <row r="10" spans="1:4" x14ac:dyDescent="0.3">
      <c r="A10" s="29" t="s">
        <v>43</v>
      </c>
      <c r="B10" s="2">
        <v>1.88</v>
      </c>
      <c r="C10" s="30">
        <f t="shared" si="0"/>
        <v>3.7600000000000001E-2</v>
      </c>
      <c r="D10" s="30">
        <f t="shared" si="0"/>
        <v>-1.8800000000000001E-2</v>
      </c>
    </row>
    <row r="11" spans="1:4" x14ac:dyDescent="0.3">
      <c r="A11" s="29" t="s">
        <v>44</v>
      </c>
      <c r="B11" s="29">
        <v>-0.253</v>
      </c>
      <c r="C11" s="30">
        <f t="shared" si="0"/>
        <v>-5.0600000000000003E-3</v>
      </c>
      <c r="D11" s="30">
        <f t="shared" si="0"/>
        <v>2.5300000000000001E-3</v>
      </c>
    </row>
    <row r="12" spans="1:4" x14ac:dyDescent="0.3">
      <c r="A12" s="29" t="s">
        <v>45</v>
      </c>
      <c r="B12" s="29">
        <v>-1.06</v>
      </c>
      <c r="C12" s="30">
        <f t="shared" si="0"/>
        <v>-2.12E-2</v>
      </c>
      <c r="D12" s="30">
        <f t="shared" si="0"/>
        <v>1.06E-2</v>
      </c>
    </row>
  </sheetData>
  <hyperlinks>
    <hyperlink ref="A1" r:id="rId1" xr:uid="{00000000-0004-0000-3D00-000000000000}"/>
  </hyperlinks>
  <pageMargins left="0.7" right="0.7" top="0.75" bottom="0.75" header="0.3" footer="0.3"/>
  <pageSetup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00FF"/>
  </sheetPr>
  <dimension ref="A1:F14"/>
  <sheetViews>
    <sheetView zoomScaleNormal="100" workbookViewId="0">
      <selection activeCell="E13" sqref="E13"/>
    </sheetView>
  </sheetViews>
  <sheetFormatPr defaultRowHeight="14.4" x14ac:dyDescent="0.3"/>
  <cols>
    <col min="1" max="1" width="41.77734375" customWidth="1"/>
    <col min="3" max="4" width="16.21875" customWidth="1"/>
  </cols>
  <sheetData>
    <row r="1" spans="1:6" x14ac:dyDescent="0.3">
      <c r="A1" s="27" t="s">
        <v>38</v>
      </c>
    </row>
    <row r="2" spans="1:6" ht="42" x14ac:dyDescent="0.4">
      <c r="A2" s="57" t="s">
        <v>111</v>
      </c>
      <c r="B2" s="26"/>
      <c r="C2" s="26"/>
      <c r="D2" s="26"/>
    </row>
    <row r="3" spans="1:6" ht="28.8" x14ac:dyDescent="0.3">
      <c r="C3" s="56" t="s">
        <v>119</v>
      </c>
      <c r="D3" s="56" t="s">
        <v>120</v>
      </c>
      <c r="F3" t="s">
        <v>123</v>
      </c>
    </row>
    <row r="4" spans="1:6" x14ac:dyDescent="0.3">
      <c r="C4" s="32">
        <v>0.02</v>
      </c>
      <c r="D4" s="28">
        <v>-0.01</v>
      </c>
      <c r="F4">
        <v>0.02</v>
      </c>
    </row>
    <row r="5" spans="1:6" ht="28.8" x14ac:dyDescent="0.3">
      <c r="A5" s="1" t="s">
        <v>19</v>
      </c>
      <c r="B5" s="1" t="s">
        <v>30</v>
      </c>
      <c r="C5" s="1" t="s">
        <v>121</v>
      </c>
      <c r="D5" s="1" t="s">
        <v>121</v>
      </c>
    </row>
    <row r="6" spans="1:6" x14ac:dyDescent="0.3">
      <c r="A6" s="2" t="s">
        <v>104</v>
      </c>
      <c r="B6" s="2">
        <v>1</v>
      </c>
      <c r="C6" s="30"/>
      <c r="D6" s="30"/>
    </row>
    <row r="7" spans="1:6" x14ac:dyDescent="0.3">
      <c r="A7" s="2" t="s">
        <v>105</v>
      </c>
      <c r="B7" s="2">
        <v>1.0900000000000001</v>
      </c>
      <c r="C7" s="30"/>
      <c r="D7" s="30"/>
    </row>
    <row r="8" spans="1:6" x14ac:dyDescent="0.3">
      <c r="A8" s="2" t="s">
        <v>39</v>
      </c>
      <c r="B8" s="2">
        <v>0.41</v>
      </c>
      <c r="C8" s="30"/>
      <c r="D8" s="30"/>
    </row>
    <row r="9" spans="1:6" x14ac:dyDescent="0.3">
      <c r="A9" s="2" t="s">
        <v>41</v>
      </c>
      <c r="B9" s="2">
        <v>1.84</v>
      </c>
      <c r="C9" s="30"/>
      <c r="D9" s="30"/>
    </row>
    <row r="10" spans="1:6" x14ac:dyDescent="0.3">
      <c r="A10" s="2" t="s">
        <v>44</v>
      </c>
      <c r="B10" s="2">
        <v>-0.253</v>
      </c>
      <c r="C10" s="30"/>
      <c r="D10" s="30"/>
    </row>
    <row r="11" spans="1:6" x14ac:dyDescent="0.3">
      <c r="A11" s="2" t="s">
        <v>40</v>
      </c>
      <c r="B11" s="2">
        <v>0.47</v>
      </c>
      <c r="C11" s="30"/>
      <c r="D11" s="30"/>
    </row>
    <row r="12" spans="1:6" x14ac:dyDescent="0.3">
      <c r="A12" s="2" t="s">
        <v>42</v>
      </c>
      <c r="B12" s="2">
        <v>1.22</v>
      </c>
      <c r="C12" s="30"/>
      <c r="D12" s="30"/>
    </row>
    <row r="13" spans="1:6" x14ac:dyDescent="0.3">
      <c r="A13" s="2" t="s">
        <v>43</v>
      </c>
      <c r="B13" s="2">
        <v>1.88</v>
      </c>
      <c r="C13" s="30"/>
      <c r="D13" s="30"/>
    </row>
    <row r="14" spans="1:6" x14ac:dyDescent="0.3">
      <c r="A14" s="2" t="s">
        <v>45</v>
      </c>
      <c r="B14" s="2">
        <v>-1.06</v>
      </c>
      <c r="C14" s="30"/>
      <c r="D14" s="30"/>
    </row>
  </sheetData>
  <hyperlinks>
    <hyperlink ref="A1" r:id="rId1" xr:uid="{00000000-0004-0000-3E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0000"/>
  </sheetPr>
  <dimension ref="A1:D14"/>
  <sheetViews>
    <sheetView zoomScaleNormal="100" workbookViewId="0">
      <selection activeCell="E13" sqref="E13"/>
    </sheetView>
  </sheetViews>
  <sheetFormatPr defaultRowHeight="14.4" x14ac:dyDescent="0.3"/>
  <cols>
    <col min="1" max="1" width="41.77734375" customWidth="1"/>
    <col min="3" max="4" width="16.21875" customWidth="1"/>
  </cols>
  <sheetData>
    <row r="1" spans="1:4" x14ac:dyDescent="0.3">
      <c r="A1" s="27" t="s">
        <v>38</v>
      </c>
    </row>
    <row r="2" spans="1:4" ht="42" x14ac:dyDescent="0.4">
      <c r="A2" s="57" t="s">
        <v>111</v>
      </c>
      <c r="B2" s="26"/>
      <c r="C2" s="26"/>
      <c r="D2" s="26"/>
    </row>
    <row r="3" spans="1:4" ht="28.8" x14ac:dyDescent="0.3">
      <c r="C3" s="56" t="s">
        <v>119</v>
      </c>
      <c r="D3" s="56" t="s">
        <v>120</v>
      </c>
    </row>
    <row r="4" spans="1:4" x14ac:dyDescent="0.3">
      <c r="C4" s="32">
        <v>0.02</v>
      </c>
      <c r="D4" s="28">
        <v>-0.01</v>
      </c>
    </row>
    <row r="5" spans="1:4" ht="28.8" x14ac:dyDescent="0.3">
      <c r="A5" s="1" t="s">
        <v>19</v>
      </c>
      <c r="B5" s="1" t="s">
        <v>30</v>
      </c>
      <c r="C5" s="1" t="s">
        <v>121</v>
      </c>
      <c r="D5" s="1" t="s">
        <v>121</v>
      </c>
    </row>
    <row r="6" spans="1:4" x14ac:dyDescent="0.3">
      <c r="A6" s="2" t="s">
        <v>104</v>
      </c>
      <c r="B6" s="2">
        <v>1</v>
      </c>
      <c r="C6" s="30">
        <f>$B6*C$4</f>
        <v>0.02</v>
      </c>
      <c r="D6" s="30">
        <f>$B6*D$4</f>
        <v>-0.01</v>
      </c>
    </row>
    <row r="7" spans="1:4" x14ac:dyDescent="0.3">
      <c r="A7" s="2" t="s">
        <v>105</v>
      </c>
      <c r="B7" s="2">
        <v>1.0900000000000001</v>
      </c>
      <c r="C7" s="30">
        <f>$B7*C$4</f>
        <v>2.1800000000000003E-2</v>
      </c>
      <c r="D7" s="30">
        <f>$B7*D$4</f>
        <v>-1.0900000000000002E-2</v>
      </c>
    </row>
    <row r="8" spans="1:4" x14ac:dyDescent="0.3">
      <c r="A8" s="2" t="s">
        <v>39</v>
      </c>
      <c r="B8" s="2">
        <v>0.41</v>
      </c>
      <c r="C8" s="30">
        <f t="shared" ref="C8:D14" si="0">$B8*C$4</f>
        <v>8.199999999999999E-3</v>
      </c>
      <c r="D8" s="30">
        <f t="shared" si="0"/>
        <v>-4.0999999999999995E-3</v>
      </c>
    </row>
    <row r="9" spans="1:4" x14ac:dyDescent="0.3">
      <c r="A9" s="2" t="s">
        <v>41</v>
      </c>
      <c r="B9" s="2">
        <v>1.84</v>
      </c>
      <c r="C9" s="30">
        <f>$B9*C$4</f>
        <v>3.6799999999999999E-2</v>
      </c>
      <c r="D9" s="30">
        <f>$B9*D$4</f>
        <v>-1.84E-2</v>
      </c>
    </row>
    <row r="10" spans="1:4" x14ac:dyDescent="0.3">
      <c r="A10" s="2" t="s">
        <v>44</v>
      </c>
      <c r="B10" s="2">
        <v>-0.253</v>
      </c>
      <c r="C10" s="30">
        <f>$B10*C$4</f>
        <v>-5.0600000000000003E-3</v>
      </c>
      <c r="D10" s="30">
        <f>$B10*D$4</f>
        <v>2.5300000000000001E-3</v>
      </c>
    </row>
    <row r="11" spans="1:4" x14ac:dyDescent="0.3">
      <c r="A11" s="2" t="s">
        <v>40</v>
      </c>
      <c r="B11" s="2">
        <v>0.47</v>
      </c>
      <c r="C11" s="30">
        <f t="shared" si="0"/>
        <v>9.4000000000000004E-3</v>
      </c>
      <c r="D11" s="30">
        <f t="shared" si="0"/>
        <v>-4.7000000000000002E-3</v>
      </c>
    </row>
    <row r="12" spans="1:4" x14ac:dyDescent="0.3">
      <c r="A12" s="2" t="s">
        <v>42</v>
      </c>
      <c r="B12" s="2">
        <v>1.22</v>
      </c>
      <c r="C12" s="30">
        <f t="shared" si="0"/>
        <v>2.4400000000000002E-2</v>
      </c>
      <c r="D12" s="30">
        <f t="shared" si="0"/>
        <v>-1.2200000000000001E-2</v>
      </c>
    </row>
    <row r="13" spans="1:4" x14ac:dyDescent="0.3">
      <c r="A13" s="2" t="s">
        <v>43</v>
      </c>
      <c r="B13" s="2">
        <v>1.88</v>
      </c>
      <c r="C13" s="30">
        <f t="shared" si="0"/>
        <v>3.7600000000000001E-2</v>
      </c>
      <c r="D13" s="30">
        <f t="shared" si="0"/>
        <v>-1.8800000000000001E-2</v>
      </c>
    </row>
    <row r="14" spans="1:4" x14ac:dyDescent="0.3">
      <c r="A14" s="2" t="s">
        <v>45</v>
      </c>
      <c r="B14" s="2">
        <v>-1.06</v>
      </c>
      <c r="C14" s="30">
        <f t="shared" si="0"/>
        <v>-2.12E-2</v>
      </c>
      <c r="D14" s="30">
        <f t="shared" si="0"/>
        <v>1.06E-2</v>
      </c>
    </row>
  </sheetData>
  <hyperlinks>
    <hyperlink ref="A1" r:id="rId1" xr:uid="{00000000-0004-0000-3F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Ex(0.5)</vt:lpstr>
      <vt:lpstr>Ex(0.5an)</vt:lpstr>
      <vt:lpstr>Ex(1)</vt:lpstr>
      <vt:lpstr>Ex(1an)</vt:lpstr>
      <vt:lpstr>Ex(2)</vt:lpstr>
      <vt:lpstr>Ex(2an)</vt:lpstr>
      <vt:lpstr>Ex(3)</vt:lpstr>
      <vt:lpstr>Ex(3an)</vt:lpstr>
      <vt:lpstr>Ex(4)</vt:lpstr>
      <vt:lpstr>Ex(4an)</vt:lpstr>
      <vt:lpstr>Ex(5)</vt:lpstr>
      <vt:lpstr>Ex(5an)</vt:lpstr>
      <vt:lpstr>Ex(6)</vt:lpstr>
      <vt:lpstr>Ex(6an)</vt:lpstr>
      <vt:lpstr>Ex(7)</vt:lpstr>
      <vt:lpstr>Ex(7an)</vt:lpstr>
      <vt:lpstr>Ex(8)</vt:lpstr>
      <vt:lpstr>Ex(8an)</vt:lpstr>
      <vt:lpstr>WFMI</vt:lpstr>
      <vt:lpstr>Web(3)</vt:lpstr>
      <vt:lpstr>zzzz</vt:lpstr>
      <vt:lpstr>zzz</vt:lpstr>
    </vt:vector>
  </TitlesOfParts>
  <Company>Highline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Girvin</dc:creator>
  <cp:lastModifiedBy>Girvin, Michael</cp:lastModifiedBy>
  <dcterms:created xsi:type="dcterms:W3CDTF">2010-11-26T18:26:43Z</dcterms:created>
  <dcterms:modified xsi:type="dcterms:W3CDTF">2025-02-15T01:04:11Z</dcterms:modified>
</cp:coreProperties>
</file>