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10\Files\"/>
    </mc:Choice>
  </mc:AlternateContent>
  <xr:revisionPtr revIDLastSave="0" documentId="13_ncr:1_{0F5D8513-6E4A-4AA8-8E02-613B8A63D5F3}" xr6:coauthVersionLast="47" xr6:coauthVersionMax="47" xr10:uidLastSave="{00000000-0000-0000-0000-000000000000}"/>
  <bookViews>
    <workbookView xWindow="-90" yWindow="-90" windowWidth="19380" windowHeight="10380" activeTab="3" xr2:uid="{00000000-000D-0000-FFFF-FFFF00000000}"/>
  </bookViews>
  <sheets>
    <sheet name="Ex(1)" sheetId="14" r:id="rId1"/>
    <sheet name="Ex(1an)" sheetId="57" r:id="rId2"/>
    <sheet name="Ex(1x)" sheetId="2" r:id="rId3"/>
    <sheet name="Ex(2)" sheetId="52" r:id="rId4"/>
    <sheet name="Ex(2an)" sheetId="58" r:id="rId5"/>
    <sheet name="Ex(3)" sheetId="53" r:id="rId6"/>
    <sheet name="Ex(3an)" sheetId="59" r:id="rId7"/>
    <sheet name="Ex(4)" sheetId="54" r:id="rId8"/>
    <sheet name="Ex(4an)" sheetId="60" r:id="rId9"/>
    <sheet name="Ex(5)" sheetId="55" r:id="rId10"/>
    <sheet name="Ex(5an)" sheetId="61" r:id="rId11"/>
    <sheet name="Ex(6)" sheetId="56" r:id="rId12"/>
    <sheet name="Ex(6an)" sheetId="62" r:id="rId13"/>
    <sheet name="Ex(7)" sheetId="13" r:id="rId14"/>
    <sheet name="Ex(7an)" sheetId="64" r:id="rId15"/>
    <sheet name="Ex(8)" sheetId="10" r:id="rId16"/>
    <sheet name="Ex(8an)" sheetId="65" r:id="rId17"/>
    <sheet name="Ex(9a)" sheetId="68" r:id="rId18"/>
    <sheet name="Ex(9b)" sheetId="67" r:id="rId19"/>
    <sheet name="Ex(9an)" sheetId="66" r:id="rId20"/>
    <sheet name="Data" sheetId="1" r:id="rId21"/>
    <sheet name="Ex(10)" sheetId="3" r:id="rId22"/>
    <sheet name="Ex(3n)" sheetId="4" state="hidden" r:id="rId23"/>
    <sheet name="Ex(4n)" sheetId="6" state="hidden" r:id="rId24"/>
    <sheet name="MEAN V GEOMEAN" sheetId="8" state="hidden" r:id="rId25"/>
    <sheet name="Estimate From Standard Deviatio" sheetId="9" state="hidden" r:id="rId26"/>
    <sheet name="Ex(10an)" sheetId="74" r:id="rId27"/>
    <sheet name="Ex(11)" sheetId="70" r:id="rId28"/>
    <sheet name="Ex(11an)" sheetId="72" r:id="rId29"/>
    <sheet name="Ex(12)" sheetId="71" r:id="rId30"/>
    <sheet name="Ex(12an)" sheetId="73" r:id="rId31"/>
    <sheet name="Ex(13)" sheetId="30" r:id="rId32"/>
    <sheet name="Ex(13an)" sheetId="69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3" l="1" a="1"/>
  <c r="F2" i="73" s="1"/>
  <c r="K2" i="72" a="1"/>
  <c r="K2" i="72" s="1"/>
  <c r="J3" i="74" a="1"/>
  <c r="J3" i="74" s="1"/>
  <c r="L14" i="74" a="1"/>
  <c r="L14" i="74" s="1"/>
  <c r="K14" i="74" a="1"/>
  <c r="K14" i="74" s="1"/>
  <c r="J14" i="74" a="1"/>
  <c r="J14" i="74" s="1"/>
  <c r="I14" i="74" a="1"/>
  <c r="I14" i="74" s="1"/>
  <c r="I3" i="74" a="1"/>
  <c r="I3" i="74" s="1"/>
  <c r="G24" i="66"/>
  <c r="D24" i="66"/>
  <c r="G29" i="66" a="1"/>
  <c r="G29" i="66" s="1"/>
  <c r="F6" i="66"/>
  <c r="F7" i="66"/>
  <c r="F8" i="66"/>
  <c r="F9" i="66"/>
  <c r="F10" i="66"/>
  <c r="F11" i="66"/>
  <c r="F12" i="66"/>
  <c r="F13" i="66"/>
  <c r="F14" i="66"/>
  <c r="F15" i="66"/>
  <c r="F16" i="66"/>
  <c r="F17" i="66"/>
  <c r="F18" i="66"/>
  <c r="F19" i="66"/>
  <c r="F5" i="66"/>
  <c r="F29" i="66" a="1"/>
  <c r="F29" i="66" s="1"/>
  <c r="D29" i="66" a="1"/>
  <c r="D29" i="66" s="1"/>
  <c r="C29" i="66" a="1"/>
  <c r="C29" i="66" s="1"/>
  <c r="C5" i="66"/>
  <c r="D5" i="66" s="1"/>
  <c r="C6" i="66"/>
  <c r="D6" i="66" s="1"/>
  <c r="C7" i="66"/>
  <c r="D7" i="66" s="1"/>
  <c r="C8" i="66"/>
  <c r="D8" i="66" s="1"/>
  <c r="C9" i="66"/>
  <c r="D9" i="66" s="1"/>
  <c r="C10" i="66"/>
  <c r="D10" i="66" s="1"/>
  <c r="C11" i="66"/>
  <c r="D11" i="66" s="1"/>
  <c r="C12" i="66"/>
  <c r="D12" i="66" s="1"/>
  <c r="C13" i="66"/>
  <c r="D13" i="66" s="1"/>
  <c r="C14" i="66"/>
  <c r="D14" i="66" s="1"/>
  <c r="C15" i="66"/>
  <c r="D15" i="66" s="1"/>
  <c r="C16" i="66"/>
  <c r="D16" i="66" s="1"/>
  <c r="C17" i="66"/>
  <c r="D17" i="66" s="1"/>
  <c r="C18" i="66"/>
  <c r="D18" i="66" s="1"/>
  <c r="C19" i="66"/>
  <c r="D19" i="66" s="1"/>
  <c r="C20" i="66"/>
  <c r="C24" i="64" a="1"/>
  <c r="C24" i="64" s="1"/>
  <c r="E11" i="62"/>
  <c r="G3" i="65" a="1"/>
  <c r="G3" i="65" s="1"/>
  <c r="I4" i="62" a="1"/>
  <c r="I4" i="62" s="1"/>
  <c r="I3" i="65" a="1"/>
  <c r="I3" i="65" s="1"/>
  <c r="K13" i="64" a="1"/>
  <c r="K13" i="64" s="1"/>
  <c r="J13" i="64" a="1"/>
  <c r="J13" i="64" s="1"/>
  <c r="I13" i="64" a="1"/>
  <c r="I13" i="64" s="1"/>
  <c r="H13" i="64" a="1"/>
  <c r="H13" i="64" s="1"/>
  <c r="K4" i="62" a="1"/>
  <c r="K4" i="62" s="1"/>
  <c r="E12" i="62" s="1" a="1"/>
  <c r="E12" i="62" s="1"/>
  <c r="F11" i="14"/>
  <c r="B14" i="69"/>
  <c r="B9" i="69"/>
  <c r="B13" i="69" s="1"/>
  <c r="B15" i="69" s="1"/>
  <c r="C9" i="73"/>
  <c r="B9" i="73"/>
  <c r="D9" i="73" s="1"/>
  <c r="A9" i="73"/>
  <c r="C8" i="73"/>
  <c r="B8" i="73"/>
  <c r="D8" i="73" s="1"/>
  <c r="A8" i="73"/>
  <c r="C7" i="73"/>
  <c r="B7" i="73"/>
  <c r="D7" i="73" s="1"/>
  <c r="A7" i="73"/>
  <c r="C6" i="73"/>
  <c r="B6" i="73"/>
  <c r="A6" i="73"/>
  <c r="C5" i="73"/>
  <c r="B5" i="73"/>
  <c r="D5" i="73" s="1"/>
  <c r="A5" i="73"/>
  <c r="C4" i="73"/>
  <c r="B4" i="73"/>
  <c r="D4" i="73" s="1"/>
  <c r="A4" i="73"/>
  <c r="C3" i="73"/>
  <c r="B3" i="73"/>
  <c r="D3" i="73" s="1"/>
  <c r="A3" i="73"/>
  <c r="C2" i="73"/>
  <c r="B2" i="73"/>
  <c r="D2" i="73" s="1"/>
  <c r="A2" i="73"/>
  <c r="C1" i="73"/>
  <c r="B1" i="73"/>
  <c r="A1" i="73"/>
  <c r="C8" i="72"/>
  <c r="B8" i="72"/>
  <c r="D8" i="72" s="1"/>
  <c r="A8" i="72"/>
  <c r="C7" i="72"/>
  <c r="B7" i="72"/>
  <c r="D7" i="72" s="1"/>
  <c r="A7" i="72"/>
  <c r="C6" i="72"/>
  <c r="B6" i="72"/>
  <c r="A6" i="72"/>
  <c r="C5" i="72"/>
  <c r="B5" i="72"/>
  <c r="D5" i="72" s="1"/>
  <c r="A5" i="72"/>
  <c r="C4" i="72"/>
  <c r="B4" i="72"/>
  <c r="D4" i="72" s="1"/>
  <c r="A4" i="72"/>
  <c r="C3" i="72"/>
  <c r="B3" i="72"/>
  <c r="D3" i="72" s="1"/>
  <c r="A3" i="72"/>
  <c r="F2" i="72"/>
  <c r="C2" i="72"/>
  <c r="B2" i="72"/>
  <c r="B9" i="72" s="1"/>
  <c r="A2" i="72"/>
  <c r="F2" i="70"/>
  <c r="G19" i="74"/>
  <c r="F19" i="74"/>
  <c r="E19" i="74"/>
  <c r="D19" i="74"/>
  <c r="G18" i="74"/>
  <c r="F18" i="74"/>
  <c r="E18" i="74"/>
  <c r="D18" i="74"/>
  <c r="G17" i="74"/>
  <c r="F17" i="74"/>
  <c r="E17" i="74"/>
  <c r="D17" i="74"/>
  <c r="G16" i="74"/>
  <c r="F16" i="74"/>
  <c r="E16" i="74"/>
  <c r="D16" i="74"/>
  <c r="G15" i="74"/>
  <c r="F15" i="74"/>
  <c r="E15" i="74"/>
  <c r="D15" i="74"/>
  <c r="G14" i="74"/>
  <c r="F14" i="74"/>
  <c r="E14" i="74"/>
  <c r="D14" i="74"/>
  <c r="F8" i="74"/>
  <c r="F7" i="74"/>
  <c r="D7" i="74"/>
  <c r="C7" i="74"/>
  <c r="F6" i="74"/>
  <c r="D6" i="74"/>
  <c r="C6" i="74"/>
  <c r="F5" i="74"/>
  <c r="D5" i="74"/>
  <c r="C5" i="74"/>
  <c r="F4" i="74"/>
  <c r="D4" i="74"/>
  <c r="C4" i="74"/>
  <c r="F3" i="74"/>
  <c r="D3" i="74"/>
  <c r="C3" i="74"/>
  <c r="G24" i="67"/>
  <c r="C3" i="68"/>
  <c r="B3" i="68"/>
  <c r="D10" i="65"/>
  <c r="D9" i="65"/>
  <c r="D8" i="65"/>
  <c r="D7" i="65"/>
  <c r="D6" i="65"/>
  <c r="D5" i="65"/>
  <c r="D4" i="65"/>
  <c r="D3" i="65"/>
  <c r="G12" i="10"/>
  <c r="B23" i="64"/>
  <c r="E13" i="64" s="1"/>
  <c r="E14" i="64" s="1"/>
  <c r="E15" i="64" s="1"/>
  <c r="E16" i="64" s="1"/>
  <c r="C16" i="64"/>
  <c r="C15" i="64"/>
  <c r="C14" i="64"/>
  <c r="C13" i="64"/>
  <c r="D10" i="64"/>
  <c r="C10" i="64"/>
  <c r="D24" i="64" s="1"/>
  <c r="C21" i="64" s="1"/>
  <c r="B20" i="61"/>
  <c r="B18" i="61"/>
  <c r="B21" i="61" s="1"/>
  <c r="B23" i="61" s="1"/>
  <c r="A18" i="61"/>
  <c r="B8" i="61"/>
  <c r="B6" i="61"/>
  <c r="B9" i="61" s="1"/>
  <c r="B10" i="61" s="1"/>
  <c r="A6" i="61"/>
  <c r="A18" i="55"/>
  <c r="B7" i="60"/>
  <c r="B8" i="60" s="1"/>
  <c r="C10" i="59"/>
  <c r="B10" i="59"/>
  <c r="B11" i="59" s="1"/>
  <c r="B7" i="58"/>
  <c r="B8" i="58" s="1"/>
  <c r="B9" i="58" s="1"/>
  <c r="B11" i="58" s="1"/>
  <c r="D44" i="66" l="1"/>
  <c r="C44" i="66"/>
  <c r="G44" i="66"/>
  <c r="F44" i="66"/>
  <c r="D20" i="66"/>
  <c r="C13" i="65"/>
  <c r="D6" i="73"/>
  <c r="D10" i="73" s="1"/>
  <c r="D6" i="72"/>
  <c r="B24" i="64"/>
  <c r="B19" i="64"/>
  <c r="D13" i="64"/>
  <c r="D14" i="64" s="1"/>
  <c r="D15" i="64" s="1"/>
  <c r="D16" i="64" s="1"/>
  <c r="B12" i="69"/>
  <c r="B10" i="73"/>
  <c r="D2" i="72"/>
  <c r="D9" i="72" s="1"/>
  <c r="C18" i="65"/>
  <c r="G12" i="65"/>
  <c r="C12" i="65"/>
  <c r="C17" i="65" s="1"/>
  <c r="B26" i="64"/>
  <c r="F13" i="64"/>
  <c r="F14" i="64" s="1"/>
  <c r="F15" i="64" s="1"/>
  <c r="F16" i="64" s="1"/>
  <c r="B25" i="64"/>
  <c r="B18" i="64"/>
  <c r="B20" i="64"/>
  <c r="B21" i="64" s="1"/>
  <c r="B22" i="61"/>
  <c r="B13" i="58"/>
  <c r="B14" i="58"/>
  <c r="B15" i="58" s="1"/>
  <c r="E6" i="57"/>
  <c r="E5" i="57"/>
  <c r="E8" i="57"/>
  <c r="B8" i="57"/>
  <c r="B6" i="57"/>
  <c r="B7" i="57" s="1"/>
  <c r="B5" i="57"/>
  <c r="E7" i="57" l="1"/>
  <c r="C9" i="71"/>
  <c r="B9" i="71"/>
  <c r="A9" i="71"/>
  <c r="C8" i="71"/>
  <c r="B8" i="71"/>
  <c r="A8" i="71"/>
  <c r="C7" i="71"/>
  <c r="B7" i="71"/>
  <c r="A7" i="71"/>
  <c r="C6" i="71"/>
  <c r="B6" i="71"/>
  <c r="A6" i="71"/>
  <c r="C5" i="71"/>
  <c r="B5" i="71"/>
  <c r="A5" i="71"/>
  <c r="C4" i="71"/>
  <c r="B4" i="71"/>
  <c r="A4" i="71"/>
  <c r="C3" i="71"/>
  <c r="B3" i="71"/>
  <c r="A3" i="71"/>
  <c r="C2" i="71"/>
  <c r="B2" i="71"/>
  <c r="A2" i="71"/>
  <c r="C1" i="71"/>
  <c r="B1" i="71"/>
  <c r="A1" i="71"/>
  <c r="C8" i="70"/>
  <c r="B8" i="70"/>
  <c r="A8" i="70"/>
  <c r="C7" i="70"/>
  <c r="B7" i="70"/>
  <c r="A7" i="70"/>
  <c r="C6" i="70"/>
  <c r="B6" i="70"/>
  <c r="A6" i="70"/>
  <c r="C5" i="70"/>
  <c r="B5" i="70"/>
  <c r="A5" i="70"/>
  <c r="C4" i="70"/>
  <c r="B4" i="70"/>
  <c r="A4" i="70"/>
  <c r="C3" i="70"/>
  <c r="B3" i="70"/>
  <c r="A3" i="70"/>
  <c r="C2" i="70"/>
  <c r="B2" i="70"/>
  <c r="A2" i="70"/>
  <c r="B3" i="2"/>
  <c r="B14" i="2"/>
  <c r="B15" i="2" s="1"/>
  <c r="N1" i="66"/>
  <c r="N2" i="66"/>
  <c r="L5" i="66"/>
  <c r="N5" i="66"/>
  <c r="L6" i="66"/>
  <c r="N6" i="66"/>
  <c r="L7" i="66"/>
  <c r="N7" i="66"/>
  <c r="L8" i="66"/>
  <c r="N8" i="66"/>
  <c r="L9" i="66"/>
  <c r="N9" i="66"/>
  <c r="L10" i="66"/>
  <c r="N10" i="66"/>
  <c r="L11" i="66"/>
  <c r="N11" i="66"/>
  <c r="L12" i="66"/>
  <c r="N12" i="66"/>
  <c r="L13" i="66"/>
  <c r="N13" i="66"/>
  <c r="L14" i="66"/>
  <c r="N14" i="66"/>
  <c r="L15" i="66"/>
  <c r="N15" i="66"/>
  <c r="L16" i="66"/>
  <c r="N16" i="66"/>
  <c r="L17" i="66"/>
  <c r="N17" i="66"/>
  <c r="L18" i="66"/>
  <c r="N18" i="66"/>
  <c r="L19" i="66"/>
  <c r="N19" i="66"/>
  <c r="O4" i="66"/>
  <c r="L2" i="66" s="1"/>
  <c r="M4" i="66"/>
  <c r="L1" i="66" s="1"/>
  <c r="E2" i="66"/>
  <c r="E3" i="66"/>
  <c r="B3" i="66"/>
  <c r="G19" i="66" s="1"/>
  <c r="B2" i="66"/>
  <c r="E8" i="62"/>
  <c r="E7" i="62"/>
  <c r="E6" i="62"/>
  <c r="E5" i="62"/>
  <c r="E4" i="62"/>
  <c r="E13" i="62" s="1" a="1"/>
  <c r="E13" i="62" s="1"/>
  <c r="A6" i="55"/>
  <c r="M1" i="66" l="1"/>
  <c r="M2" i="66"/>
  <c r="G7" i="62"/>
  <c r="E10" i="62"/>
  <c r="G6" i="66"/>
  <c r="G8" i="66"/>
  <c r="G10" i="66"/>
  <c r="G12" i="66"/>
  <c r="G14" i="66"/>
  <c r="G16" i="66"/>
  <c r="G18" i="66"/>
  <c r="G5" i="66"/>
  <c r="G7" i="66"/>
  <c r="G9" i="66"/>
  <c r="G11" i="66"/>
  <c r="G13" i="66"/>
  <c r="G15" i="66"/>
  <c r="G17" i="66"/>
  <c r="G20" i="66" l="1"/>
  <c r="G22" i="66" s="1"/>
  <c r="G23" i="66" s="1"/>
  <c r="F20" i="66"/>
  <c r="D22" i="66"/>
  <c r="D23" i="66" s="1"/>
  <c r="B15" i="9" l="1"/>
  <c r="B17" i="9" s="1"/>
  <c r="B18" i="9" s="1"/>
  <c r="G9" i="9"/>
  <c r="E9" i="9"/>
  <c r="G8" i="9"/>
  <c r="E8" i="9"/>
  <c r="G7" i="9"/>
  <c r="E7" i="9"/>
  <c r="G6" i="9"/>
  <c r="E6" i="9"/>
  <c r="G5" i="9"/>
  <c r="E5" i="9"/>
  <c r="G4" i="9"/>
  <c r="E4" i="9"/>
  <c r="G3" i="9"/>
  <c r="E3" i="9"/>
  <c r="B26" i="8" a="1"/>
  <c r="B26" i="8" s="1"/>
  <c r="B19" i="8"/>
  <c r="B23" i="8" s="1"/>
  <c r="C17" i="8"/>
  <c r="C16" i="8"/>
  <c r="C15" i="8"/>
  <c r="E14" i="8"/>
  <c r="E15" i="8" s="1"/>
  <c r="E16" i="8" s="1"/>
  <c r="E17" i="8" s="1"/>
  <c r="D14" i="8"/>
  <c r="D15" i="8" s="1"/>
  <c r="D16" i="8" s="1"/>
  <c r="D17" i="8" s="1"/>
  <c r="C14" i="8"/>
  <c r="B20" i="8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G2" i="4"/>
  <c r="C3" i="4"/>
  <c r="A3" i="4" s="1"/>
  <c r="E3" i="4"/>
  <c r="G3" i="4"/>
  <c r="C4" i="4"/>
  <c r="A4" i="4" s="1"/>
  <c r="E4" i="4"/>
  <c r="G4" i="4"/>
  <c r="C5" i="4"/>
  <c r="A5" i="4" s="1"/>
  <c r="E5" i="4"/>
  <c r="G5" i="4"/>
  <c r="C6" i="4"/>
  <c r="A6" i="4" s="1"/>
  <c r="E6" i="4"/>
  <c r="G6" i="4"/>
  <c r="C7" i="4"/>
  <c r="A7" i="4" s="1"/>
  <c r="E7" i="4"/>
  <c r="G7" i="4"/>
  <c r="C8" i="4"/>
  <c r="A8" i="4" s="1"/>
  <c r="E8" i="4"/>
  <c r="G8" i="4"/>
  <c r="C9" i="4"/>
  <c r="A9" i="4" s="1"/>
  <c r="E9" i="4"/>
  <c r="G9" i="4"/>
  <c r="C10" i="4"/>
  <c r="A10" i="4" s="1"/>
  <c r="E10" i="4"/>
  <c r="G10" i="4"/>
  <c r="C11" i="4"/>
  <c r="A11" i="4" s="1"/>
  <c r="E11" i="4"/>
  <c r="G11" i="4"/>
  <c r="C12" i="4"/>
  <c r="A12" i="4" s="1"/>
  <c r="E12" i="4"/>
  <c r="G12" i="4"/>
  <c r="C13" i="4"/>
  <c r="A13" i="4" s="1"/>
  <c r="E13" i="4"/>
  <c r="G13" i="4"/>
  <c r="C14" i="4"/>
  <c r="A14" i="4" s="1"/>
  <c r="E14" i="4"/>
  <c r="G14" i="4"/>
  <c r="C15" i="4"/>
  <c r="A15" i="4" s="1"/>
  <c r="E15" i="4"/>
  <c r="G15" i="4"/>
  <c r="C16" i="4"/>
  <c r="A16" i="4" s="1"/>
  <c r="E16" i="4"/>
  <c r="G16" i="4"/>
  <c r="C17" i="4"/>
  <c r="A17" i="4" s="1"/>
  <c r="E17" i="4"/>
  <c r="G17" i="4"/>
  <c r="C18" i="4"/>
  <c r="A18" i="4" s="1"/>
  <c r="E18" i="4"/>
  <c r="G18" i="4"/>
  <c r="C19" i="4"/>
  <c r="A19" i="4" s="1"/>
  <c r="E19" i="4"/>
  <c r="G19" i="4"/>
  <c r="C20" i="4"/>
  <c r="A20" i="4" s="1"/>
  <c r="E20" i="4"/>
  <c r="G20" i="4"/>
  <c r="C21" i="4"/>
  <c r="A21" i="4" s="1"/>
  <c r="E21" i="4"/>
  <c r="G21" i="4"/>
  <c r="C22" i="4"/>
  <c r="A22" i="4" s="1"/>
  <c r="E22" i="4"/>
  <c r="G22" i="4"/>
  <c r="C23" i="4"/>
  <c r="A23" i="4" s="1"/>
  <c r="E23" i="4"/>
  <c r="G23" i="4"/>
  <c r="C24" i="4"/>
  <c r="A24" i="4" s="1"/>
  <c r="E24" i="4"/>
  <c r="G24" i="4"/>
  <c r="C25" i="4"/>
  <c r="A25" i="4" s="1"/>
  <c r="E25" i="4"/>
  <c r="G25" i="4"/>
  <c r="C26" i="4"/>
  <c r="A26" i="4" s="1"/>
  <c r="E26" i="4"/>
  <c r="G26" i="4"/>
  <c r="C27" i="4"/>
  <c r="A27" i="4" s="1"/>
  <c r="E27" i="4"/>
  <c r="G27" i="4"/>
  <c r="C28" i="4"/>
  <c r="A28" i="4" s="1"/>
  <c r="E28" i="4"/>
  <c r="G28" i="4"/>
  <c r="C29" i="4"/>
  <c r="A29" i="4" s="1"/>
  <c r="E29" i="4"/>
  <c r="G29" i="4"/>
  <c r="C30" i="4"/>
  <c r="A30" i="4" s="1"/>
  <c r="E30" i="4"/>
  <c r="G30" i="4"/>
  <c r="C31" i="4"/>
  <c r="A31" i="4" s="1"/>
  <c r="E31" i="4"/>
  <c r="G31" i="4"/>
  <c r="C32" i="4"/>
  <c r="A32" i="4" s="1"/>
  <c r="E32" i="4"/>
  <c r="G32" i="4"/>
  <c r="C33" i="4"/>
  <c r="A33" i="4" s="1"/>
  <c r="E33" i="4"/>
  <c r="G33" i="4"/>
  <c r="C34" i="4"/>
  <c r="A34" i="4" s="1"/>
  <c r="E34" i="4"/>
  <c r="G34" i="4"/>
  <c r="C35" i="4"/>
  <c r="A35" i="4" s="1"/>
  <c r="E35" i="4"/>
  <c r="G35" i="4"/>
  <c r="C36" i="4"/>
  <c r="A36" i="4" s="1"/>
  <c r="E36" i="4"/>
  <c r="G36" i="4"/>
  <c r="C37" i="4"/>
  <c r="A37" i="4" s="1"/>
  <c r="E37" i="4"/>
  <c r="G37" i="4"/>
  <c r="C38" i="4"/>
  <c r="A38" i="4" s="1"/>
  <c r="E38" i="4"/>
  <c r="G38" i="4"/>
  <c r="C39" i="4"/>
  <c r="A39" i="4" s="1"/>
  <c r="E39" i="4"/>
  <c r="G39" i="4"/>
  <c r="C40" i="4"/>
  <c r="A40" i="4" s="1"/>
  <c r="E40" i="4"/>
  <c r="G40" i="4"/>
  <c r="C41" i="4"/>
  <c r="A41" i="4" s="1"/>
  <c r="E41" i="4"/>
  <c r="G41" i="4"/>
  <c r="C42" i="4"/>
  <c r="A42" i="4" s="1"/>
  <c r="E42" i="4"/>
  <c r="G42" i="4"/>
  <c r="C43" i="4"/>
  <c r="A43" i="4" s="1"/>
  <c r="E43" i="4"/>
  <c r="G43" i="4"/>
  <c r="C44" i="4"/>
  <c r="A44" i="4" s="1"/>
  <c r="E44" i="4"/>
  <c r="G44" i="4"/>
  <c r="C45" i="4"/>
  <c r="A45" i="4" s="1"/>
  <c r="E45" i="4"/>
  <c r="G45" i="4"/>
  <c r="C46" i="4"/>
  <c r="A46" i="4" s="1"/>
  <c r="E46" i="4"/>
  <c r="G46" i="4"/>
  <c r="C47" i="4"/>
  <c r="A47" i="4" s="1"/>
  <c r="E47" i="4"/>
  <c r="G47" i="4"/>
  <c r="C48" i="4"/>
  <c r="A48" i="4" s="1"/>
  <c r="E48" i="4"/>
  <c r="G48" i="4"/>
  <c r="C49" i="4"/>
  <c r="A49" i="4" s="1"/>
  <c r="E49" i="4"/>
  <c r="G49" i="4"/>
  <c r="C50" i="4"/>
  <c r="A50" i="4" s="1"/>
  <c r="E50" i="4"/>
  <c r="G50" i="4"/>
  <c r="C51" i="4"/>
  <c r="A51" i="4" s="1"/>
  <c r="E51" i="4"/>
  <c r="G51" i="4"/>
  <c r="C52" i="4"/>
  <c r="A52" i="4" s="1"/>
  <c r="E52" i="4"/>
  <c r="G52" i="4"/>
  <c r="C53" i="4"/>
  <c r="A53" i="4" s="1"/>
  <c r="E53" i="4"/>
  <c r="G53" i="4"/>
  <c r="C54" i="4"/>
  <c r="A54" i="4" s="1"/>
  <c r="E54" i="4"/>
  <c r="G54" i="4"/>
  <c r="C55" i="4"/>
  <c r="A55" i="4" s="1"/>
  <c r="E55" i="4"/>
  <c r="G55" i="4"/>
  <c r="C56" i="4"/>
  <c r="A56" i="4" s="1"/>
  <c r="E56" i="4"/>
  <c r="G56" i="4"/>
  <c r="C57" i="4"/>
  <c r="A57" i="4" s="1"/>
  <c r="E57" i="4"/>
  <c r="G57" i="4"/>
  <c r="C58" i="4"/>
  <c r="A58" i="4" s="1"/>
  <c r="E58" i="4"/>
  <c r="G58" i="4"/>
  <c r="C59" i="4"/>
  <c r="A59" i="4" s="1"/>
  <c r="E59" i="4"/>
  <c r="G59" i="4"/>
  <c r="C60" i="4"/>
  <c r="A60" i="4" s="1"/>
  <c r="E60" i="4"/>
  <c r="G60" i="4"/>
  <c r="C61" i="4"/>
  <c r="A61" i="4" s="1"/>
  <c r="E61" i="4"/>
  <c r="G61" i="4"/>
  <c r="C62" i="4"/>
  <c r="A62" i="4" s="1"/>
  <c r="E62" i="4"/>
  <c r="G62" i="4"/>
  <c r="C63" i="4"/>
  <c r="A63" i="4" s="1"/>
  <c r="E63" i="4"/>
  <c r="G63" i="4"/>
  <c r="C64" i="4"/>
  <c r="A64" i="4" s="1"/>
  <c r="E64" i="4"/>
  <c r="G64" i="4"/>
  <c r="C65" i="4"/>
  <c r="A65" i="4" s="1"/>
  <c r="E65" i="4"/>
  <c r="G65" i="4"/>
  <c r="C66" i="4"/>
  <c r="A66" i="4" s="1"/>
  <c r="E66" i="4"/>
  <c r="G66" i="4"/>
  <c r="C67" i="4"/>
  <c r="A67" i="4" s="1"/>
  <c r="E67" i="4"/>
  <c r="G67" i="4"/>
  <c r="C68" i="4"/>
  <c r="A68" i="4" s="1"/>
  <c r="E68" i="4"/>
  <c r="G68" i="4"/>
  <c r="C69" i="4"/>
  <c r="A69" i="4" s="1"/>
  <c r="E69" i="4"/>
  <c r="G69" i="4"/>
  <c r="C70" i="4"/>
  <c r="A70" i="4" s="1"/>
  <c r="E70" i="4"/>
  <c r="G70" i="4"/>
  <c r="C71" i="4"/>
  <c r="A71" i="4" s="1"/>
  <c r="E71" i="4"/>
  <c r="G71" i="4"/>
  <c r="C72" i="4"/>
  <c r="A72" i="4" s="1"/>
  <c r="E72" i="4"/>
  <c r="G72" i="4"/>
  <c r="C73" i="4"/>
  <c r="A73" i="4" s="1"/>
  <c r="E73" i="4"/>
  <c r="G73" i="4"/>
  <c r="C74" i="4"/>
  <c r="A74" i="4" s="1"/>
  <c r="E74" i="4"/>
  <c r="G74" i="4"/>
  <c r="C75" i="4"/>
  <c r="A75" i="4" s="1"/>
  <c r="E75" i="4"/>
  <c r="G75" i="4"/>
  <c r="C76" i="4"/>
  <c r="A76" i="4" s="1"/>
  <c r="E76" i="4"/>
  <c r="G76" i="4"/>
  <c r="C77" i="4"/>
  <c r="A77" i="4" s="1"/>
  <c r="E77" i="4"/>
  <c r="G77" i="4"/>
  <c r="C78" i="4"/>
  <c r="A78" i="4" s="1"/>
  <c r="E78" i="4"/>
  <c r="G78" i="4"/>
  <c r="C79" i="4"/>
  <c r="A79" i="4" s="1"/>
  <c r="E79" i="4"/>
  <c r="G79" i="4"/>
  <c r="C80" i="4"/>
  <c r="A80" i="4" s="1"/>
  <c r="E80" i="4"/>
  <c r="G80" i="4"/>
  <c r="C81" i="4"/>
  <c r="A81" i="4" s="1"/>
  <c r="E81" i="4"/>
  <c r="G81" i="4"/>
  <c r="C82" i="4"/>
  <c r="A82" i="4" s="1"/>
  <c r="E82" i="4"/>
  <c r="G82" i="4"/>
  <c r="C83" i="4"/>
  <c r="A83" i="4" s="1"/>
  <c r="E83" i="4"/>
  <c r="G83" i="4"/>
  <c r="C84" i="4"/>
  <c r="A84" i="4" s="1"/>
  <c r="E84" i="4"/>
  <c r="G84" i="4"/>
  <c r="L2" i="4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J3" i="6"/>
  <c r="J2" i="6"/>
  <c r="F2" i="6"/>
  <c r="D2" i="6"/>
  <c r="B2" i="6"/>
  <c r="J1" i="6"/>
  <c r="G1" i="6"/>
  <c r="E1" i="6"/>
  <c r="C1" i="6"/>
  <c r="E2" i="4"/>
  <c r="C2" i="4"/>
  <c r="A2" i="4" s="1"/>
  <c r="H1" i="4"/>
  <c r="D1" i="4"/>
  <c r="F1" i="4"/>
  <c r="B23" i="2"/>
  <c r="B21" i="2"/>
  <c r="B20" i="2"/>
  <c r="B17" i="2"/>
  <c r="B18" i="2" s="1"/>
  <c r="B19" i="2" s="1"/>
  <c r="B11" i="2"/>
  <c r="B9" i="2"/>
  <c r="B8" i="2"/>
  <c r="B5" i="2"/>
  <c r="B6" i="2" s="1"/>
  <c r="B7" i="2" s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07" i="1"/>
  <c r="C107" i="1"/>
  <c r="E108" i="1"/>
  <c r="H104" i="1"/>
  <c r="F104" i="1"/>
  <c r="D104" i="1"/>
  <c r="B104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08" i="1"/>
  <c r="D103" i="1"/>
  <c r="F103" i="1"/>
  <c r="G103" i="1"/>
  <c r="B103" i="1"/>
  <c r="K3" i="6" l="1"/>
  <c r="K2" i="6"/>
  <c r="K1" i="6"/>
  <c r="B22" i="2"/>
  <c r="B10" i="2"/>
  <c r="B24" i="8"/>
  <c r="F14" i="8"/>
  <c r="F15" i="8" s="1"/>
  <c r="F16" i="8" s="1"/>
  <c r="F17" i="8" s="1"/>
  <c r="J3" i="4"/>
  <c r="L3" i="4" s="1"/>
  <c r="J4" i="4"/>
  <c r="L4" i="4" s="1"/>
  <c r="M3" i="4"/>
  <c r="M2" i="4"/>
  <c r="P2" i="4" l="1"/>
  <c r="R2" i="4"/>
  <c r="T2" i="4"/>
  <c r="V2" i="4"/>
  <c r="X2" i="4"/>
  <c r="Z2" i="4"/>
  <c r="AB2" i="4"/>
  <c r="AD2" i="4"/>
  <c r="AF2" i="4"/>
  <c r="N2" i="4"/>
  <c r="O2" i="4"/>
  <c r="Q2" i="4"/>
  <c r="S2" i="4"/>
  <c r="U2" i="4"/>
  <c r="W2" i="4"/>
  <c r="Y2" i="4"/>
  <c r="AA2" i="4"/>
  <c r="AC2" i="4"/>
  <c r="AE2" i="4"/>
  <c r="AG2" i="4"/>
  <c r="O3" i="4"/>
  <c r="Q3" i="4"/>
  <c r="S3" i="4"/>
  <c r="U3" i="4"/>
  <c r="W3" i="4"/>
  <c r="Y3" i="4"/>
  <c r="AA3" i="4"/>
  <c r="AC3" i="4"/>
  <c r="AE3" i="4"/>
  <c r="AG3" i="4"/>
  <c r="N3" i="4"/>
  <c r="P3" i="4"/>
  <c r="R3" i="4"/>
  <c r="T3" i="4"/>
  <c r="V3" i="4"/>
  <c r="X3" i="4"/>
  <c r="Z3" i="4"/>
  <c r="AB3" i="4"/>
  <c r="AD3" i="4"/>
  <c r="AF3" i="4"/>
  <c r="J5" i="4"/>
  <c r="L5" i="4" s="1"/>
  <c r="M4" i="4"/>
  <c r="O4" i="4" l="1"/>
  <c r="Q4" i="4"/>
  <c r="S4" i="4"/>
  <c r="U4" i="4"/>
  <c r="W4" i="4"/>
  <c r="Y4" i="4"/>
  <c r="AA4" i="4"/>
  <c r="AC4" i="4"/>
  <c r="AE4" i="4"/>
  <c r="AG4" i="4"/>
  <c r="N4" i="4"/>
  <c r="P4" i="4"/>
  <c r="R4" i="4"/>
  <c r="T4" i="4"/>
  <c r="V4" i="4"/>
  <c r="X4" i="4"/>
  <c r="Z4" i="4"/>
  <c r="AB4" i="4"/>
  <c r="AD4" i="4"/>
  <c r="AF4" i="4"/>
  <c r="J6" i="4"/>
  <c r="L6" i="4" s="1"/>
  <c r="M5" i="4"/>
  <c r="O5" i="4" l="1"/>
  <c r="Q5" i="4"/>
  <c r="S5" i="4"/>
  <c r="U5" i="4"/>
  <c r="W5" i="4"/>
  <c r="Y5" i="4"/>
  <c r="AA5" i="4"/>
  <c r="AC5" i="4"/>
  <c r="AE5" i="4"/>
  <c r="AG5" i="4"/>
  <c r="N5" i="4"/>
  <c r="P5" i="4"/>
  <c r="R5" i="4"/>
  <c r="T5" i="4"/>
  <c r="V5" i="4"/>
  <c r="X5" i="4"/>
  <c r="Z5" i="4"/>
  <c r="AB5" i="4"/>
  <c r="AD5" i="4"/>
  <c r="AF5" i="4"/>
  <c r="J7" i="4"/>
  <c r="M6" i="4"/>
  <c r="O6" i="4" l="1"/>
  <c r="Q6" i="4"/>
  <c r="S6" i="4"/>
  <c r="U6" i="4"/>
  <c r="W6" i="4"/>
  <c r="Y6" i="4"/>
  <c r="AA6" i="4"/>
  <c r="AC6" i="4"/>
  <c r="AE6" i="4"/>
  <c r="AG6" i="4"/>
  <c r="N6" i="4"/>
  <c r="P6" i="4"/>
  <c r="R6" i="4"/>
  <c r="T6" i="4"/>
  <c r="V6" i="4"/>
  <c r="X6" i="4"/>
  <c r="Z6" i="4"/>
  <c r="AB6" i="4"/>
  <c r="AD6" i="4"/>
  <c r="AF6" i="4"/>
  <c r="L7" i="4"/>
  <c r="M7" i="4"/>
  <c r="J8" i="4"/>
  <c r="L8" i="4" s="1"/>
  <c r="O7" i="4" l="1"/>
  <c r="Q7" i="4"/>
  <c r="S7" i="4"/>
  <c r="U7" i="4"/>
  <c r="W7" i="4"/>
  <c r="Y7" i="4"/>
  <c r="AA7" i="4"/>
  <c r="AC7" i="4"/>
  <c r="AE7" i="4"/>
  <c r="AG7" i="4"/>
  <c r="N7" i="4"/>
  <c r="P7" i="4"/>
  <c r="R7" i="4"/>
  <c r="T7" i="4"/>
  <c r="V7" i="4"/>
  <c r="X7" i="4"/>
  <c r="Z7" i="4"/>
  <c r="AB7" i="4"/>
  <c r="AD7" i="4"/>
  <c r="AF7" i="4"/>
  <c r="J9" i="4"/>
  <c r="L9" i="4" s="1"/>
  <c r="M8" i="4"/>
  <c r="O8" i="4" l="1"/>
  <c r="Q8" i="4"/>
  <c r="S8" i="4"/>
  <c r="U8" i="4"/>
  <c r="W8" i="4"/>
  <c r="Y8" i="4"/>
  <c r="AA8" i="4"/>
  <c r="AC8" i="4"/>
  <c r="AE8" i="4"/>
  <c r="AG8" i="4"/>
  <c r="N8" i="4"/>
  <c r="P8" i="4"/>
  <c r="R8" i="4"/>
  <c r="T8" i="4"/>
  <c r="V8" i="4"/>
  <c r="X8" i="4"/>
  <c r="Z8" i="4"/>
  <c r="AB8" i="4"/>
  <c r="AD8" i="4"/>
  <c r="AF8" i="4"/>
  <c r="J10" i="4"/>
  <c r="L10" i="4" s="1"/>
  <c r="M9" i="4"/>
  <c r="O9" i="4" l="1"/>
  <c r="Q9" i="4"/>
  <c r="S9" i="4"/>
  <c r="U9" i="4"/>
  <c r="W9" i="4"/>
  <c r="Y9" i="4"/>
  <c r="AA9" i="4"/>
  <c r="AC9" i="4"/>
  <c r="AE9" i="4"/>
  <c r="AG9" i="4"/>
  <c r="N9" i="4"/>
  <c r="P9" i="4"/>
  <c r="R9" i="4"/>
  <c r="T9" i="4"/>
  <c r="V9" i="4"/>
  <c r="X9" i="4"/>
  <c r="Z9" i="4"/>
  <c r="AB9" i="4"/>
  <c r="AD9" i="4"/>
  <c r="AF9" i="4"/>
  <c r="J11" i="4"/>
  <c r="L11" i="4" s="1"/>
  <c r="M10" i="4"/>
  <c r="O10" i="4" l="1"/>
  <c r="Q10" i="4"/>
  <c r="S10" i="4"/>
  <c r="U10" i="4"/>
  <c r="W10" i="4"/>
  <c r="Y10" i="4"/>
  <c r="AA10" i="4"/>
  <c r="AC10" i="4"/>
  <c r="AE10" i="4"/>
  <c r="AG10" i="4"/>
  <c r="N10" i="4"/>
  <c r="P10" i="4"/>
  <c r="R10" i="4"/>
  <c r="T10" i="4"/>
  <c r="V10" i="4"/>
  <c r="X10" i="4"/>
  <c r="Z10" i="4"/>
  <c r="AB10" i="4"/>
  <c r="AD10" i="4"/>
  <c r="AF10" i="4"/>
  <c r="J12" i="4"/>
  <c r="L12" i="4" s="1"/>
  <c r="M11" i="4"/>
  <c r="O11" i="4" l="1"/>
  <c r="Q11" i="4"/>
  <c r="S11" i="4"/>
  <c r="U11" i="4"/>
  <c r="W11" i="4"/>
  <c r="N11" i="4"/>
  <c r="P11" i="4"/>
  <c r="R11" i="4"/>
  <c r="T11" i="4"/>
  <c r="V11" i="4"/>
  <c r="Y11" i="4"/>
  <c r="AA11" i="4"/>
  <c r="AC11" i="4"/>
  <c r="AE11" i="4"/>
  <c r="AG11" i="4"/>
  <c r="X11" i="4"/>
  <c r="Z11" i="4"/>
  <c r="AB11" i="4"/>
  <c r="AD11" i="4"/>
  <c r="AF11" i="4"/>
  <c r="J13" i="4"/>
  <c r="L13" i="4" s="1"/>
  <c r="M12" i="4"/>
  <c r="O12" i="4" l="1"/>
  <c r="Q12" i="4"/>
  <c r="S12" i="4"/>
  <c r="U12" i="4"/>
  <c r="W12" i="4"/>
  <c r="Y12" i="4"/>
  <c r="AA12" i="4"/>
  <c r="AC12" i="4"/>
  <c r="AE12" i="4"/>
  <c r="AG12" i="4"/>
  <c r="N12" i="4"/>
  <c r="P12" i="4"/>
  <c r="R12" i="4"/>
  <c r="T12" i="4"/>
  <c r="V12" i="4"/>
  <c r="X12" i="4"/>
  <c r="Z12" i="4"/>
  <c r="AB12" i="4"/>
  <c r="AD12" i="4"/>
  <c r="AF12" i="4"/>
  <c r="J14" i="4"/>
  <c r="L14" i="4" s="1"/>
  <c r="M13" i="4"/>
  <c r="O13" i="4" l="1"/>
  <c r="Q13" i="4"/>
  <c r="S13" i="4"/>
  <c r="U13" i="4"/>
  <c r="W13" i="4"/>
  <c r="Y13" i="4"/>
  <c r="AA13" i="4"/>
  <c r="AC13" i="4"/>
  <c r="AE13" i="4"/>
  <c r="AG13" i="4"/>
  <c r="N13" i="4"/>
  <c r="P13" i="4"/>
  <c r="R13" i="4"/>
  <c r="T13" i="4"/>
  <c r="V13" i="4"/>
  <c r="X13" i="4"/>
  <c r="Z13" i="4"/>
  <c r="AB13" i="4"/>
  <c r="AD13" i="4"/>
  <c r="AF13" i="4"/>
  <c r="M14" i="4"/>
  <c r="O14" i="4" l="1"/>
  <c r="Q14" i="4"/>
  <c r="S14" i="4"/>
  <c r="U14" i="4"/>
  <c r="W14" i="4"/>
  <c r="Y14" i="4"/>
  <c r="AA14" i="4"/>
  <c r="AC14" i="4"/>
  <c r="AE14" i="4"/>
  <c r="AG14" i="4"/>
  <c r="N14" i="4"/>
  <c r="P14" i="4"/>
  <c r="R14" i="4"/>
  <c r="T14" i="4"/>
  <c r="V14" i="4"/>
  <c r="X14" i="4"/>
  <c r="Z14" i="4"/>
  <c r="AB14" i="4"/>
  <c r="AD14" i="4"/>
  <c r="AF14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<sst xmlns="http://schemas.openxmlformats.org/spreadsheetml/2006/main" count="545" uniqueCount="207">
  <si>
    <t>Year</t>
  </si>
  <si>
    <t>Large Company Stocks</t>
  </si>
  <si>
    <t>Long Term Government Bonds</t>
  </si>
  <si>
    <t>US Treasury Bills</t>
  </si>
  <si>
    <t>Consumer Price Index</t>
  </si>
  <si>
    <t>S&amp;P 500 (total MV)</t>
  </si>
  <si>
    <t>Small Company Stocks</t>
  </si>
  <si>
    <t>Smallest 20% of Company on NYSE (total MV)</t>
  </si>
  <si>
    <t>1 month maturity</t>
  </si>
  <si>
    <t>20 years to Maturity</t>
  </si>
  <si>
    <t>CPI</t>
  </si>
  <si>
    <t>Arithmetic Mean</t>
  </si>
  <si>
    <t>% Return = (Dollar Return)/(End Stock Price)</t>
  </si>
  <si>
    <r>
      <t>Stock Price Time 0 = (Beg) = P</t>
    </r>
    <r>
      <rPr>
        <vertAlign val="subscript"/>
        <sz val="11"/>
        <color theme="1"/>
        <rFont val="Calibri"/>
        <family val="2"/>
        <scheme val="minor"/>
      </rPr>
      <t>t</t>
    </r>
  </si>
  <si>
    <r>
      <t>Stock Price Time 1 = (End) = P</t>
    </r>
    <r>
      <rPr>
        <vertAlign val="subscript"/>
        <sz val="11"/>
        <color theme="1"/>
        <rFont val="Calibri"/>
        <family val="2"/>
        <scheme val="minor"/>
      </rPr>
      <t>t+1</t>
    </r>
  </si>
  <si>
    <r>
      <t>Capital Gain Yield = P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- 1</t>
    </r>
  </si>
  <si>
    <t>% Return = Dividend Yield + Capital Gain Yield</t>
  </si>
  <si>
    <r>
      <t>Capital Gain = P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 xml:space="preserve"> - P</t>
    </r>
    <r>
      <rPr>
        <vertAlign val="subscript"/>
        <sz val="11"/>
        <color theme="1"/>
        <rFont val="Calibri"/>
        <family val="2"/>
        <scheme val="minor"/>
      </rPr>
      <t>t</t>
    </r>
  </si>
  <si>
    <r>
      <t>% Return + 1 = (D</t>
    </r>
    <r>
      <rPr>
        <vertAlign val="subscript"/>
        <sz val="11"/>
        <rFont val="Calibri"/>
        <family val="2"/>
        <scheme val="minor"/>
      </rPr>
      <t>t+1</t>
    </r>
    <r>
      <rPr>
        <sz val="11"/>
        <rFont val="Calibri"/>
        <family val="2"/>
        <scheme val="minor"/>
      </rPr>
      <t xml:space="preserve"> + P</t>
    </r>
    <r>
      <rPr>
        <vertAlign val="subscript"/>
        <sz val="11"/>
        <rFont val="Calibri"/>
        <family val="2"/>
        <scheme val="minor"/>
      </rPr>
      <t>t+1</t>
    </r>
    <r>
      <rPr>
        <sz val="11"/>
        <rFont val="Calibri"/>
        <family val="2"/>
        <scheme val="minor"/>
      </rPr>
      <t>)/P</t>
    </r>
    <r>
      <rPr>
        <vertAlign val="subscript"/>
        <sz val="11"/>
        <rFont val="Calibri"/>
        <family val="2"/>
        <scheme val="minor"/>
      </rPr>
      <t>t</t>
    </r>
  </si>
  <si>
    <t>Returns On Investment For 1 Year (Holding Period Return)
(Regardless of whether you sell the stock or not)</t>
  </si>
  <si>
    <r>
      <t>Dividend Paid at Time 1 = D</t>
    </r>
    <r>
      <rPr>
        <vertAlign val="subscript"/>
        <sz val="11"/>
        <color theme="1"/>
        <rFont val="Calibri"/>
        <family val="2"/>
        <scheme val="minor"/>
      </rPr>
      <t>t+1</t>
    </r>
  </si>
  <si>
    <t>Dollar Returns = Dividend Paid + Capital Gain</t>
  </si>
  <si>
    <r>
      <t>Dividend Yield = D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t</t>
    </r>
  </si>
  <si>
    <t>Year To Year Returns (Hand typed from tables in textbook)</t>
  </si>
  <si>
    <t>Investment</t>
  </si>
  <si>
    <t>Large Stocks</t>
  </si>
  <si>
    <t>Small Stocks</t>
  </si>
  <si>
    <t>Long-term Corporate Bonds</t>
  </si>
  <si>
    <t>Long-term Government Bonds</t>
  </si>
  <si>
    <t>Inflation</t>
  </si>
  <si>
    <r>
      <t>Historical Average Return = R</t>
    </r>
    <r>
      <rPr>
        <vertAlign val="subscript"/>
        <sz val="11"/>
        <color theme="0"/>
        <rFont val="Calibri"/>
        <family val="2"/>
        <scheme val="minor"/>
      </rPr>
      <t>H</t>
    </r>
  </si>
  <si>
    <r>
      <t>R</t>
    </r>
    <r>
      <rPr>
        <vertAlign val="subscript"/>
        <sz val="11"/>
        <color theme="0"/>
        <rFont val="Calibri"/>
        <family val="2"/>
        <scheme val="minor"/>
      </rPr>
      <t>H</t>
    </r>
    <r>
      <rPr>
        <sz val="11"/>
        <color theme="0"/>
        <rFont val="Calibri"/>
        <family val="2"/>
        <scheme val="minor"/>
      </rPr>
      <t xml:space="preserve"> - R</t>
    </r>
    <r>
      <rPr>
        <vertAlign val="subscript"/>
        <sz val="11"/>
        <color theme="0"/>
        <rFont val="Calibri"/>
        <family val="2"/>
        <scheme val="minor"/>
      </rPr>
      <t>f</t>
    </r>
    <r>
      <rPr>
        <sz val="11"/>
        <color theme="0"/>
        <rFont val="Calibri"/>
        <family val="2"/>
        <scheme val="minor"/>
      </rPr>
      <t xml:space="preserve"> = Reward For Risk</t>
    </r>
  </si>
  <si>
    <r>
      <t>U.S. Treasury Bills = R</t>
    </r>
    <r>
      <rPr>
        <vertAlign val="subscript"/>
        <sz val="11"/>
        <color theme="1"/>
        <rFont val="Calibri"/>
        <family val="2"/>
        <scheme val="minor"/>
      </rPr>
      <t>f</t>
    </r>
  </si>
  <si>
    <t>Inflation = I</t>
  </si>
  <si>
    <t>Mean</t>
  </si>
  <si>
    <t>Large Company Returns</t>
  </si>
  <si>
    <t>20 Year Gov Bond Returns</t>
  </si>
  <si>
    <t>Category</t>
  </si>
  <si>
    <t>Frequency</t>
  </si>
  <si>
    <t>Stock Return</t>
  </si>
  <si>
    <t>Total</t>
  </si>
  <si>
    <t>Count</t>
  </si>
  <si>
    <t>Standard Deviation</t>
  </si>
  <si>
    <t>68% chance that in any given year the returns will lie between:</t>
  </si>
  <si>
    <t>Lower</t>
  </si>
  <si>
    <t>Upper</t>
  </si>
  <si>
    <t>Arithmetic Mean answers the question: "Over a particular number of periods, what was the return for an average year, or what was the return for a typical year?"</t>
  </si>
  <si>
    <t>Arithmetic Mean = (Sum of Values)/(Count of Values) =</t>
  </si>
  <si>
    <t>When do you use Arithmetic Mean, when 1) Arithmetic Mean is always bigger than the Geomean and 2) all we have are estimates: Use Arithmetic Mean when you want optimistic results, or the time frame is short (cuz Geomean probably too small). ALSO: If you know the true arithmetic mean (like all the historic returns for a stock), then use this in forecasting "future wealth values. The problem of course is that we usually only have estimates."</t>
  </si>
  <si>
    <t>Geometric Mean answers the question: "Over a particular number of periods, what was the average compound return per year?" Geometric mean tells us: "What you actually earned per year on average, compound annually."</t>
  </si>
  <si>
    <r>
      <t>Geometric Mean = [(1+R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)*(1+R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)*(1+R</t>
    </r>
    <r>
      <rPr>
        <vertAlign val="sub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)*. . . *\*(1+R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>)]^</t>
    </r>
    <r>
      <rPr>
        <vertAlign val="superscript"/>
        <sz val="11"/>
        <color indexed="8"/>
        <rFont val="Calibri"/>
        <family val="2"/>
      </rPr>
      <t>(1/T)</t>
    </r>
    <r>
      <rPr>
        <sz val="11"/>
        <color theme="1"/>
        <rFont val="Calibri"/>
        <family val="2"/>
        <scheme val="minor"/>
      </rPr>
      <t xml:space="preserve"> - 1 =</t>
    </r>
  </si>
  <si>
    <t>Final Note: Short use Arithmetic (1 decade); Medium use difference between two (few decades); Long, use GEOMEAN (many decades).</t>
  </si>
  <si>
    <t>Stock Value</t>
  </si>
  <si>
    <t>Return + 1</t>
  </si>
  <si>
    <t>Stock Value Using Arithmetic Mean =</t>
  </si>
  <si>
    <t>Stock Value Using Geometric Mean =</t>
  </si>
  <si>
    <t>Arithmetic Mean =</t>
  </si>
  <si>
    <t>Geometric Mean =</t>
  </si>
  <si>
    <t>check</t>
  </si>
  <si>
    <t>Average Returns</t>
  </si>
  <si>
    <t>Types of Stock</t>
  </si>
  <si>
    <t>Geometric</t>
  </si>
  <si>
    <t>Arithmetic</t>
  </si>
  <si>
    <t>Estimate of Geometric Mean = Mean-(SD^2/2) = Mean - Variance/2</t>
  </si>
  <si>
    <t>Check</t>
  </si>
  <si>
    <t>Large Cap</t>
  </si>
  <si>
    <t>Small Cap</t>
  </si>
  <si>
    <t>Intermediate Government Bonds</t>
  </si>
  <si>
    <t>Years For Investment of Large Cap</t>
  </si>
  <si>
    <t>Amount Invested</t>
  </si>
  <si>
    <t>Future Value =</t>
  </si>
  <si>
    <t>Geomean =</t>
  </si>
  <si>
    <t>Years</t>
  </si>
  <si>
    <t>XOM Stock Price Start 2006</t>
  </si>
  <si>
    <t>Brigg's and Straton Stock Price Start 2006</t>
  </si>
  <si>
    <t>XOM Stock Price End 2006</t>
  </si>
  <si>
    <t>Brigg's and Straton Stock Price End 2006</t>
  </si>
  <si>
    <t>Dividend Paid during 2006</t>
  </si>
  <si>
    <t>Dividend Yield</t>
  </si>
  <si>
    <t>Capital Gain</t>
  </si>
  <si>
    <t>Total Return</t>
  </si>
  <si>
    <t>Capital Markets History Lesson 1: History tells us that there is a reward (excess return over risk-free (risk premium)) for bearing risk. "Risky assets, on average, earn a risk premium".</t>
  </si>
  <si>
    <t>Capital Markets History Lesson 2: History tells us that The greater the potential reward, the greater the risk; for a given year there is a significant risk of a dramatic change in value.</t>
  </si>
  <si>
    <t>Geometric Mean</t>
  </si>
  <si>
    <t>Period Return</t>
  </si>
  <si>
    <r>
      <t>P</t>
    </r>
    <r>
      <rPr>
        <vertAlign val="subscript"/>
        <sz val="11"/>
        <color theme="1"/>
        <rFont val="Calibri"/>
        <family val="2"/>
        <scheme val="minor"/>
      </rPr>
      <t>0</t>
    </r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</si>
  <si>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</si>
  <si>
    <t>Face Value</t>
  </si>
  <si>
    <t>Coupon Rate</t>
  </si>
  <si>
    <r>
      <t>Bond P</t>
    </r>
    <r>
      <rPr>
        <vertAlign val="subscript"/>
        <sz val="11"/>
        <color theme="1"/>
        <rFont val="Calibri"/>
        <family val="2"/>
        <scheme val="minor"/>
      </rPr>
      <t>0</t>
    </r>
  </si>
  <si>
    <r>
      <t>Bond P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</si>
  <si>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t>n</t>
  </si>
  <si>
    <t>Interest</t>
  </si>
  <si>
    <t>Dollar Returns</t>
  </si>
  <si>
    <t>Nominal Rate Return</t>
  </si>
  <si>
    <t>Real Rate</t>
  </si>
  <si>
    <t>Real Dollar Return</t>
  </si>
  <si>
    <t>When do you use Geometric Mean, when 1) Arithmetic Mean is always bigger than the Geomean and 2) all we have are estimates: Use Geometric Mean when you want pessimistic results, or the time frame is long (cuz Arithmetic Mean too big)."</t>
  </si>
  <si>
    <t>Standard Deviation (risk)</t>
  </si>
  <si>
    <t>Average Real Risk Premium</t>
  </si>
  <si>
    <t>Average Nominal Risk Premium</t>
  </si>
  <si>
    <t>How to calculate the Real Average Return for a stock</t>
  </si>
  <si>
    <t>Return</t>
  </si>
  <si>
    <t>Calculate Average for stock</t>
  </si>
  <si>
    <t>Mean Inflation over period</t>
  </si>
  <si>
    <t>Mean T-Bill Rate over period</t>
  </si>
  <si>
    <t>Average Real Return on Stock</t>
  </si>
  <si>
    <t>Calculate Real return for stock by dividing by inflation</t>
  </si>
  <si>
    <t>Average Real Risk-Free Rate</t>
  </si>
  <si>
    <t>Calculate Real risk-free rate by div Treasury Bill Rate by Inflation</t>
  </si>
  <si>
    <t>Calculate average change in purchase power by taking real return - real risk free.</t>
  </si>
  <si>
    <t>Item</t>
  </si>
  <si>
    <t>Zero Coupon</t>
  </si>
  <si>
    <t>Years To Maturity at Time 0</t>
  </si>
  <si>
    <t>What is Total Return?</t>
  </si>
  <si>
    <t>YTM Time 1</t>
  </si>
  <si>
    <t>Years To Maturity at Time 1</t>
  </si>
  <si>
    <t>Face Value at Maturity</t>
  </si>
  <si>
    <t>Assume n =</t>
  </si>
  <si>
    <t>&lt;&lt;== Assume</t>
  </si>
  <si>
    <t>Nominal Return</t>
  </si>
  <si>
    <t>Type</t>
  </si>
  <si>
    <t>Stated Dividend</t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</si>
  <si>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</si>
  <si>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</si>
  <si>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t>Stock</t>
  </si>
  <si>
    <t>Preferred Stock</t>
  </si>
  <si>
    <t>Time</t>
  </si>
  <si>
    <t>months</t>
  </si>
  <si>
    <r>
      <t>P</t>
    </r>
    <r>
      <rPr>
        <vertAlign val="subscript"/>
        <sz val="11"/>
        <color theme="1"/>
        <rFont val="Calibri"/>
        <family val="2"/>
        <scheme val="minor"/>
      </rPr>
      <t>3months</t>
    </r>
  </si>
  <si>
    <t>APR</t>
  </si>
  <si>
    <t># periods in 1 year</t>
  </si>
  <si>
    <t>Months in Year</t>
  </si>
  <si>
    <t>EAR</t>
  </si>
  <si>
    <t>R - Rf</t>
  </si>
  <si>
    <t>R = Nominal</t>
  </si>
  <si>
    <t>h = Inflation</t>
  </si>
  <si>
    <t>r = Real (change in purchase Power)</t>
  </si>
  <si>
    <t>US Treasury Bills (Rf)</t>
  </si>
  <si>
    <t>Consumer Price Index (h)</t>
  </si>
  <si>
    <t>Purchasing Power Went Up a lot if you invested in T-bills because Inflation was negative (Deflation).</t>
  </si>
  <si>
    <t>95% chance that in any given year the returns will lie between:</t>
  </si>
  <si>
    <t>Price Year End</t>
  </si>
  <si>
    <t>Dividend Year End</t>
  </si>
  <si>
    <t>Period</t>
  </si>
  <si>
    <t>Real Return - Change In Purchasing Power (Can Be Negative)</t>
  </si>
  <si>
    <t>r = (1+R)/(1+h)-1</t>
  </si>
  <si>
    <t>Period Return Stocks</t>
  </si>
  <si>
    <t>Period Return Coupon Bond</t>
  </si>
  <si>
    <t>Period Return Zero Bond</t>
  </si>
  <si>
    <t>Period Return Preferred Stock</t>
  </si>
  <si>
    <t>Period Return Less Than 1 Year</t>
  </si>
  <si>
    <t>Always Higher Than Geomean, unless all past returns are equal</t>
  </si>
  <si>
    <t>% Change = End/Beg-1</t>
  </si>
  <si>
    <t>Geomean</t>
  </si>
  <si>
    <t>Check:</t>
  </si>
  <si>
    <t>Based on Past Data, What do you think price will be in 2015?</t>
  </si>
  <si>
    <t>Geometric Mean (Conservative)</t>
  </si>
  <si>
    <t>Arithmetic Mean (Less Conservative)</t>
  </si>
  <si>
    <t>Stock Return A</t>
  </si>
  <si>
    <t>Stock Return B</t>
  </si>
  <si>
    <t>Based on Average Returns, which stock do you prefer?
It is hard to know, without looking at the volitility of past stock returns.</t>
  </si>
  <si>
    <t>Deviation</t>
  </si>
  <si>
    <t>Deviation ^2</t>
  </si>
  <si>
    <t>SD = Numerical Measure of Risk of Stock (Volitility)</t>
  </si>
  <si>
    <t>(Total Devaitions^2)/(COUNT-1)</t>
  </si>
  <si>
    <t>Square root to get back to same unit</t>
  </si>
  <si>
    <t>STDEV (Standard Deviation for Sample)</t>
  </si>
  <si>
    <t>x1</t>
  </si>
  <si>
    <t>x2</t>
  </si>
  <si>
    <t>Historical Data 1926 - 2008</t>
  </si>
  <si>
    <t>If Bell Shaped Distributions</t>
  </si>
  <si>
    <t>Remember: % Change = End/Beg - 1</t>
  </si>
  <si>
    <t>Apply General Number Format ==&gt; Ctrl + Shift + ~</t>
  </si>
  <si>
    <t>Total Real Value at End</t>
  </si>
  <si>
    <t>Check Real Dollar Return</t>
  </si>
  <si>
    <t>Ctrl + Shift + ~</t>
  </si>
  <si>
    <t>General Number Formatting</t>
  </si>
  <si>
    <t>Ctrl + Shift = ~</t>
  </si>
  <si>
    <t>General Number Format</t>
  </si>
  <si>
    <t>Days</t>
  </si>
  <si>
    <t>Days in Year</t>
  </si>
  <si>
    <r>
      <t>P</t>
    </r>
    <r>
      <rPr>
        <vertAlign val="subscript"/>
        <sz val="11"/>
        <color theme="1"/>
        <rFont val="Calibri"/>
        <family val="2"/>
        <scheme val="minor"/>
      </rPr>
      <t>4months</t>
    </r>
  </si>
  <si>
    <t>APR Nominal</t>
  </si>
  <si>
    <t>Many Periods, Then Average</t>
  </si>
  <si>
    <t>Mean:</t>
  </si>
  <si>
    <t>Tresury Bills (1 month) Considered Risk-free because gov. can raise taxes to pay &amp; because it is such a short time period</t>
  </si>
  <si>
    <t>End Value using (1+%)</t>
  </si>
  <si>
    <t>Geometric Mean using (1+%)*(1+%)…</t>
  </si>
  <si>
    <t>Geometric mean = true compounding rate</t>
  </si>
  <si>
    <t>How Many Years</t>
  </si>
  <si>
    <t>Dividen Paid</t>
  </si>
  <si>
    <t>Worth in 2015</t>
  </si>
  <si>
    <t>Link to see how to make this chart:</t>
  </si>
  <si>
    <t xml:space="preserve">Excel &amp; Statistics 39: Variability Chart - Visual Approach (Dispersion or Spread) </t>
  </si>
  <si>
    <t>Real Historical Rate</t>
  </si>
  <si>
    <t>r = (1+R)/(1+h)</t>
  </si>
  <si>
    <t>Real Rate r = (1+R)/(1+h)-1</t>
  </si>
  <si>
    <t>T-Bills may be considered Nominal Risk Free, but there is still a risk that the real return could be negative. When Inflation is high, there is still risk in the risk free rate because if inflation is higher than the T-Bill rate, you can loose purchasing power. Default and interest rate risk are low, but inflation risk can be high.</t>
  </si>
  <si>
    <t>MS 365 Excel</t>
  </si>
  <si>
    <t>MS 365 Excel:</t>
  </si>
  <si>
    <t>MS 365 Excel:
% Change = End/Beg-1</t>
  </si>
  <si>
    <t>OR</t>
  </si>
  <si>
    <t>MS 365:</t>
  </si>
  <si>
    <t>STDEV.S (Standard Deviation for Sample)</t>
  </si>
  <si>
    <t>MS 365 Excel:
Real Rate r = (1+R)/(1+h)-1</t>
  </si>
  <si>
    <t>MS 365 Excel:
Real Return - Change In Purchasing Power (Can Be Negative)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</si>
</sst>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0.000%"/>
    <numFmt numFmtId="167" formatCode="0.000000000"/>
    <numFmt numFmtId="168" formatCode="0.0000%"/>
    <numFmt numFmtId="169" formatCode="&quot;Beginning of &quot;0"/>
    <numFmt numFmtId="170" formatCode="&quot;End of &quot;0"/>
    <numFmt numFmtId="171" formatCode="0.000000"/>
    <numFmt numFmtId="172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6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3F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7">
    <xf numFmtId="0" fontId="0" fillId="0" borderId="0" xfId="0"/>
    <xf numFmtId="10" fontId="0" fillId="0" borderId="1" xfId="1" applyNumberFormat="1" applyFont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10" fontId="0" fillId="0" borderId="0" xfId="0" applyNumberFormat="1"/>
    <xf numFmtId="0" fontId="0" fillId="0" borderId="0" xfId="0" quotePrefix="1"/>
    <xf numFmtId="8" fontId="0" fillId="0" borderId="0" xfId="0" applyNumberFormat="1"/>
    <xf numFmtId="0" fontId="0" fillId="3" borderId="1" xfId="0" applyFill="1" applyBorder="1"/>
    <xf numFmtId="8" fontId="0" fillId="0" borderId="1" xfId="0" applyNumberFormat="1" applyBorder="1"/>
    <xf numFmtId="0" fontId="1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65" fontId="0" fillId="0" borderId="1" xfId="0" applyNumberFormat="1" applyBorder="1"/>
    <xf numFmtId="165" fontId="0" fillId="3" borderId="1" xfId="0" applyNumberFormat="1" applyFill="1" applyBorder="1"/>
    <xf numFmtId="164" fontId="0" fillId="3" borderId="1" xfId="1" applyNumberFormat="1" applyFont="1" applyFill="1" applyBorder="1"/>
    <xf numFmtId="10" fontId="0" fillId="3" borderId="1" xfId="1" applyNumberFormat="1" applyFont="1" applyFill="1" applyBorder="1"/>
    <xf numFmtId="0" fontId="7" fillId="2" borderId="1" xfId="0" applyFont="1" applyFill="1" applyBorder="1" applyAlignment="1">
      <alignment horizontal="centerContinuous" wrapText="1"/>
    </xf>
    <xf numFmtId="0" fontId="1" fillId="4" borderId="1" xfId="0" applyFont="1" applyFill="1" applyBorder="1" applyAlignment="1">
      <alignment wrapText="1"/>
    </xf>
    <xf numFmtId="10" fontId="0" fillId="0" borderId="1" xfId="0" applyNumberFormat="1" applyBorder="1"/>
    <xf numFmtId="10" fontId="0" fillId="3" borderId="1" xfId="0" applyNumberFormat="1" applyFill="1" applyBorder="1"/>
    <xf numFmtId="0" fontId="0" fillId="0" borderId="0" xfId="1" applyNumberFormat="1" applyFont="1" applyBorder="1"/>
    <xf numFmtId="0" fontId="0" fillId="0" borderId="1" xfId="1" applyNumberFormat="1" applyFont="1" applyBorder="1"/>
    <xf numFmtId="9" fontId="0" fillId="0" borderId="0" xfId="1" applyFont="1"/>
    <xf numFmtId="0" fontId="1" fillId="2" borderId="1" xfId="0" applyFont="1" applyFill="1" applyBorder="1"/>
    <xf numFmtId="0" fontId="0" fillId="0" borderId="2" xfId="0" applyBorder="1"/>
    <xf numFmtId="0" fontId="0" fillId="0" borderId="0" xfId="0" applyAlignment="1">
      <alignment textRotation="180"/>
    </xf>
    <xf numFmtId="0" fontId="1" fillId="2" borderId="1" xfId="0" applyFont="1" applyFill="1" applyBorder="1" applyAlignment="1">
      <alignment textRotation="180" wrapText="1"/>
    </xf>
    <xf numFmtId="0" fontId="0" fillId="0" borderId="3" xfId="0" applyBorder="1" applyAlignment="1">
      <alignment textRotation="180"/>
    </xf>
    <xf numFmtId="0" fontId="0" fillId="0" borderId="4" xfId="0" applyBorder="1" applyAlignment="1">
      <alignment textRotation="180"/>
    </xf>
    <xf numFmtId="0" fontId="0" fillId="0" borderId="5" xfId="0" applyBorder="1" applyAlignment="1">
      <alignment textRotation="180"/>
    </xf>
    <xf numFmtId="0" fontId="0" fillId="0" borderId="6" xfId="0" applyBorder="1" applyAlignment="1">
      <alignment textRotation="180"/>
    </xf>
    <xf numFmtId="0" fontId="0" fillId="0" borderId="7" xfId="0" applyBorder="1" applyAlignment="1">
      <alignment textRotation="180"/>
    </xf>
    <xf numFmtId="0" fontId="0" fillId="0" borderId="8" xfId="0" applyBorder="1" applyAlignment="1">
      <alignment textRotation="180"/>
    </xf>
    <xf numFmtId="0" fontId="0" fillId="0" borderId="9" xfId="0" applyBorder="1" applyAlignment="1">
      <alignment textRotation="180"/>
    </xf>
    <xf numFmtId="0" fontId="0" fillId="0" borderId="10" xfId="0" applyBorder="1" applyAlignment="1">
      <alignment textRotation="180"/>
    </xf>
    <xf numFmtId="164" fontId="0" fillId="3" borderId="1" xfId="0" applyNumberFormat="1" applyFill="1" applyBorder="1"/>
    <xf numFmtId="164" fontId="0" fillId="0" borderId="1" xfId="1" applyNumberFormat="1" applyFont="1" applyBorder="1"/>
    <xf numFmtId="0" fontId="3" fillId="0" borderId="1" xfId="0" applyFont="1" applyBorder="1"/>
    <xf numFmtId="0" fontId="0" fillId="0" borderId="0" xfId="0" applyAlignment="1">
      <alignment wrapText="1"/>
    </xf>
    <xf numFmtId="0" fontId="9" fillId="0" borderId="0" xfId="0" applyFont="1"/>
    <xf numFmtId="0" fontId="1" fillId="2" borderId="2" xfId="0" applyFont="1" applyFill="1" applyBorder="1" applyAlignment="1">
      <alignment wrapText="1"/>
    </xf>
    <xf numFmtId="10" fontId="0" fillId="0" borderId="2" xfId="0" applyNumberFormat="1" applyBorder="1"/>
    <xf numFmtId="0" fontId="1" fillId="4" borderId="1" xfId="0" applyFont="1" applyFill="1" applyBorder="1" applyAlignment="1">
      <alignment horizontal="centerContinuous" wrapText="1"/>
    </xf>
    <xf numFmtId="0" fontId="0" fillId="5" borderId="1" xfId="0" applyFill="1" applyBorder="1" applyAlignment="1">
      <alignment horizontal="centerContinuous" wrapText="1"/>
    </xf>
    <xf numFmtId="0" fontId="0" fillId="6" borderId="1" xfId="0" applyFill="1" applyBorder="1" applyAlignment="1">
      <alignment horizontal="centerContinuous" wrapText="1"/>
    </xf>
    <xf numFmtId="0" fontId="0" fillId="7" borderId="1" xfId="0" applyFill="1" applyBorder="1" applyAlignment="1">
      <alignment horizontal="centerContinuous" wrapText="1"/>
    </xf>
    <xf numFmtId="0" fontId="0" fillId="7" borderId="1" xfId="0" applyFill="1" applyBorder="1"/>
    <xf numFmtId="167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168" fontId="0" fillId="0" borderId="1" xfId="0" applyNumberFormat="1" applyBorder="1"/>
    <xf numFmtId="168" fontId="0" fillId="0" borderId="0" xfId="0" applyNumberFormat="1"/>
    <xf numFmtId="166" fontId="0" fillId="0" borderId="1" xfId="0" applyNumberFormat="1" applyBorder="1"/>
    <xf numFmtId="0" fontId="0" fillId="5" borderId="0" xfId="0" applyFill="1"/>
    <xf numFmtId="169" fontId="0" fillId="0" borderId="0" xfId="0" applyNumberFormat="1"/>
    <xf numFmtId="170" fontId="0" fillId="0" borderId="0" xfId="0" applyNumberFormat="1"/>
    <xf numFmtId="171" fontId="0" fillId="3" borderId="1" xfId="0" applyNumberFormat="1" applyFill="1" applyBorder="1"/>
    <xf numFmtId="8" fontId="0" fillId="3" borderId="1" xfId="0" applyNumberFormat="1" applyFill="1" applyBorder="1"/>
    <xf numFmtId="0" fontId="0" fillId="8" borderId="1" xfId="0" applyFill="1" applyBorder="1" applyAlignment="1">
      <alignment horizontal="centerContinuous" wrapText="1"/>
    </xf>
    <xf numFmtId="0" fontId="0" fillId="9" borderId="1" xfId="0" applyFill="1" applyBorder="1" applyAlignment="1">
      <alignment horizontal="centerContinuous" wrapText="1"/>
    </xf>
    <xf numFmtId="0" fontId="0" fillId="0" borderId="11" xfId="0" applyBorder="1"/>
    <xf numFmtId="172" fontId="0" fillId="3" borderId="1" xfId="0" applyNumberFormat="1" applyFill="1" applyBorder="1"/>
    <xf numFmtId="9" fontId="0" fillId="0" borderId="1" xfId="0" applyNumberFormat="1" applyBorder="1"/>
    <xf numFmtId="172" fontId="0" fillId="0" borderId="1" xfId="0" applyNumberFormat="1" applyBorder="1"/>
    <xf numFmtId="44" fontId="0" fillId="0" borderId="1" xfId="2" applyFont="1" applyBorder="1"/>
    <xf numFmtId="168" fontId="0" fillId="3" borderId="1" xfId="1" applyNumberFormat="1" applyFont="1" applyFill="1" applyBorder="1"/>
    <xf numFmtId="10" fontId="1" fillId="2" borderId="1" xfId="0" applyNumberFormat="1" applyFont="1" applyFill="1" applyBorder="1" applyAlignment="1">
      <alignment wrapText="1"/>
    </xf>
    <xf numFmtId="166" fontId="0" fillId="3" borderId="1" xfId="0" applyNumberFormat="1" applyFill="1" applyBorder="1"/>
    <xf numFmtId="0" fontId="0" fillId="0" borderId="14" xfId="0" applyBorder="1"/>
    <xf numFmtId="10" fontId="0" fillId="3" borderId="14" xfId="0" applyNumberFormat="1" applyFill="1" applyBorder="1"/>
    <xf numFmtId="0" fontId="14" fillId="0" borderId="0" xfId="0" applyFont="1"/>
    <xf numFmtId="8" fontId="0" fillId="0" borderId="11" xfId="0" applyNumberFormat="1" applyBorder="1"/>
    <xf numFmtId="172" fontId="0" fillId="3" borderId="1" xfId="1" applyNumberFormat="1" applyFont="1" applyFill="1" applyBorder="1"/>
    <xf numFmtId="0" fontId="15" fillId="2" borderId="0" xfId="0" applyFont="1" applyFill="1" applyAlignment="1">
      <alignment horizontal="centerContinuous" wrapText="1"/>
    </xf>
    <xf numFmtId="0" fontId="13" fillId="2" borderId="0" xfId="0" applyFont="1" applyFill="1" applyAlignment="1">
      <alignment horizontal="centerContinuous" wrapText="1"/>
    </xf>
    <xf numFmtId="0" fontId="1" fillId="10" borderId="2" xfId="0" applyFont="1" applyFill="1" applyBorder="1" applyAlignment="1">
      <alignment horizontal="centerContinuous" wrapText="1"/>
    </xf>
    <xf numFmtId="0" fontId="1" fillId="10" borderId="13" xfId="0" applyFont="1" applyFill="1" applyBorder="1" applyAlignment="1">
      <alignment horizontal="centerContinuous" wrapText="1"/>
    </xf>
    <xf numFmtId="0" fontId="1" fillId="10" borderId="12" xfId="0" applyFont="1" applyFill="1" applyBorder="1" applyAlignment="1">
      <alignment horizontal="centerContinuous" wrapText="1"/>
    </xf>
    <xf numFmtId="0" fontId="16" fillId="0" borderId="0" xfId="6"/>
    <xf numFmtId="2" fontId="0" fillId="3" borderId="1" xfId="1" applyNumberFormat="1" applyFont="1" applyFill="1" applyBorder="1"/>
    <xf numFmtId="10" fontId="0" fillId="3" borderId="0" xfId="0" applyNumberFormat="1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NumberFormat="1" applyFill="1" applyBorder="1"/>
    <xf numFmtId="0" fontId="0" fillId="6" borderId="12" xfId="0" applyFill="1" applyBorder="1" applyAlignment="1">
      <alignment horizontal="centerContinuous" wrapText="1"/>
    </xf>
    <xf numFmtId="0" fontId="0" fillId="6" borderId="13" xfId="0" applyFill="1" applyBorder="1" applyAlignment="1">
      <alignment horizontal="centerContinuous" wrapText="1"/>
    </xf>
  </cellXfs>
  <cellStyles count="7">
    <cellStyle name="Currency" xfId="2" builtinId="4"/>
    <cellStyle name="Currency 2" xfId="3" xr:uid="{00000000-0005-0000-0000-000001000000}"/>
    <cellStyle name="Hyperlink" xfId="6" builtinId="8"/>
    <cellStyle name="Normal" xfId="0" builtinId="0"/>
    <cellStyle name="Normal 2" xfId="4" xr:uid="{00000000-0005-0000-0000-000004000000}"/>
    <cellStyle name="Percent" xfId="1" builtinId="5"/>
    <cellStyle name="Percent 2" xfId="5" xr:uid="{00000000-0005-0000-0000-000006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02868902477524E-2"/>
          <c:y val="0.15973670863040218"/>
          <c:w val="0.92927007596613898"/>
          <c:h val="0.692685272694378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'Ex(9an)'!$M$4</c:f>
              <c:strCache>
                <c:ptCount val="1"/>
                <c:pt idx="0">
                  <c:v>Stock Return A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'Ex(9an)'!$L$5:$L$19</c:f>
              <c:numCache>
                <c:formatCode>General</c:formatCode>
                <c:ptCount val="15"/>
                <c:pt idx="0">
                  <c:v>0.05</c:v>
                </c:pt>
                <c:pt idx="1">
                  <c:v>0.1</c:v>
                </c:pt>
                <c:pt idx="2">
                  <c:v>0.12</c:v>
                </c:pt>
                <c:pt idx="3">
                  <c:v>0.17</c:v>
                </c:pt>
                <c:pt idx="4">
                  <c:v>0.19</c:v>
                </c:pt>
                <c:pt idx="5">
                  <c:v>0.01</c:v>
                </c:pt>
                <c:pt idx="6">
                  <c:v>-0.15</c:v>
                </c:pt>
                <c:pt idx="7">
                  <c:v>-0.03</c:v>
                </c:pt>
                <c:pt idx="8">
                  <c:v>0.03</c:v>
                </c:pt>
                <c:pt idx="9">
                  <c:v>5.5E-2</c:v>
                </c:pt>
                <c:pt idx="10">
                  <c:v>0.1</c:v>
                </c:pt>
                <c:pt idx="11">
                  <c:v>6.5000000000000002E-2</c:v>
                </c:pt>
                <c:pt idx="12">
                  <c:v>-0.02</c:v>
                </c:pt>
                <c:pt idx="13">
                  <c:v>-0.22</c:v>
                </c:pt>
                <c:pt idx="14">
                  <c:v>0.15</c:v>
                </c:pt>
              </c:numCache>
            </c:numRef>
          </c:xVal>
          <c:yVal>
            <c:numRef>
              <c:f>'Ex(9an)'!$M$5:$M$19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6E-4C2B-A3AE-1D4E2BA85D64}"/>
            </c:ext>
          </c:extLst>
        </c:ser>
        <c:ser>
          <c:idx val="1"/>
          <c:order val="1"/>
          <c:tx>
            <c:strRef>
              <c:f>'Ex(9an)'!$O$4</c:f>
              <c:strCache>
                <c:ptCount val="1"/>
                <c:pt idx="0">
                  <c:v>Stock Return B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'Ex(9an)'!$N$5:$N$19</c:f>
              <c:numCache>
                <c:formatCode>General</c:formatCode>
                <c:ptCount val="15"/>
                <c:pt idx="0">
                  <c:v>0.02</c:v>
                </c:pt>
                <c:pt idx="1">
                  <c:v>0.04</c:v>
                </c:pt>
                <c:pt idx="2">
                  <c:v>3.5000000000000003E-2</c:v>
                </c:pt>
                <c:pt idx="3">
                  <c:v>5.5E-2</c:v>
                </c:pt>
                <c:pt idx="4">
                  <c:v>0.04</c:v>
                </c:pt>
                <c:pt idx="5">
                  <c:v>4.2000000000000003E-2</c:v>
                </c:pt>
                <c:pt idx="6">
                  <c:v>4.2999999999999997E-2</c:v>
                </c:pt>
                <c:pt idx="7">
                  <c:v>4.7E-2</c:v>
                </c:pt>
                <c:pt idx="8">
                  <c:v>0.05</c:v>
                </c:pt>
                <c:pt idx="9">
                  <c:v>5.0999999999999997E-2</c:v>
                </c:pt>
                <c:pt idx="10">
                  <c:v>0.03</c:v>
                </c:pt>
                <c:pt idx="11">
                  <c:v>2.9000000000000001E-2</c:v>
                </c:pt>
                <c:pt idx="12">
                  <c:v>4.5999999999999999E-2</c:v>
                </c:pt>
                <c:pt idx="13">
                  <c:v>4.9000000000000002E-2</c:v>
                </c:pt>
                <c:pt idx="14">
                  <c:v>4.1000000000000002E-2</c:v>
                </c:pt>
              </c:numCache>
            </c:numRef>
          </c:xVal>
          <c:yVal>
            <c:numRef>
              <c:f>'Ex(9an)'!$O$5:$O$19</c:f>
              <c:numCache>
                <c:formatCode>General</c:formatCode>
                <c:ptCount val="15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6E-4C2B-A3AE-1D4E2BA85D64}"/>
            </c:ext>
          </c:extLst>
        </c:ser>
        <c:ser>
          <c:idx val="2"/>
          <c:order val="2"/>
          <c:tx>
            <c:strRef>
              <c:f>'Ex(9an)'!$L$1</c:f>
              <c:strCache>
                <c:ptCount val="1"/>
                <c:pt idx="0">
                  <c:v>Mean Stock Return A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'Ex(9an)'!$M$1</c:f>
              <c:numCache>
                <c:formatCode>General</c:formatCode>
                <c:ptCount val="1"/>
                <c:pt idx="0">
                  <c:v>4.1333333333333347E-2</c:v>
                </c:pt>
              </c:numCache>
            </c:numRef>
          </c:xVal>
          <c:yVal>
            <c:numRef>
              <c:f>'Ex(9an)'!$N$1</c:f>
              <c:numCache>
                <c:formatCode>General</c:formatCode>
                <c:ptCount val="1"/>
                <c:pt idx="0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6E-4C2B-A3AE-1D4E2BA85D64}"/>
            </c:ext>
          </c:extLst>
        </c:ser>
        <c:ser>
          <c:idx val="3"/>
          <c:order val="3"/>
          <c:tx>
            <c:strRef>
              <c:f>'Ex(9an)'!$L$2</c:f>
              <c:strCache>
                <c:ptCount val="1"/>
                <c:pt idx="0">
                  <c:v>Mean Stock Return B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'Ex(9an)'!$M$2</c:f>
              <c:numCache>
                <c:formatCode>General</c:formatCode>
                <c:ptCount val="1"/>
                <c:pt idx="0">
                  <c:v>4.1200000000000007E-2</c:v>
                </c:pt>
              </c:numCache>
            </c:numRef>
          </c:xVal>
          <c:yVal>
            <c:numRef>
              <c:f>'Ex(9an)'!$N$2</c:f>
              <c:numCache>
                <c:formatCode>General</c:formatCode>
                <c:ptCount val="1"/>
                <c:pt idx="0">
                  <c:v>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6E-4C2B-A3AE-1D4E2BA85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98656"/>
        <c:axId val="249799232"/>
      </c:scatterChart>
      <c:valAx>
        <c:axId val="24979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Return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9799232"/>
        <c:crosses val="autoZero"/>
        <c:crossBetween val="midCat"/>
      </c:valAx>
      <c:valAx>
        <c:axId val="24979923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4979865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02868902477524E-2"/>
          <c:y val="0.1634364474587276"/>
          <c:w val="0.90038581683526764"/>
          <c:h val="0.72058371546076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'Ex(9an)'!$M$4</c:f>
              <c:strCache>
                <c:ptCount val="1"/>
                <c:pt idx="0">
                  <c:v>Stock Return A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'Ex(9an)'!$L$5:$L$19</c:f>
              <c:numCache>
                <c:formatCode>General</c:formatCode>
                <c:ptCount val="15"/>
                <c:pt idx="0">
                  <c:v>0.05</c:v>
                </c:pt>
                <c:pt idx="1">
                  <c:v>0.1</c:v>
                </c:pt>
                <c:pt idx="2">
                  <c:v>0.12</c:v>
                </c:pt>
                <c:pt idx="3">
                  <c:v>0.17</c:v>
                </c:pt>
                <c:pt idx="4">
                  <c:v>0.19</c:v>
                </c:pt>
                <c:pt idx="5">
                  <c:v>0.01</c:v>
                </c:pt>
                <c:pt idx="6">
                  <c:v>-0.15</c:v>
                </c:pt>
                <c:pt idx="7">
                  <c:v>-0.03</c:v>
                </c:pt>
                <c:pt idx="8">
                  <c:v>0.03</c:v>
                </c:pt>
                <c:pt idx="9">
                  <c:v>5.5E-2</c:v>
                </c:pt>
                <c:pt idx="10">
                  <c:v>0.1</c:v>
                </c:pt>
                <c:pt idx="11">
                  <c:v>6.5000000000000002E-2</c:v>
                </c:pt>
                <c:pt idx="12">
                  <c:v>-0.02</c:v>
                </c:pt>
                <c:pt idx="13">
                  <c:v>-0.22</c:v>
                </c:pt>
                <c:pt idx="14">
                  <c:v>0.15</c:v>
                </c:pt>
              </c:numCache>
            </c:numRef>
          </c:xVal>
          <c:yVal>
            <c:numRef>
              <c:f>'Ex(9an)'!$M$5:$M$19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D2-444F-97AD-18451E5056D5}"/>
            </c:ext>
          </c:extLst>
        </c:ser>
        <c:ser>
          <c:idx val="1"/>
          <c:order val="1"/>
          <c:tx>
            <c:strRef>
              <c:f>'Ex(9an)'!$O$4</c:f>
              <c:strCache>
                <c:ptCount val="1"/>
                <c:pt idx="0">
                  <c:v>Stock Return B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'Ex(9an)'!$N$5:$N$19</c:f>
              <c:numCache>
                <c:formatCode>General</c:formatCode>
                <c:ptCount val="15"/>
                <c:pt idx="0">
                  <c:v>0.02</c:v>
                </c:pt>
                <c:pt idx="1">
                  <c:v>0.04</c:v>
                </c:pt>
                <c:pt idx="2">
                  <c:v>3.5000000000000003E-2</c:v>
                </c:pt>
                <c:pt idx="3">
                  <c:v>5.5E-2</c:v>
                </c:pt>
                <c:pt idx="4">
                  <c:v>0.04</c:v>
                </c:pt>
                <c:pt idx="5">
                  <c:v>4.2000000000000003E-2</c:v>
                </c:pt>
                <c:pt idx="6">
                  <c:v>4.2999999999999997E-2</c:v>
                </c:pt>
                <c:pt idx="7">
                  <c:v>4.7E-2</c:v>
                </c:pt>
                <c:pt idx="8">
                  <c:v>0.05</c:v>
                </c:pt>
                <c:pt idx="9">
                  <c:v>5.0999999999999997E-2</c:v>
                </c:pt>
                <c:pt idx="10">
                  <c:v>0.03</c:v>
                </c:pt>
                <c:pt idx="11">
                  <c:v>2.9000000000000001E-2</c:v>
                </c:pt>
                <c:pt idx="12">
                  <c:v>4.5999999999999999E-2</c:v>
                </c:pt>
                <c:pt idx="13">
                  <c:v>4.9000000000000002E-2</c:v>
                </c:pt>
                <c:pt idx="14">
                  <c:v>4.1000000000000002E-2</c:v>
                </c:pt>
              </c:numCache>
            </c:numRef>
          </c:xVal>
          <c:yVal>
            <c:numRef>
              <c:f>'Ex(9an)'!$O$5:$O$19</c:f>
              <c:numCache>
                <c:formatCode>General</c:formatCode>
                <c:ptCount val="15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D2-444F-97AD-18451E5056D5}"/>
            </c:ext>
          </c:extLst>
        </c:ser>
        <c:ser>
          <c:idx val="2"/>
          <c:order val="2"/>
          <c:tx>
            <c:strRef>
              <c:f>'Ex(9an)'!$L$1</c:f>
              <c:strCache>
                <c:ptCount val="1"/>
                <c:pt idx="0">
                  <c:v>Mean Stock Return A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'Ex(9an)'!$M$1</c:f>
              <c:numCache>
                <c:formatCode>General</c:formatCode>
                <c:ptCount val="1"/>
                <c:pt idx="0">
                  <c:v>4.1333333333333347E-2</c:v>
                </c:pt>
              </c:numCache>
            </c:numRef>
          </c:xVal>
          <c:yVal>
            <c:numRef>
              <c:f>'Ex(9an)'!$N$1</c:f>
              <c:numCache>
                <c:formatCode>General</c:formatCode>
                <c:ptCount val="1"/>
                <c:pt idx="0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D2-444F-97AD-18451E5056D5}"/>
            </c:ext>
          </c:extLst>
        </c:ser>
        <c:ser>
          <c:idx val="3"/>
          <c:order val="3"/>
          <c:tx>
            <c:strRef>
              <c:f>'Ex(9an)'!$L$2</c:f>
              <c:strCache>
                <c:ptCount val="1"/>
                <c:pt idx="0">
                  <c:v>Mean Stock Return B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'Ex(9an)'!$M$2</c:f>
              <c:numCache>
                <c:formatCode>General</c:formatCode>
                <c:ptCount val="1"/>
                <c:pt idx="0">
                  <c:v>4.1200000000000007E-2</c:v>
                </c:pt>
              </c:numCache>
            </c:numRef>
          </c:xVal>
          <c:yVal>
            <c:numRef>
              <c:f>'Ex(9an)'!$N$2</c:f>
              <c:numCache>
                <c:formatCode>General</c:formatCode>
                <c:ptCount val="1"/>
                <c:pt idx="0">
                  <c:v>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D2-444F-97AD-18451E505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01536"/>
        <c:axId val="249802112"/>
      </c:scatterChart>
      <c:valAx>
        <c:axId val="24980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Return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9802112"/>
        <c:crosses val="autoZero"/>
        <c:crossBetween val="midCat"/>
      </c:valAx>
      <c:valAx>
        <c:axId val="24980211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4980153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02868902477524E-2"/>
          <c:y val="0.20970700582318633"/>
          <c:w val="0.89486219230406994"/>
          <c:h val="0.57296483900353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'Ex(9an)'!$M$4</c:f>
              <c:strCache>
                <c:ptCount val="1"/>
                <c:pt idx="0">
                  <c:v>Stock Return A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'Ex(9an)'!$L$5:$L$19</c:f>
              <c:numCache>
                <c:formatCode>General</c:formatCode>
                <c:ptCount val="15"/>
                <c:pt idx="0">
                  <c:v>0.05</c:v>
                </c:pt>
                <c:pt idx="1">
                  <c:v>0.1</c:v>
                </c:pt>
                <c:pt idx="2">
                  <c:v>0.12</c:v>
                </c:pt>
                <c:pt idx="3">
                  <c:v>0.17</c:v>
                </c:pt>
                <c:pt idx="4">
                  <c:v>0.19</c:v>
                </c:pt>
                <c:pt idx="5">
                  <c:v>0.01</c:v>
                </c:pt>
                <c:pt idx="6">
                  <c:v>-0.15</c:v>
                </c:pt>
                <c:pt idx="7">
                  <c:v>-0.03</c:v>
                </c:pt>
                <c:pt idx="8">
                  <c:v>0.03</c:v>
                </c:pt>
                <c:pt idx="9">
                  <c:v>5.5E-2</c:v>
                </c:pt>
                <c:pt idx="10">
                  <c:v>0.1</c:v>
                </c:pt>
                <c:pt idx="11">
                  <c:v>6.5000000000000002E-2</c:v>
                </c:pt>
                <c:pt idx="12">
                  <c:v>-0.02</c:v>
                </c:pt>
                <c:pt idx="13">
                  <c:v>-0.22</c:v>
                </c:pt>
                <c:pt idx="14">
                  <c:v>0.15</c:v>
                </c:pt>
              </c:numCache>
            </c:numRef>
          </c:xVal>
          <c:yVal>
            <c:numRef>
              <c:f>'Ex(9an)'!$M$5:$M$19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4E-4E79-B833-6831F9FF0EF4}"/>
            </c:ext>
          </c:extLst>
        </c:ser>
        <c:ser>
          <c:idx val="1"/>
          <c:order val="1"/>
          <c:tx>
            <c:strRef>
              <c:f>'Ex(9an)'!$O$4</c:f>
              <c:strCache>
                <c:ptCount val="1"/>
                <c:pt idx="0">
                  <c:v>Stock Return B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'Ex(9an)'!$N$5:$N$19</c:f>
              <c:numCache>
                <c:formatCode>General</c:formatCode>
                <c:ptCount val="15"/>
                <c:pt idx="0">
                  <c:v>0.02</c:v>
                </c:pt>
                <c:pt idx="1">
                  <c:v>0.04</c:v>
                </c:pt>
                <c:pt idx="2">
                  <c:v>3.5000000000000003E-2</c:v>
                </c:pt>
                <c:pt idx="3">
                  <c:v>5.5E-2</c:v>
                </c:pt>
                <c:pt idx="4">
                  <c:v>0.04</c:v>
                </c:pt>
                <c:pt idx="5">
                  <c:v>4.2000000000000003E-2</c:v>
                </c:pt>
                <c:pt idx="6">
                  <c:v>4.2999999999999997E-2</c:v>
                </c:pt>
                <c:pt idx="7">
                  <c:v>4.7E-2</c:v>
                </c:pt>
                <c:pt idx="8">
                  <c:v>0.05</c:v>
                </c:pt>
                <c:pt idx="9">
                  <c:v>5.0999999999999997E-2</c:v>
                </c:pt>
                <c:pt idx="10">
                  <c:v>0.03</c:v>
                </c:pt>
                <c:pt idx="11">
                  <c:v>2.9000000000000001E-2</c:v>
                </c:pt>
                <c:pt idx="12">
                  <c:v>4.5999999999999999E-2</c:v>
                </c:pt>
                <c:pt idx="13">
                  <c:v>4.9000000000000002E-2</c:v>
                </c:pt>
                <c:pt idx="14">
                  <c:v>4.1000000000000002E-2</c:v>
                </c:pt>
              </c:numCache>
            </c:numRef>
          </c:xVal>
          <c:yVal>
            <c:numRef>
              <c:f>'Ex(9an)'!$O$5:$O$19</c:f>
              <c:numCache>
                <c:formatCode>General</c:formatCode>
                <c:ptCount val="15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4E-4E79-B833-6831F9FF0EF4}"/>
            </c:ext>
          </c:extLst>
        </c:ser>
        <c:ser>
          <c:idx val="2"/>
          <c:order val="2"/>
          <c:tx>
            <c:strRef>
              <c:f>'Ex(9an)'!$L$1</c:f>
              <c:strCache>
                <c:ptCount val="1"/>
                <c:pt idx="0">
                  <c:v>Mean Stock Return A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'Ex(9an)'!$M$1</c:f>
              <c:numCache>
                <c:formatCode>General</c:formatCode>
                <c:ptCount val="1"/>
                <c:pt idx="0">
                  <c:v>4.1333333333333347E-2</c:v>
                </c:pt>
              </c:numCache>
            </c:numRef>
          </c:xVal>
          <c:yVal>
            <c:numRef>
              <c:f>'Ex(9an)'!$N$1</c:f>
              <c:numCache>
                <c:formatCode>General</c:formatCode>
                <c:ptCount val="1"/>
                <c:pt idx="0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4E-4E79-B833-6831F9FF0EF4}"/>
            </c:ext>
          </c:extLst>
        </c:ser>
        <c:ser>
          <c:idx val="3"/>
          <c:order val="3"/>
          <c:tx>
            <c:strRef>
              <c:f>'Ex(9an)'!$L$2</c:f>
              <c:strCache>
                <c:ptCount val="1"/>
                <c:pt idx="0">
                  <c:v>Mean Stock Return B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'Ex(9an)'!$M$2</c:f>
              <c:numCache>
                <c:formatCode>General</c:formatCode>
                <c:ptCount val="1"/>
                <c:pt idx="0">
                  <c:v>4.1200000000000007E-2</c:v>
                </c:pt>
              </c:numCache>
            </c:numRef>
          </c:xVal>
          <c:yVal>
            <c:numRef>
              <c:f>'Ex(9an)'!$N$2</c:f>
              <c:numCache>
                <c:formatCode>General</c:formatCode>
                <c:ptCount val="1"/>
                <c:pt idx="0">
                  <c:v>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4E-4E79-B833-6831F9FF0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04416"/>
        <c:axId val="249804992"/>
      </c:scatterChart>
      <c:valAx>
        <c:axId val="24980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Retrun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9804992"/>
        <c:crosses val="autoZero"/>
        <c:crossBetween val="midCat"/>
      </c:valAx>
      <c:valAx>
        <c:axId val="24980499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498044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Data!$B$104</c:f>
          <c:strCache>
            <c:ptCount val="1"/>
            <c:pt idx="0">
              <c:v>Year-to-year total return on Large Company Stocks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Data!$B$107</c:f>
              <c:strCache>
                <c:ptCount val="1"/>
                <c:pt idx="0">
                  <c:v>Large Company Stocks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Data!$A$108:$A$190</c:f>
              <c:numCache>
                <c:formatCode>General</c:formatCode>
                <c:ptCount val="83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</c:numCache>
            </c:numRef>
          </c:cat>
          <c:val>
            <c:numRef>
              <c:f>Data!$B$108:$B$190</c:f>
              <c:numCache>
                <c:formatCode>0.00%</c:formatCode>
                <c:ptCount val="83"/>
                <c:pt idx="0">
                  <c:v>0.1114</c:v>
                </c:pt>
                <c:pt idx="1">
                  <c:v>0.37130000000000002</c:v>
                </c:pt>
                <c:pt idx="2">
                  <c:v>0.43309999999999998</c:v>
                </c:pt>
                <c:pt idx="3">
                  <c:v>-8.9099999999999999E-2</c:v>
                </c:pt>
                <c:pt idx="4">
                  <c:v>-0.25259999999999999</c:v>
                </c:pt>
                <c:pt idx="5">
                  <c:v>-0.43859999999999999</c:v>
                </c:pt>
                <c:pt idx="6">
                  <c:v>-8.8499999999999995E-2</c:v>
                </c:pt>
                <c:pt idx="7">
                  <c:v>0.52880000000000005</c:v>
                </c:pt>
                <c:pt idx="8">
                  <c:v>-2.3400000000000001E-2</c:v>
                </c:pt>
                <c:pt idx="9">
                  <c:v>0.47220000000000001</c:v>
                </c:pt>
                <c:pt idx="10">
                  <c:v>0.32800000000000001</c:v>
                </c:pt>
                <c:pt idx="11">
                  <c:v>-0.35260000000000002</c:v>
                </c:pt>
                <c:pt idx="12">
                  <c:v>0.33200000000000002</c:v>
                </c:pt>
                <c:pt idx="13">
                  <c:v>-9.1000000000000004E-3</c:v>
                </c:pt>
                <c:pt idx="14">
                  <c:v>-0.1008</c:v>
                </c:pt>
                <c:pt idx="15">
                  <c:v>-0.1177</c:v>
                </c:pt>
                <c:pt idx="16">
                  <c:v>0.2107</c:v>
                </c:pt>
                <c:pt idx="17">
                  <c:v>0.2576</c:v>
                </c:pt>
                <c:pt idx="18">
                  <c:v>0.19689999999999999</c:v>
                </c:pt>
                <c:pt idx="19">
                  <c:v>0.36459999999999998</c:v>
                </c:pt>
                <c:pt idx="20">
                  <c:v>-8.1799999999999998E-2</c:v>
                </c:pt>
                <c:pt idx="21">
                  <c:v>5.2400000000000002E-2</c:v>
                </c:pt>
                <c:pt idx="22">
                  <c:v>5.0999999999999997E-2</c:v>
                </c:pt>
                <c:pt idx="23">
                  <c:v>0.18060000000000001</c:v>
                </c:pt>
                <c:pt idx="24">
                  <c:v>0.30580000000000002</c:v>
                </c:pt>
                <c:pt idx="25">
                  <c:v>0.2455</c:v>
                </c:pt>
                <c:pt idx="26">
                  <c:v>0.185</c:v>
                </c:pt>
                <c:pt idx="27">
                  <c:v>-1.0999999999999999E-2</c:v>
                </c:pt>
                <c:pt idx="28">
                  <c:v>0.52400000000000002</c:v>
                </c:pt>
                <c:pt idx="29">
                  <c:v>0.31430000000000002</c:v>
                </c:pt>
                <c:pt idx="30">
                  <c:v>6.6299999999999998E-2</c:v>
                </c:pt>
                <c:pt idx="31">
                  <c:v>-0.1085</c:v>
                </c:pt>
                <c:pt idx="32">
                  <c:v>0.43340000000000001</c:v>
                </c:pt>
                <c:pt idx="33">
                  <c:v>0.11899999999999999</c:v>
                </c:pt>
                <c:pt idx="34">
                  <c:v>4.7999999999999996E-3</c:v>
                </c:pt>
                <c:pt idx="35">
                  <c:v>0.2681</c:v>
                </c:pt>
                <c:pt idx="36">
                  <c:v>-8.7800000000000003E-2</c:v>
                </c:pt>
                <c:pt idx="37">
                  <c:v>0.22689999999999999</c:v>
                </c:pt>
                <c:pt idx="38">
                  <c:v>0.1636</c:v>
                </c:pt>
                <c:pt idx="39">
                  <c:v>0.1236</c:v>
                </c:pt>
                <c:pt idx="40">
                  <c:v>-0.10100000000000001</c:v>
                </c:pt>
                <c:pt idx="41">
                  <c:v>0.2394</c:v>
                </c:pt>
                <c:pt idx="42">
                  <c:v>0.11</c:v>
                </c:pt>
                <c:pt idx="43">
                  <c:v>-8.4699999999999998E-2</c:v>
                </c:pt>
                <c:pt idx="44">
                  <c:v>3.9399999999999998E-2</c:v>
                </c:pt>
                <c:pt idx="45">
                  <c:v>0.14299999999999999</c:v>
                </c:pt>
                <c:pt idx="46">
                  <c:v>0.18990000000000001</c:v>
                </c:pt>
                <c:pt idx="47">
                  <c:v>-0.1469</c:v>
                </c:pt>
                <c:pt idx="48">
                  <c:v>-0.26469999999999999</c:v>
                </c:pt>
                <c:pt idx="49">
                  <c:v>0.37230000000000002</c:v>
                </c:pt>
                <c:pt idx="50">
                  <c:v>0.23930000000000001</c:v>
                </c:pt>
                <c:pt idx="51">
                  <c:v>-7.1599999999999997E-2</c:v>
                </c:pt>
                <c:pt idx="52">
                  <c:v>6.5699999999999995E-2</c:v>
                </c:pt>
                <c:pt idx="53">
                  <c:v>0.18609999999999999</c:v>
                </c:pt>
                <c:pt idx="54">
                  <c:v>0.32500000000000001</c:v>
                </c:pt>
                <c:pt idx="55">
                  <c:v>-4.9200000000000001E-2</c:v>
                </c:pt>
                <c:pt idx="56">
                  <c:v>0.2155</c:v>
                </c:pt>
                <c:pt idx="57">
                  <c:v>0.22559999999999999</c:v>
                </c:pt>
                <c:pt idx="58">
                  <c:v>6.2700000000000006E-2</c:v>
                </c:pt>
                <c:pt idx="59">
                  <c:v>0.31730000000000003</c:v>
                </c:pt>
                <c:pt idx="60">
                  <c:v>0.1867</c:v>
                </c:pt>
                <c:pt idx="61">
                  <c:v>5.2499999999999998E-2</c:v>
                </c:pt>
                <c:pt idx="62">
                  <c:v>0.1661</c:v>
                </c:pt>
                <c:pt idx="63">
                  <c:v>0.31690000000000002</c:v>
                </c:pt>
                <c:pt idx="64">
                  <c:v>-3.1E-2</c:v>
                </c:pt>
                <c:pt idx="65">
                  <c:v>0.30459999999999998</c:v>
                </c:pt>
                <c:pt idx="66">
                  <c:v>7.6200000000000004E-2</c:v>
                </c:pt>
                <c:pt idx="67">
                  <c:v>0.1008</c:v>
                </c:pt>
                <c:pt idx="68">
                  <c:v>1.32E-2</c:v>
                </c:pt>
                <c:pt idx="69">
                  <c:v>0.37580000000000002</c:v>
                </c:pt>
                <c:pt idx="70">
                  <c:v>0.2296</c:v>
                </c:pt>
                <c:pt idx="71">
                  <c:v>0.33360000000000001</c:v>
                </c:pt>
                <c:pt idx="72">
                  <c:v>0.2858</c:v>
                </c:pt>
                <c:pt idx="73">
                  <c:v>0.2104</c:v>
                </c:pt>
                <c:pt idx="74">
                  <c:v>-9.0999999999999998E-2</c:v>
                </c:pt>
                <c:pt idx="75">
                  <c:v>-0.11890000000000001</c:v>
                </c:pt>
                <c:pt idx="76">
                  <c:v>-0.221</c:v>
                </c:pt>
                <c:pt idx="77">
                  <c:v>0.2868</c:v>
                </c:pt>
                <c:pt idx="78">
                  <c:v>0.10879999999999999</c:v>
                </c:pt>
                <c:pt idx="79">
                  <c:v>4.9099999999999998E-2</c:v>
                </c:pt>
                <c:pt idx="80">
                  <c:v>0.15790000000000001</c:v>
                </c:pt>
                <c:pt idx="81">
                  <c:v>5.4899999999999997E-2</c:v>
                </c:pt>
                <c:pt idx="82">
                  <c:v>-0.37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3-4685-8DB2-2F09649152D7}"/>
            </c:ext>
          </c:extLst>
        </c:ser>
        <c:ser>
          <c:idx val="0"/>
          <c:order val="1"/>
          <c:tx>
            <c:strRef>
              <c:f>Data!$C$107</c:f>
              <c:strCache>
                <c:ptCount val="1"/>
                <c:pt idx="0">
                  <c:v>Down Large Company Stocks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Data!$A$108:$A$190</c:f>
              <c:numCache>
                <c:formatCode>General</c:formatCode>
                <c:ptCount val="83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</c:numCache>
            </c:numRef>
          </c:cat>
          <c:val>
            <c:numRef>
              <c:f>Data!$C$108:$C$190</c:f>
              <c:numCache>
                <c:formatCode>0.00%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-8.9099999999999999E-2</c:v>
                </c:pt>
                <c:pt idx="4">
                  <c:v>-0.25259999999999999</c:v>
                </c:pt>
                <c:pt idx="5">
                  <c:v>-0.43859999999999999</c:v>
                </c:pt>
                <c:pt idx="6">
                  <c:v>-8.8499999999999995E-2</c:v>
                </c:pt>
                <c:pt idx="7">
                  <c:v>0</c:v>
                </c:pt>
                <c:pt idx="8">
                  <c:v>-2.3400000000000001E-2</c:v>
                </c:pt>
                <c:pt idx="9">
                  <c:v>0</c:v>
                </c:pt>
                <c:pt idx="10">
                  <c:v>0</c:v>
                </c:pt>
                <c:pt idx="11">
                  <c:v>-0.35260000000000002</c:v>
                </c:pt>
                <c:pt idx="12">
                  <c:v>0</c:v>
                </c:pt>
                <c:pt idx="13">
                  <c:v>-9.1000000000000004E-3</c:v>
                </c:pt>
                <c:pt idx="14">
                  <c:v>-0.1008</c:v>
                </c:pt>
                <c:pt idx="15">
                  <c:v>-0.1177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-8.1799999999999998E-2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-1.0999999999999999E-2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-0.1085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-8.7800000000000003E-2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-0.10100000000000001</c:v>
                </c:pt>
                <c:pt idx="41">
                  <c:v>0</c:v>
                </c:pt>
                <c:pt idx="42">
                  <c:v>0</c:v>
                </c:pt>
                <c:pt idx="43">
                  <c:v>-8.4699999999999998E-2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-0.1469</c:v>
                </c:pt>
                <c:pt idx="48">
                  <c:v>-0.26469999999999999</c:v>
                </c:pt>
                <c:pt idx="49">
                  <c:v>0</c:v>
                </c:pt>
                <c:pt idx="50">
                  <c:v>0</c:v>
                </c:pt>
                <c:pt idx="51">
                  <c:v>-7.1599999999999997E-2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-4.9200000000000001E-2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-3.1E-2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-9.0999999999999998E-2</c:v>
                </c:pt>
                <c:pt idx="75">
                  <c:v>-0.11890000000000001</c:v>
                </c:pt>
                <c:pt idx="76">
                  <c:v>-0.221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-0.37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3-4685-8DB2-2F096491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918464"/>
        <c:axId val="250921536"/>
      </c:barChart>
      <c:catAx>
        <c:axId val="2499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921536"/>
        <c:crosses val="autoZero"/>
        <c:auto val="1"/>
        <c:lblAlgn val="ctr"/>
        <c:lblOffset val="100"/>
        <c:noMultiLvlLbl val="0"/>
      </c:catAx>
      <c:valAx>
        <c:axId val="250921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991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Data!$D$104</c:f>
          <c:strCache>
            <c:ptCount val="1"/>
            <c:pt idx="0">
              <c:v>Year-to-year total return on Long Term Government Bonds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Data!$D$107</c:f>
              <c:strCache>
                <c:ptCount val="1"/>
                <c:pt idx="0">
                  <c:v>Long Term Government Bonds</c:v>
                </c:pt>
              </c:strCache>
            </c:strRef>
          </c:tx>
          <c:invertIfNegative val="0"/>
          <c:cat>
            <c:numRef>
              <c:f>Data!$A$108:$A$190</c:f>
              <c:numCache>
                <c:formatCode>General</c:formatCode>
                <c:ptCount val="83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</c:numCache>
            </c:numRef>
          </c:cat>
          <c:val>
            <c:numRef>
              <c:f>Data!$D$108:$D$190</c:f>
              <c:numCache>
                <c:formatCode>0.00%</c:formatCode>
                <c:ptCount val="83"/>
                <c:pt idx="0">
                  <c:v>7.9000000000000001E-2</c:v>
                </c:pt>
                <c:pt idx="1">
                  <c:v>0.1036</c:v>
                </c:pt>
                <c:pt idx="2">
                  <c:v>-1.37E-2</c:v>
                </c:pt>
                <c:pt idx="3">
                  <c:v>5.2299999999999999E-2</c:v>
                </c:pt>
                <c:pt idx="4">
                  <c:v>5.8000000000000003E-2</c:v>
                </c:pt>
                <c:pt idx="5">
                  <c:v>-8.0399999999999999E-2</c:v>
                </c:pt>
                <c:pt idx="6">
                  <c:v>0.1411</c:v>
                </c:pt>
                <c:pt idx="7">
                  <c:v>3.0999999999999999E-3</c:v>
                </c:pt>
                <c:pt idx="8">
                  <c:v>0.1298</c:v>
                </c:pt>
                <c:pt idx="9">
                  <c:v>5.8799999999999998E-2</c:v>
                </c:pt>
                <c:pt idx="10">
                  <c:v>8.2199999999999995E-2</c:v>
                </c:pt>
                <c:pt idx="11">
                  <c:v>-1.2999999999999999E-3</c:v>
                </c:pt>
                <c:pt idx="12">
                  <c:v>6.2600000000000003E-2</c:v>
                </c:pt>
                <c:pt idx="13">
                  <c:v>5.7099999999999998E-2</c:v>
                </c:pt>
                <c:pt idx="14">
                  <c:v>0.10340000000000001</c:v>
                </c:pt>
                <c:pt idx="15">
                  <c:v>-8.6599999999999996E-2</c:v>
                </c:pt>
                <c:pt idx="16">
                  <c:v>2.6700000000000002E-2</c:v>
                </c:pt>
                <c:pt idx="17">
                  <c:v>2.5000000000000001E-2</c:v>
                </c:pt>
                <c:pt idx="18">
                  <c:v>2.8799999999999999E-2</c:v>
                </c:pt>
                <c:pt idx="19">
                  <c:v>5.1700000000000003E-2</c:v>
                </c:pt>
                <c:pt idx="20">
                  <c:v>4.07E-2</c:v>
                </c:pt>
                <c:pt idx="21">
                  <c:v>-1.15E-2</c:v>
                </c:pt>
                <c:pt idx="22">
                  <c:v>2.1000000000000001E-2</c:v>
                </c:pt>
                <c:pt idx="23">
                  <c:v>7.0199999999999999E-2</c:v>
                </c:pt>
                <c:pt idx="24">
                  <c:v>-1.44E-2</c:v>
                </c:pt>
                <c:pt idx="25">
                  <c:v>-3.5299999999999998E-2</c:v>
                </c:pt>
                <c:pt idx="26">
                  <c:v>1.8200000000000001E-2</c:v>
                </c:pt>
                <c:pt idx="27">
                  <c:v>-8.8000000000000005E-3</c:v>
                </c:pt>
                <c:pt idx="28">
                  <c:v>7.8899999999999998E-2</c:v>
                </c:pt>
                <c:pt idx="29">
                  <c:v>-1.03E-2</c:v>
                </c:pt>
                <c:pt idx="30">
                  <c:v>-3.1399999999999997E-2</c:v>
                </c:pt>
                <c:pt idx="31">
                  <c:v>5.2499999999999998E-2</c:v>
                </c:pt>
                <c:pt idx="32">
                  <c:v>-6.7000000000000004E-2</c:v>
                </c:pt>
                <c:pt idx="33">
                  <c:v>-1.35E-2</c:v>
                </c:pt>
                <c:pt idx="34">
                  <c:v>7.7399999999999997E-2</c:v>
                </c:pt>
                <c:pt idx="35">
                  <c:v>3.0200000000000001E-2</c:v>
                </c:pt>
                <c:pt idx="36">
                  <c:v>4.6300000000000001E-2</c:v>
                </c:pt>
                <c:pt idx="37">
                  <c:v>1.37E-2</c:v>
                </c:pt>
                <c:pt idx="38">
                  <c:v>4.4299999999999999E-2</c:v>
                </c:pt>
                <c:pt idx="39">
                  <c:v>1.4E-2</c:v>
                </c:pt>
                <c:pt idx="40">
                  <c:v>-1.61E-2</c:v>
                </c:pt>
                <c:pt idx="41">
                  <c:v>-6.3799999999999996E-2</c:v>
                </c:pt>
                <c:pt idx="42">
                  <c:v>5.33E-2</c:v>
                </c:pt>
                <c:pt idx="43">
                  <c:v>-7.4499999999999997E-2</c:v>
                </c:pt>
                <c:pt idx="44">
                  <c:v>0.12239999999999999</c:v>
                </c:pt>
                <c:pt idx="45">
                  <c:v>0.12670000000000001</c:v>
                </c:pt>
                <c:pt idx="46">
                  <c:v>9.1499999999999998E-2</c:v>
                </c:pt>
                <c:pt idx="47">
                  <c:v>-0.12659999999999999</c:v>
                </c:pt>
                <c:pt idx="48">
                  <c:v>-3.2800000000000003E-2</c:v>
                </c:pt>
                <c:pt idx="49">
                  <c:v>4.6699999999999998E-2</c:v>
                </c:pt>
                <c:pt idx="50">
                  <c:v>0.18340000000000001</c:v>
                </c:pt>
                <c:pt idx="51">
                  <c:v>2.3099999999999999E-2</c:v>
                </c:pt>
                <c:pt idx="52">
                  <c:v>-2.07E-2</c:v>
                </c:pt>
                <c:pt idx="53">
                  <c:v>-2.76E-2</c:v>
                </c:pt>
                <c:pt idx="54">
                  <c:v>-5.91E-2</c:v>
                </c:pt>
                <c:pt idx="55">
                  <c:v>-1.6000000000000001E-3</c:v>
                </c:pt>
                <c:pt idx="56">
                  <c:v>0.49990000000000001</c:v>
                </c:pt>
                <c:pt idx="57">
                  <c:v>-2.1100000000000001E-2</c:v>
                </c:pt>
                <c:pt idx="58">
                  <c:v>0.1653</c:v>
                </c:pt>
                <c:pt idx="59">
                  <c:v>0.39029999999999998</c:v>
                </c:pt>
                <c:pt idx="60">
                  <c:v>0.3251</c:v>
                </c:pt>
                <c:pt idx="61">
                  <c:v>-8.09E-2</c:v>
                </c:pt>
                <c:pt idx="62">
                  <c:v>8.7099999999999997E-2</c:v>
                </c:pt>
                <c:pt idx="63">
                  <c:v>0.2215</c:v>
                </c:pt>
                <c:pt idx="64">
                  <c:v>5.4399999999999997E-2</c:v>
                </c:pt>
                <c:pt idx="65">
                  <c:v>0.20039999999999999</c:v>
                </c:pt>
                <c:pt idx="66">
                  <c:v>8.09E-2</c:v>
                </c:pt>
                <c:pt idx="67">
                  <c:v>0.22320000000000001</c:v>
                </c:pt>
                <c:pt idx="68">
                  <c:v>-0.11459999999999999</c:v>
                </c:pt>
                <c:pt idx="69">
                  <c:v>0.37280000000000002</c:v>
                </c:pt>
                <c:pt idx="70">
                  <c:v>-2.5899999999999999E-2</c:v>
                </c:pt>
                <c:pt idx="71">
                  <c:v>0.17699999999999999</c:v>
                </c:pt>
                <c:pt idx="72">
                  <c:v>0.19220000000000001</c:v>
                </c:pt>
                <c:pt idx="73">
                  <c:v>-0.12759999999999999</c:v>
                </c:pt>
                <c:pt idx="74">
                  <c:v>0.22159999999999999</c:v>
                </c:pt>
                <c:pt idx="75">
                  <c:v>5.2999999999999999E-2</c:v>
                </c:pt>
                <c:pt idx="76">
                  <c:v>0.14080000000000001</c:v>
                </c:pt>
                <c:pt idx="77">
                  <c:v>1.6199999999999999E-2</c:v>
                </c:pt>
                <c:pt idx="78">
                  <c:v>0.10340000000000001</c:v>
                </c:pt>
                <c:pt idx="79">
                  <c:v>0.10349999999999999</c:v>
                </c:pt>
                <c:pt idx="80">
                  <c:v>2.8E-3</c:v>
                </c:pt>
                <c:pt idx="81">
                  <c:v>0.1085</c:v>
                </c:pt>
                <c:pt idx="82">
                  <c:v>0.39460000000000001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F-4763-A2FB-D0992A9F01BE}"/>
            </c:ext>
          </c:extLst>
        </c:ser>
        <c:ser>
          <c:idx val="1"/>
          <c:order val="1"/>
          <c:tx>
            <c:strRef>
              <c:f>Data!$E$107</c:f>
              <c:strCache>
                <c:ptCount val="1"/>
                <c:pt idx="0">
                  <c:v>Down Long Term Government Bonds</c:v>
                </c:pt>
              </c:strCache>
            </c:strRef>
          </c:tx>
          <c:invertIfNegative val="0"/>
          <c:cat>
            <c:numRef>
              <c:f>Data!$A$108:$A$190</c:f>
              <c:numCache>
                <c:formatCode>General</c:formatCode>
                <c:ptCount val="83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</c:numCache>
            </c:numRef>
          </c:cat>
          <c:val>
            <c:numRef>
              <c:f>Data!$E$108:$E$190</c:f>
              <c:numCache>
                <c:formatCode>0.00%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-1.37E-2</c:v>
                </c:pt>
                <c:pt idx="3">
                  <c:v>0</c:v>
                </c:pt>
                <c:pt idx="4">
                  <c:v>0</c:v>
                </c:pt>
                <c:pt idx="5">
                  <c:v>-8.0399999999999999E-2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-1.2999999999999999E-3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-8.6599999999999996E-2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-1.15E-2</c:v>
                </c:pt>
                <c:pt idx="22">
                  <c:v>0</c:v>
                </c:pt>
                <c:pt idx="23">
                  <c:v>0</c:v>
                </c:pt>
                <c:pt idx="24">
                  <c:v>-1.44E-2</c:v>
                </c:pt>
                <c:pt idx="25">
                  <c:v>-3.5299999999999998E-2</c:v>
                </c:pt>
                <c:pt idx="26">
                  <c:v>0</c:v>
                </c:pt>
                <c:pt idx="27">
                  <c:v>-8.8000000000000005E-3</c:v>
                </c:pt>
                <c:pt idx="28">
                  <c:v>0</c:v>
                </c:pt>
                <c:pt idx="29">
                  <c:v>-1.03E-2</c:v>
                </c:pt>
                <c:pt idx="30">
                  <c:v>-3.1399999999999997E-2</c:v>
                </c:pt>
                <c:pt idx="31">
                  <c:v>0</c:v>
                </c:pt>
                <c:pt idx="32">
                  <c:v>-6.7000000000000004E-2</c:v>
                </c:pt>
                <c:pt idx="33">
                  <c:v>-1.35E-2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-1.61E-2</c:v>
                </c:pt>
                <c:pt idx="41">
                  <c:v>-6.3799999999999996E-2</c:v>
                </c:pt>
                <c:pt idx="42">
                  <c:v>0</c:v>
                </c:pt>
                <c:pt idx="43">
                  <c:v>-7.4499999999999997E-2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-0.12659999999999999</c:v>
                </c:pt>
                <c:pt idx="48">
                  <c:v>-3.2800000000000003E-2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-2.07E-2</c:v>
                </c:pt>
                <c:pt idx="53">
                  <c:v>-2.76E-2</c:v>
                </c:pt>
                <c:pt idx="54">
                  <c:v>-5.91E-2</c:v>
                </c:pt>
                <c:pt idx="55">
                  <c:v>-1.6000000000000001E-3</c:v>
                </c:pt>
                <c:pt idx="56">
                  <c:v>0</c:v>
                </c:pt>
                <c:pt idx="57">
                  <c:v>-2.1100000000000001E-2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-8.09E-2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-0.11459999999999999</c:v>
                </c:pt>
                <c:pt idx="69">
                  <c:v>0</c:v>
                </c:pt>
                <c:pt idx="70">
                  <c:v>-2.5899999999999999E-2</c:v>
                </c:pt>
                <c:pt idx="71">
                  <c:v>0</c:v>
                </c:pt>
                <c:pt idx="72">
                  <c:v>0</c:v>
                </c:pt>
                <c:pt idx="73">
                  <c:v>-0.12759999999999999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F-4763-A2FB-D0992A9F0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921024"/>
        <c:axId val="250923840"/>
      </c:barChart>
      <c:catAx>
        <c:axId val="2499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923840"/>
        <c:crosses val="autoZero"/>
        <c:auto val="1"/>
        <c:lblAlgn val="ctr"/>
        <c:lblOffset val="100"/>
        <c:noMultiLvlLbl val="0"/>
      </c:catAx>
      <c:valAx>
        <c:axId val="2509238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992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Data!$F$104</c:f>
          <c:strCache>
            <c:ptCount val="1"/>
            <c:pt idx="0">
              <c:v>Year-to-year total return on US Treasury Bills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Data!$F$107</c:f>
              <c:strCache>
                <c:ptCount val="1"/>
                <c:pt idx="0">
                  <c:v>US Treasury Bills</c:v>
                </c:pt>
              </c:strCache>
            </c:strRef>
          </c:tx>
          <c:invertIfNegative val="0"/>
          <c:val>
            <c:numRef>
              <c:f>Data!$F$108:$F$190</c:f>
              <c:numCache>
                <c:formatCode>0.00%</c:formatCode>
                <c:ptCount val="83"/>
                <c:pt idx="0">
                  <c:v>3.3000000000000002E-2</c:v>
                </c:pt>
                <c:pt idx="1">
                  <c:v>3.15E-2</c:v>
                </c:pt>
                <c:pt idx="2">
                  <c:v>4.0500000000000001E-2</c:v>
                </c:pt>
                <c:pt idx="3">
                  <c:v>4.4699999999999997E-2</c:v>
                </c:pt>
                <c:pt idx="4">
                  <c:v>2.2700000000000001E-2</c:v>
                </c:pt>
                <c:pt idx="5">
                  <c:v>1.15E-2</c:v>
                </c:pt>
                <c:pt idx="6">
                  <c:v>8.8000000000000005E-3</c:v>
                </c:pt>
                <c:pt idx="7">
                  <c:v>5.1999999999999998E-3</c:v>
                </c:pt>
                <c:pt idx="8">
                  <c:v>2.7000000000000001E-3</c:v>
                </c:pt>
                <c:pt idx="9">
                  <c:v>1.6999999999999999E-3</c:v>
                </c:pt>
                <c:pt idx="10">
                  <c:v>1.6999999999999999E-3</c:v>
                </c:pt>
                <c:pt idx="11">
                  <c:v>2.7000000000000001E-3</c:v>
                </c:pt>
                <c:pt idx="12">
                  <c:v>5.9999999999999995E-4</c:v>
                </c:pt>
                <c:pt idx="13">
                  <c:v>4.0000000000000002E-4</c:v>
                </c:pt>
                <c:pt idx="14">
                  <c:v>4.0000000000000002E-4</c:v>
                </c:pt>
                <c:pt idx="15">
                  <c:v>1.4E-3</c:v>
                </c:pt>
                <c:pt idx="16">
                  <c:v>3.3999999999999998E-3</c:v>
                </c:pt>
                <c:pt idx="17">
                  <c:v>3.8E-3</c:v>
                </c:pt>
                <c:pt idx="18">
                  <c:v>3.8E-3</c:v>
                </c:pt>
                <c:pt idx="19">
                  <c:v>3.8E-3</c:v>
                </c:pt>
                <c:pt idx="20">
                  <c:v>3.8E-3</c:v>
                </c:pt>
                <c:pt idx="21">
                  <c:v>6.1999999999999998E-3</c:v>
                </c:pt>
                <c:pt idx="22">
                  <c:v>1.06E-2</c:v>
                </c:pt>
                <c:pt idx="23">
                  <c:v>1.12E-2</c:v>
                </c:pt>
                <c:pt idx="24">
                  <c:v>1.2200000000000001E-2</c:v>
                </c:pt>
                <c:pt idx="25">
                  <c:v>1.5599999999999999E-2</c:v>
                </c:pt>
                <c:pt idx="26">
                  <c:v>1.7500000000000002E-2</c:v>
                </c:pt>
                <c:pt idx="27">
                  <c:v>1.8700000000000001E-2</c:v>
                </c:pt>
                <c:pt idx="28">
                  <c:v>9.2999999999999992E-3</c:v>
                </c:pt>
                <c:pt idx="29">
                  <c:v>1.7999999999999999E-2</c:v>
                </c:pt>
                <c:pt idx="30">
                  <c:v>2.6599999999999999E-2</c:v>
                </c:pt>
                <c:pt idx="31">
                  <c:v>3.2800000000000003E-2</c:v>
                </c:pt>
                <c:pt idx="32">
                  <c:v>1.7100000000000001E-2</c:v>
                </c:pt>
                <c:pt idx="33">
                  <c:v>3.4799999999999998E-2</c:v>
                </c:pt>
                <c:pt idx="34">
                  <c:v>2.81E-2</c:v>
                </c:pt>
                <c:pt idx="35">
                  <c:v>2.4E-2</c:v>
                </c:pt>
                <c:pt idx="36">
                  <c:v>2.8199999999999999E-2</c:v>
                </c:pt>
                <c:pt idx="37">
                  <c:v>3.2300000000000002E-2</c:v>
                </c:pt>
                <c:pt idx="38">
                  <c:v>3.6200000000000003E-2</c:v>
                </c:pt>
                <c:pt idx="39">
                  <c:v>4.0599999999999997E-2</c:v>
                </c:pt>
                <c:pt idx="40">
                  <c:v>4.9399999999999999E-2</c:v>
                </c:pt>
                <c:pt idx="41">
                  <c:v>4.3900000000000002E-2</c:v>
                </c:pt>
                <c:pt idx="42">
                  <c:v>5.4899999999999997E-2</c:v>
                </c:pt>
                <c:pt idx="43">
                  <c:v>6.9000000000000006E-2</c:v>
                </c:pt>
                <c:pt idx="44">
                  <c:v>6.5000000000000002E-2</c:v>
                </c:pt>
                <c:pt idx="45">
                  <c:v>4.36E-2</c:v>
                </c:pt>
                <c:pt idx="46">
                  <c:v>4.2299999999999997E-2</c:v>
                </c:pt>
                <c:pt idx="47">
                  <c:v>7.2900000000000006E-2</c:v>
                </c:pt>
                <c:pt idx="48">
                  <c:v>7.9899999999999999E-2</c:v>
                </c:pt>
                <c:pt idx="49">
                  <c:v>5.8700000000000002E-2</c:v>
                </c:pt>
                <c:pt idx="50">
                  <c:v>5.0700000000000002E-2</c:v>
                </c:pt>
                <c:pt idx="51">
                  <c:v>5.45E-2</c:v>
                </c:pt>
                <c:pt idx="52">
                  <c:v>7.6399999999999996E-2</c:v>
                </c:pt>
                <c:pt idx="53">
                  <c:v>0.1056</c:v>
                </c:pt>
                <c:pt idx="54">
                  <c:v>0.121</c:v>
                </c:pt>
                <c:pt idx="55">
                  <c:v>0.14599999999999999</c:v>
                </c:pt>
                <c:pt idx="56">
                  <c:v>0.1094</c:v>
                </c:pt>
                <c:pt idx="57">
                  <c:v>8.9899999999999994E-2</c:v>
                </c:pt>
                <c:pt idx="58">
                  <c:v>9.9000000000000005E-2</c:v>
                </c:pt>
                <c:pt idx="59">
                  <c:v>7.7100000000000002E-2</c:v>
                </c:pt>
                <c:pt idx="60">
                  <c:v>6.0900000000000003E-2</c:v>
                </c:pt>
                <c:pt idx="61">
                  <c:v>5.8799999999999998E-2</c:v>
                </c:pt>
                <c:pt idx="62">
                  <c:v>6.9400000000000003E-2</c:v>
                </c:pt>
                <c:pt idx="63">
                  <c:v>8.4400000000000003E-2</c:v>
                </c:pt>
                <c:pt idx="64">
                  <c:v>7.6899999999999996E-2</c:v>
                </c:pt>
                <c:pt idx="65">
                  <c:v>5.4300000000000001E-2</c:v>
                </c:pt>
                <c:pt idx="66">
                  <c:v>3.4799999999999998E-2</c:v>
                </c:pt>
                <c:pt idx="67">
                  <c:v>3.0300000000000001E-2</c:v>
                </c:pt>
                <c:pt idx="68">
                  <c:v>4.3900000000000002E-2</c:v>
                </c:pt>
                <c:pt idx="69">
                  <c:v>5.6099999999999997E-2</c:v>
                </c:pt>
                <c:pt idx="70">
                  <c:v>5.1400000000000001E-2</c:v>
                </c:pt>
                <c:pt idx="71">
                  <c:v>5.1900000000000002E-2</c:v>
                </c:pt>
                <c:pt idx="72">
                  <c:v>4.8599999999999997E-2</c:v>
                </c:pt>
                <c:pt idx="73">
                  <c:v>4.8000000000000001E-2</c:v>
                </c:pt>
                <c:pt idx="74">
                  <c:v>5.9799999999999999E-2</c:v>
                </c:pt>
                <c:pt idx="75">
                  <c:v>3.3300000000000003E-2</c:v>
                </c:pt>
                <c:pt idx="76">
                  <c:v>1.61E-2</c:v>
                </c:pt>
                <c:pt idx="77">
                  <c:v>1.03E-2</c:v>
                </c:pt>
                <c:pt idx="78">
                  <c:v>1.43E-2</c:v>
                </c:pt>
                <c:pt idx="79">
                  <c:v>3.3000000000000002E-2</c:v>
                </c:pt>
                <c:pt idx="80">
                  <c:v>4.9700000000000001E-2</c:v>
                </c:pt>
                <c:pt idx="81">
                  <c:v>4.5199999999999997E-2</c:v>
                </c:pt>
                <c:pt idx="82">
                  <c:v>1.24E-2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C-40C9-9F21-F7B0592A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0290176"/>
        <c:axId val="250926144"/>
      </c:barChart>
      <c:catAx>
        <c:axId val="2502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926144"/>
        <c:crosses val="autoZero"/>
        <c:auto val="1"/>
        <c:lblAlgn val="ctr"/>
        <c:lblOffset val="100"/>
        <c:noMultiLvlLbl val="0"/>
      </c:catAx>
      <c:valAx>
        <c:axId val="250926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5029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Frequency = # of times a Historical</a:t>
            </a:r>
            <a:r>
              <a:rPr lang="en-US" baseline="0"/>
              <a:t> Return For Large Company Occurred in Category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'Ex(3n)'!$M$1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'Ex(3n)'!$L$2:$L$14</c:f>
              <c:strCache>
                <c:ptCount val="13"/>
                <c:pt idx="0">
                  <c:v>-60%-
-50%</c:v>
                </c:pt>
                <c:pt idx="1">
                  <c:v>-50%-
-40%</c:v>
                </c:pt>
                <c:pt idx="2">
                  <c:v>-40%-
-30%</c:v>
                </c:pt>
                <c:pt idx="3">
                  <c:v>-30%-
-20%</c:v>
                </c:pt>
                <c:pt idx="4">
                  <c:v>-20%-
-10%</c:v>
                </c:pt>
                <c:pt idx="5">
                  <c:v>-10%-
0%</c:v>
                </c:pt>
                <c:pt idx="6">
                  <c:v>0%-
10%</c:v>
                </c:pt>
                <c:pt idx="7">
                  <c:v>10%-
20%</c:v>
                </c:pt>
                <c:pt idx="8">
                  <c:v>20%-
30%</c:v>
                </c:pt>
                <c:pt idx="9">
                  <c:v>30%-
40%</c:v>
                </c:pt>
                <c:pt idx="10">
                  <c:v>40%-
50%</c:v>
                </c:pt>
                <c:pt idx="11">
                  <c:v>50%-
60%</c:v>
                </c:pt>
                <c:pt idx="12">
                  <c:v>60%-
70%</c:v>
                </c:pt>
              </c:strCache>
            </c:strRef>
          </c:cat>
          <c:val>
            <c:numRef>
              <c:f>'Ex(3n)'!$M$2:$M$14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12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13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5-474C-A96A-8EA42074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260928"/>
        <c:axId val="250927872"/>
      </c:barChart>
      <c:catAx>
        <c:axId val="2512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927872"/>
        <c:crosses val="autoZero"/>
        <c:auto val="1"/>
        <c:lblAlgn val="ctr"/>
        <c:lblOffset val="100"/>
        <c:noMultiLvlLbl val="0"/>
      </c:catAx>
      <c:valAx>
        <c:axId val="25092787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5126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'Ex(4n)'!$C$1</c:f>
              <c:strCache>
                <c:ptCount val="1"/>
                <c:pt idx="0">
                  <c:v>Historical Large Company Returns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'Ex(4n)'!$B$2:$B$84</c:f>
              <c:numCache>
                <c:formatCode>0.00%</c:formatCode>
                <c:ptCount val="83"/>
                <c:pt idx="0">
                  <c:v>0.1114</c:v>
                </c:pt>
                <c:pt idx="1">
                  <c:v>0.37130000000000002</c:v>
                </c:pt>
                <c:pt idx="2">
                  <c:v>0.43309999999999998</c:v>
                </c:pt>
                <c:pt idx="3">
                  <c:v>-8.9099999999999999E-2</c:v>
                </c:pt>
                <c:pt idx="4">
                  <c:v>-0.25259999999999999</c:v>
                </c:pt>
                <c:pt idx="5">
                  <c:v>-0.43859999999999999</c:v>
                </c:pt>
                <c:pt idx="6">
                  <c:v>-8.8499999999999995E-2</c:v>
                </c:pt>
                <c:pt idx="7">
                  <c:v>0.52880000000000005</c:v>
                </c:pt>
                <c:pt idx="8">
                  <c:v>-2.3400000000000001E-2</c:v>
                </c:pt>
                <c:pt idx="9">
                  <c:v>0.47220000000000001</c:v>
                </c:pt>
                <c:pt idx="10">
                  <c:v>0.32800000000000001</c:v>
                </c:pt>
                <c:pt idx="11">
                  <c:v>-0.35260000000000002</c:v>
                </c:pt>
                <c:pt idx="12">
                  <c:v>0.33200000000000002</c:v>
                </c:pt>
                <c:pt idx="13">
                  <c:v>-9.1000000000000004E-3</c:v>
                </c:pt>
                <c:pt idx="14">
                  <c:v>-0.1008</c:v>
                </c:pt>
                <c:pt idx="15">
                  <c:v>-0.1177</c:v>
                </c:pt>
                <c:pt idx="16">
                  <c:v>0.2107</c:v>
                </c:pt>
                <c:pt idx="17">
                  <c:v>0.2576</c:v>
                </c:pt>
                <c:pt idx="18">
                  <c:v>0.19689999999999999</c:v>
                </c:pt>
                <c:pt idx="19">
                  <c:v>0.36459999999999998</c:v>
                </c:pt>
                <c:pt idx="20">
                  <c:v>-8.1799999999999998E-2</c:v>
                </c:pt>
                <c:pt idx="21">
                  <c:v>5.2400000000000002E-2</c:v>
                </c:pt>
                <c:pt idx="22">
                  <c:v>5.0999999999999997E-2</c:v>
                </c:pt>
                <c:pt idx="23">
                  <c:v>0.18060000000000001</c:v>
                </c:pt>
                <c:pt idx="24">
                  <c:v>0.30580000000000002</c:v>
                </c:pt>
                <c:pt idx="25">
                  <c:v>0.2455</c:v>
                </c:pt>
                <c:pt idx="26">
                  <c:v>0.185</c:v>
                </c:pt>
                <c:pt idx="27">
                  <c:v>-1.0999999999999999E-2</c:v>
                </c:pt>
                <c:pt idx="28">
                  <c:v>0.52400000000000002</c:v>
                </c:pt>
                <c:pt idx="29">
                  <c:v>0.31430000000000002</c:v>
                </c:pt>
                <c:pt idx="30">
                  <c:v>6.6299999999999998E-2</c:v>
                </c:pt>
                <c:pt idx="31">
                  <c:v>-0.1085</c:v>
                </c:pt>
                <c:pt idx="32">
                  <c:v>0.43340000000000001</c:v>
                </c:pt>
                <c:pt idx="33">
                  <c:v>0.11899999999999999</c:v>
                </c:pt>
                <c:pt idx="34">
                  <c:v>4.7999999999999996E-3</c:v>
                </c:pt>
                <c:pt idx="35">
                  <c:v>0.2681</c:v>
                </c:pt>
                <c:pt idx="36">
                  <c:v>-8.7800000000000003E-2</c:v>
                </c:pt>
                <c:pt idx="37">
                  <c:v>0.22689999999999999</c:v>
                </c:pt>
                <c:pt idx="38">
                  <c:v>0.1636</c:v>
                </c:pt>
                <c:pt idx="39">
                  <c:v>0.1236</c:v>
                </c:pt>
                <c:pt idx="40">
                  <c:v>-0.10100000000000001</c:v>
                </c:pt>
                <c:pt idx="41">
                  <c:v>0.2394</c:v>
                </c:pt>
                <c:pt idx="42">
                  <c:v>0.11</c:v>
                </c:pt>
                <c:pt idx="43">
                  <c:v>-8.4699999999999998E-2</c:v>
                </c:pt>
                <c:pt idx="44">
                  <c:v>3.9399999999999998E-2</c:v>
                </c:pt>
                <c:pt idx="45">
                  <c:v>0.14299999999999999</c:v>
                </c:pt>
                <c:pt idx="46">
                  <c:v>0.18990000000000001</c:v>
                </c:pt>
                <c:pt idx="47">
                  <c:v>-0.1469</c:v>
                </c:pt>
                <c:pt idx="48">
                  <c:v>-0.26469999999999999</c:v>
                </c:pt>
                <c:pt idx="49">
                  <c:v>0.37230000000000002</c:v>
                </c:pt>
                <c:pt idx="50">
                  <c:v>0.23930000000000001</c:v>
                </c:pt>
                <c:pt idx="51">
                  <c:v>-7.1599999999999997E-2</c:v>
                </c:pt>
                <c:pt idx="52">
                  <c:v>6.5699999999999995E-2</c:v>
                </c:pt>
                <c:pt idx="53">
                  <c:v>0.18609999999999999</c:v>
                </c:pt>
                <c:pt idx="54">
                  <c:v>0.32500000000000001</c:v>
                </c:pt>
                <c:pt idx="55">
                  <c:v>-4.9200000000000001E-2</c:v>
                </c:pt>
                <c:pt idx="56">
                  <c:v>0.2155</c:v>
                </c:pt>
                <c:pt idx="57">
                  <c:v>0.22559999999999999</c:v>
                </c:pt>
                <c:pt idx="58">
                  <c:v>6.2700000000000006E-2</c:v>
                </c:pt>
                <c:pt idx="59">
                  <c:v>0.31730000000000003</c:v>
                </c:pt>
                <c:pt idx="60">
                  <c:v>0.1867</c:v>
                </c:pt>
                <c:pt idx="61">
                  <c:v>5.2499999999999998E-2</c:v>
                </c:pt>
                <c:pt idx="62">
                  <c:v>0.1661</c:v>
                </c:pt>
                <c:pt idx="63">
                  <c:v>0.31690000000000002</c:v>
                </c:pt>
                <c:pt idx="64">
                  <c:v>-3.1E-2</c:v>
                </c:pt>
                <c:pt idx="65">
                  <c:v>0.30459999999999998</c:v>
                </c:pt>
                <c:pt idx="66">
                  <c:v>7.6200000000000004E-2</c:v>
                </c:pt>
                <c:pt idx="67">
                  <c:v>0.1008</c:v>
                </c:pt>
                <c:pt idx="68">
                  <c:v>1.32E-2</c:v>
                </c:pt>
                <c:pt idx="69">
                  <c:v>0.37580000000000002</c:v>
                </c:pt>
                <c:pt idx="70">
                  <c:v>0.2296</c:v>
                </c:pt>
                <c:pt idx="71">
                  <c:v>0.33360000000000001</c:v>
                </c:pt>
                <c:pt idx="72">
                  <c:v>0.2858</c:v>
                </c:pt>
                <c:pt idx="73">
                  <c:v>0.2104</c:v>
                </c:pt>
                <c:pt idx="74">
                  <c:v>-9.0999999999999998E-2</c:v>
                </c:pt>
                <c:pt idx="75">
                  <c:v>-0.11890000000000001</c:v>
                </c:pt>
                <c:pt idx="76">
                  <c:v>-0.221</c:v>
                </c:pt>
                <c:pt idx="77">
                  <c:v>0.2868</c:v>
                </c:pt>
                <c:pt idx="78">
                  <c:v>0.10879999999999999</c:v>
                </c:pt>
                <c:pt idx="79">
                  <c:v>4.9099999999999998E-2</c:v>
                </c:pt>
                <c:pt idx="80">
                  <c:v>0.15790000000000001</c:v>
                </c:pt>
                <c:pt idx="81">
                  <c:v>5.4899999999999997E-2</c:v>
                </c:pt>
                <c:pt idx="82">
                  <c:v>-0.37</c:v>
                </c:pt>
              </c:numCache>
            </c:numRef>
          </c:xVal>
          <c:yVal>
            <c:numRef>
              <c:f>'Ex(4n)'!$C$2:$C$84</c:f>
              <c:numCache>
                <c:formatCode>General</c:formatCode>
                <c:ptCount val="8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8-4728-A496-5E7C45D5750D}"/>
            </c:ext>
          </c:extLst>
        </c:ser>
        <c:ser>
          <c:idx val="1"/>
          <c:order val="1"/>
          <c:tx>
            <c:strRef>
              <c:f>'Ex(4n)'!$J$1</c:f>
              <c:strCache>
                <c:ptCount val="1"/>
                <c:pt idx="0">
                  <c:v>Mean Large Company Returns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'Ex(4n)'!$K$1</c:f>
              <c:numCache>
                <c:formatCode>0.00%</c:formatCode>
                <c:ptCount val="1"/>
                <c:pt idx="0">
                  <c:v>0.11566626506024097</c:v>
                </c:pt>
              </c:numCache>
            </c:numRef>
          </c:xVal>
          <c:yVal>
            <c:numRef>
              <c:f>'Ex(4n)'!$L$1</c:f>
              <c:numCache>
                <c:formatCode>General</c:formatCode>
                <c:ptCount val="1"/>
                <c:pt idx="0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8-4728-A496-5E7C45D5750D}"/>
            </c:ext>
          </c:extLst>
        </c:ser>
        <c:ser>
          <c:idx val="2"/>
          <c:order val="2"/>
          <c:tx>
            <c:strRef>
              <c:f>'Ex(4n)'!$E$1</c:f>
              <c:strCache>
                <c:ptCount val="1"/>
                <c:pt idx="0">
                  <c:v>Historical 20 Year Gov Bond Returns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'Ex(4n)'!$D$2:$D$84</c:f>
              <c:numCache>
                <c:formatCode>0.00%</c:formatCode>
                <c:ptCount val="83"/>
                <c:pt idx="0">
                  <c:v>7.9000000000000001E-2</c:v>
                </c:pt>
                <c:pt idx="1">
                  <c:v>0.1036</c:v>
                </c:pt>
                <c:pt idx="2">
                  <c:v>-1.37E-2</c:v>
                </c:pt>
                <c:pt idx="3">
                  <c:v>5.2299999999999999E-2</c:v>
                </c:pt>
                <c:pt idx="4">
                  <c:v>5.8000000000000003E-2</c:v>
                </c:pt>
                <c:pt idx="5">
                  <c:v>-8.0399999999999999E-2</c:v>
                </c:pt>
                <c:pt idx="6">
                  <c:v>0.1411</c:v>
                </c:pt>
                <c:pt idx="7">
                  <c:v>3.0999999999999999E-3</c:v>
                </c:pt>
                <c:pt idx="8">
                  <c:v>0.1298</c:v>
                </c:pt>
                <c:pt idx="9">
                  <c:v>5.8799999999999998E-2</c:v>
                </c:pt>
                <c:pt idx="10">
                  <c:v>8.2199999999999995E-2</c:v>
                </c:pt>
                <c:pt idx="11">
                  <c:v>-1.2999999999999999E-3</c:v>
                </c:pt>
                <c:pt idx="12">
                  <c:v>6.2600000000000003E-2</c:v>
                </c:pt>
                <c:pt idx="13">
                  <c:v>5.7099999999999998E-2</c:v>
                </c:pt>
                <c:pt idx="14">
                  <c:v>0.10340000000000001</c:v>
                </c:pt>
                <c:pt idx="15">
                  <c:v>-8.6599999999999996E-2</c:v>
                </c:pt>
                <c:pt idx="16">
                  <c:v>2.6700000000000002E-2</c:v>
                </c:pt>
                <c:pt idx="17">
                  <c:v>2.5000000000000001E-2</c:v>
                </c:pt>
                <c:pt idx="18">
                  <c:v>2.8799999999999999E-2</c:v>
                </c:pt>
                <c:pt idx="19">
                  <c:v>5.1700000000000003E-2</c:v>
                </c:pt>
                <c:pt idx="20">
                  <c:v>4.07E-2</c:v>
                </c:pt>
                <c:pt idx="21">
                  <c:v>-1.15E-2</c:v>
                </c:pt>
                <c:pt idx="22">
                  <c:v>2.1000000000000001E-2</c:v>
                </c:pt>
                <c:pt idx="23">
                  <c:v>7.0199999999999999E-2</c:v>
                </c:pt>
                <c:pt idx="24">
                  <c:v>-1.44E-2</c:v>
                </c:pt>
                <c:pt idx="25">
                  <c:v>-3.5299999999999998E-2</c:v>
                </c:pt>
                <c:pt idx="26">
                  <c:v>1.8200000000000001E-2</c:v>
                </c:pt>
                <c:pt idx="27">
                  <c:v>-8.8000000000000005E-3</c:v>
                </c:pt>
                <c:pt idx="28">
                  <c:v>7.8899999999999998E-2</c:v>
                </c:pt>
                <c:pt idx="29">
                  <c:v>-1.03E-2</c:v>
                </c:pt>
                <c:pt idx="30">
                  <c:v>-3.1399999999999997E-2</c:v>
                </c:pt>
                <c:pt idx="31">
                  <c:v>5.2499999999999998E-2</c:v>
                </c:pt>
                <c:pt idx="32">
                  <c:v>-6.7000000000000004E-2</c:v>
                </c:pt>
                <c:pt idx="33">
                  <c:v>-1.35E-2</c:v>
                </c:pt>
                <c:pt idx="34">
                  <c:v>7.7399999999999997E-2</c:v>
                </c:pt>
                <c:pt idx="35">
                  <c:v>3.0200000000000001E-2</c:v>
                </c:pt>
                <c:pt idx="36">
                  <c:v>4.6300000000000001E-2</c:v>
                </c:pt>
                <c:pt idx="37">
                  <c:v>1.37E-2</c:v>
                </c:pt>
                <c:pt idx="38">
                  <c:v>4.4299999999999999E-2</c:v>
                </c:pt>
                <c:pt idx="39">
                  <c:v>1.4E-2</c:v>
                </c:pt>
                <c:pt idx="40">
                  <c:v>-1.61E-2</c:v>
                </c:pt>
                <c:pt idx="41">
                  <c:v>-6.3799999999999996E-2</c:v>
                </c:pt>
                <c:pt idx="42">
                  <c:v>5.33E-2</c:v>
                </c:pt>
                <c:pt idx="43">
                  <c:v>-7.4499999999999997E-2</c:v>
                </c:pt>
                <c:pt idx="44">
                  <c:v>0.12239999999999999</c:v>
                </c:pt>
                <c:pt idx="45">
                  <c:v>0.12670000000000001</c:v>
                </c:pt>
                <c:pt idx="46">
                  <c:v>9.1499999999999998E-2</c:v>
                </c:pt>
                <c:pt idx="47">
                  <c:v>-0.12659999999999999</c:v>
                </c:pt>
                <c:pt idx="48">
                  <c:v>-3.2800000000000003E-2</c:v>
                </c:pt>
                <c:pt idx="49">
                  <c:v>4.6699999999999998E-2</c:v>
                </c:pt>
                <c:pt idx="50">
                  <c:v>0.18340000000000001</c:v>
                </c:pt>
                <c:pt idx="51">
                  <c:v>2.3099999999999999E-2</c:v>
                </c:pt>
                <c:pt idx="52">
                  <c:v>-2.07E-2</c:v>
                </c:pt>
                <c:pt idx="53">
                  <c:v>-2.76E-2</c:v>
                </c:pt>
                <c:pt idx="54">
                  <c:v>-5.91E-2</c:v>
                </c:pt>
                <c:pt idx="55">
                  <c:v>-1.6000000000000001E-3</c:v>
                </c:pt>
                <c:pt idx="56">
                  <c:v>0.49990000000000001</c:v>
                </c:pt>
                <c:pt idx="57">
                  <c:v>-2.1100000000000001E-2</c:v>
                </c:pt>
                <c:pt idx="58">
                  <c:v>0.1653</c:v>
                </c:pt>
                <c:pt idx="59">
                  <c:v>0.39029999999999998</c:v>
                </c:pt>
                <c:pt idx="60">
                  <c:v>0.3251</c:v>
                </c:pt>
                <c:pt idx="61">
                  <c:v>-8.09E-2</c:v>
                </c:pt>
                <c:pt idx="62">
                  <c:v>8.7099999999999997E-2</c:v>
                </c:pt>
                <c:pt idx="63">
                  <c:v>0.2215</c:v>
                </c:pt>
                <c:pt idx="64">
                  <c:v>5.4399999999999997E-2</c:v>
                </c:pt>
                <c:pt idx="65">
                  <c:v>0.20039999999999999</c:v>
                </c:pt>
                <c:pt idx="66">
                  <c:v>8.09E-2</c:v>
                </c:pt>
                <c:pt idx="67">
                  <c:v>0.22320000000000001</c:v>
                </c:pt>
                <c:pt idx="68">
                  <c:v>-0.11459999999999999</c:v>
                </c:pt>
                <c:pt idx="69">
                  <c:v>0.37280000000000002</c:v>
                </c:pt>
                <c:pt idx="70">
                  <c:v>-2.5899999999999999E-2</c:v>
                </c:pt>
                <c:pt idx="71">
                  <c:v>0.17699999999999999</c:v>
                </c:pt>
                <c:pt idx="72">
                  <c:v>0.19220000000000001</c:v>
                </c:pt>
                <c:pt idx="73">
                  <c:v>-0.12759999999999999</c:v>
                </c:pt>
                <c:pt idx="74">
                  <c:v>0.22159999999999999</c:v>
                </c:pt>
                <c:pt idx="75">
                  <c:v>5.2999999999999999E-2</c:v>
                </c:pt>
                <c:pt idx="76">
                  <c:v>0.14080000000000001</c:v>
                </c:pt>
                <c:pt idx="77">
                  <c:v>1.6199999999999999E-2</c:v>
                </c:pt>
                <c:pt idx="78">
                  <c:v>0.10340000000000001</c:v>
                </c:pt>
                <c:pt idx="79">
                  <c:v>0.10349999999999999</c:v>
                </c:pt>
                <c:pt idx="80">
                  <c:v>2.8E-3</c:v>
                </c:pt>
                <c:pt idx="81">
                  <c:v>0.1085</c:v>
                </c:pt>
                <c:pt idx="82">
                  <c:v>0.39460000000000001</c:v>
                </c:pt>
              </c:numCache>
            </c:numRef>
          </c:xVal>
          <c:yVal>
            <c:numRef>
              <c:f>'Ex(4n)'!$E$2:$E$84</c:f>
              <c:numCache>
                <c:formatCode>General</c:formatCode>
                <c:ptCount val="83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0.97</c:v>
                </c:pt>
                <c:pt idx="11">
                  <c:v>0.97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0.97</c:v>
                </c:pt>
                <c:pt idx="18">
                  <c:v>0.97</c:v>
                </c:pt>
                <c:pt idx="19">
                  <c:v>0.97</c:v>
                </c:pt>
                <c:pt idx="20">
                  <c:v>0.97</c:v>
                </c:pt>
                <c:pt idx="21">
                  <c:v>0.97</c:v>
                </c:pt>
                <c:pt idx="22">
                  <c:v>0.97</c:v>
                </c:pt>
                <c:pt idx="23">
                  <c:v>0.97</c:v>
                </c:pt>
                <c:pt idx="24">
                  <c:v>0.97</c:v>
                </c:pt>
                <c:pt idx="25">
                  <c:v>0.97</c:v>
                </c:pt>
                <c:pt idx="26">
                  <c:v>0.97</c:v>
                </c:pt>
                <c:pt idx="27">
                  <c:v>0.97</c:v>
                </c:pt>
                <c:pt idx="28">
                  <c:v>0.97</c:v>
                </c:pt>
                <c:pt idx="29">
                  <c:v>0.97</c:v>
                </c:pt>
                <c:pt idx="30">
                  <c:v>0.97</c:v>
                </c:pt>
                <c:pt idx="31">
                  <c:v>0.97</c:v>
                </c:pt>
                <c:pt idx="32">
                  <c:v>0.97</c:v>
                </c:pt>
                <c:pt idx="33">
                  <c:v>0.97</c:v>
                </c:pt>
                <c:pt idx="34">
                  <c:v>0.97</c:v>
                </c:pt>
                <c:pt idx="35">
                  <c:v>0.97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0.97</c:v>
                </c:pt>
                <c:pt idx="47">
                  <c:v>0.97</c:v>
                </c:pt>
                <c:pt idx="48">
                  <c:v>0.97</c:v>
                </c:pt>
                <c:pt idx="49">
                  <c:v>0.97</c:v>
                </c:pt>
                <c:pt idx="50">
                  <c:v>0.97</c:v>
                </c:pt>
                <c:pt idx="51">
                  <c:v>0.97</c:v>
                </c:pt>
                <c:pt idx="52">
                  <c:v>0.97</c:v>
                </c:pt>
                <c:pt idx="53">
                  <c:v>0.97</c:v>
                </c:pt>
                <c:pt idx="54">
                  <c:v>0.97</c:v>
                </c:pt>
                <c:pt idx="55">
                  <c:v>0.97</c:v>
                </c:pt>
                <c:pt idx="56">
                  <c:v>0.97</c:v>
                </c:pt>
                <c:pt idx="57">
                  <c:v>0.97</c:v>
                </c:pt>
                <c:pt idx="58">
                  <c:v>0.97</c:v>
                </c:pt>
                <c:pt idx="59">
                  <c:v>0.97</c:v>
                </c:pt>
                <c:pt idx="60">
                  <c:v>0.97</c:v>
                </c:pt>
                <c:pt idx="61">
                  <c:v>0.97</c:v>
                </c:pt>
                <c:pt idx="62">
                  <c:v>0.97</c:v>
                </c:pt>
                <c:pt idx="63">
                  <c:v>0.97</c:v>
                </c:pt>
                <c:pt idx="64">
                  <c:v>0.97</c:v>
                </c:pt>
                <c:pt idx="65">
                  <c:v>0.97</c:v>
                </c:pt>
                <c:pt idx="66">
                  <c:v>0.97</c:v>
                </c:pt>
                <c:pt idx="67">
                  <c:v>0.97</c:v>
                </c:pt>
                <c:pt idx="68">
                  <c:v>0.97</c:v>
                </c:pt>
                <c:pt idx="69">
                  <c:v>0.97</c:v>
                </c:pt>
                <c:pt idx="70">
                  <c:v>0.97</c:v>
                </c:pt>
                <c:pt idx="71">
                  <c:v>0.97</c:v>
                </c:pt>
                <c:pt idx="72">
                  <c:v>0.97</c:v>
                </c:pt>
                <c:pt idx="73">
                  <c:v>0.97</c:v>
                </c:pt>
                <c:pt idx="74">
                  <c:v>0.97</c:v>
                </c:pt>
                <c:pt idx="75">
                  <c:v>0.97</c:v>
                </c:pt>
                <c:pt idx="76">
                  <c:v>0.97</c:v>
                </c:pt>
                <c:pt idx="77">
                  <c:v>0.97</c:v>
                </c:pt>
                <c:pt idx="78">
                  <c:v>0.97</c:v>
                </c:pt>
                <c:pt idx="79">
                  <c:v>0.97</c:v>
                </c:pt>
                <c:pt idx="80">
                  <c:v>0.97</c:v>
                </c:pt>
                <c:pt idx="81">
                  <c:v>0.97</c:v>
                </c:pt>
                <c:pt idx="82">
                  <c:v>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8-4728-A496-5E7C45D5750D}"/>
            </c:ext>
          </c:extLst>
        </c:ser>
        <c:ser>
          <c:idx val="3"/>
          <c:order val="3"/>
          <c:tx>
            <c:strRef>
              <c:f>'Ex(4n)'!$J$2</c:f>
              <c:strCache>
                <c:ptCount val="1"/>
                <c:pt idx="0">
                  <c:v>Mean 20 Year Gov Bond Returns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'Ex(4n)'!$K$2</c:f>
              <c:numCache>
                <c:formatCode>0.00%</c:formatCode>
                <c:ptCount val="1"/>
                <c:pt idx="0">
                  <c:v>6.2471084337349381E-2</c:v>
                </c:pt>
              </c:numCache>
            </c:numRef>
          </c:xVal>
          <c:yVal>
            <c:numRef>
              <c:f>'Ex(4n)'!$L$2</c:f>
              <c:numCache>
                <c:formatCode>General</c:formatCode>
                <c:ptCount val="1"/>
                <c:pt idx="0">
                  <c:v>0.96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8-4728-A496-5E7C45D5750D}"/>
            </c:ext>
          </c:extLst>
        </c:ser>
        <c:ser>
          <c:idx val="4"/>
          <c:order val="4"/>
          <c:tx>
            <c:strRef>
              <c:f>'Ex(4n)'!$G$1</c:f>
              <c:strCache>
                <c:ptCount val="1"/>
                <c:pt idx="0">
                  <c:v>Historical US Treasury Bills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'Ex(4n)'!$F$2:$F$84</c:f>
              <c:numCache>
                <c:formatCode>0.00%</c:formatCode>
                <c:ptCount val="83"/>
                <c:pt idx="0">
                  <c:v>3.3000000000000002E-2</c:v>
                </c:pt>
                <c:pt idx="1">
                  <c:v>3.15E-2</c:v>
                </c:pt>
                <c:pt idx="2">
                  <c:v>4.0500000000000001E-2</c:v>
                </c:pt>
                <c:pt idx="3">
                  <c:v>4.4699999999999997E-2</c:v>
                </c:pt>
                <c:pt idx="4">
                  <c:v>2.2700000000000001E-2</c:v>
                </c:pt>
                <c:pt idx="5">
                  <c:v>1.15E-2</c:v>
                </c:pt>
                <c:pt idx="6">
                  <c:v>8.8000000000000005E-3</c:v>
                </c:pt>
                <c:pt idx="7">
                  <c:v>5.1999999999999998E-3</c:v>
                </c:pt>
                <c:pt idx="8">
                  <c:v>2.7000000000000001E-3</c:v>
                </c:pt>
                <c:pt idx="9">
                  <c:v>1.6999999999999999E-3</c:v>
                </c:pt>
                <c:pt idx="10">
                  <c:v>1.6999999999999999E-3</c:v>
                </c:pt>
                <c:pt idx="11">
                  <c:v>2.7000000000000001E-3</c:v>
                </c:pt>
                <c:pt idx="12">
                  <c:v>5.9999999999999995E-4</c:v>
                </c:pt>
                <c:pt idx="13">
                  <c:v>4.0000000000000002E-4</c:v>
                </c:pt>
                <c:pt idx="14">
                  <c:v>4.0000000000000002E-4</c:v>
                </c:pt>
                <c:pt idx="15">
                  <c:v>1.4E-3</c:v>
                </c:pt>
                <c:pt idx="16">
                  <c:v>3.3999999999999998E-3</c:v>
                </c:pt>
                <c:pt idx="17">
                  <c:v>3.8E-3</c:v>
                </c:pt>
                <c:pt idx="18">
                  <c:v>3.8E-3</c:v>
                </c:pt>
                <c:pt idx="19">
                  <c:v>3.8E-3</c:v>
                </c:pt>
                <c:pt idx="20">
                  <c:v>3.8E-3</c:v>
                </c:pt>
                <c:pt idx="21">
                  <c:v>6.1999999999999998E-3</c:v>
                </c:pt>
                <c:pt idx="22">
                  <c:v>1.06E-2</c:v>
                </c:pt>
                <c:pt idx="23">
                  <c:v>1.12E-2</c:v>
                </c:pt>
                <c:pt idx="24">
                  <c:v>1.2200000000000001E-2</c:v>
                </c:pt>
                <c:pt idx="25">
                  <c:v>1.5599999999999999E-2</c:v>
                </c:pt>
                <c:pt idx="26">
                  <c:v>1.7500000000000002E-2</c:v>
                </c:pt>
                <c:pt idx="27">
                  <c:v>1.8700000000000001E-2</c:v>
                </c:pt>
                <c:pt idx="28">
                  <c:v>9.2999999999999992E-3</c:v>
                </c:pt>
                <c:pt idx="29">
                  <c:v>1.7999999999999999E-2</c:v>
                </c:pt>
                <c:pt idx="30">
                  <c:v>2.6599999999999999E-2</c:v>
                </c:pt>
                <c:pt idx="31">
                  <c:v>3.2800000000000003E-2</c:v>
                </c:pt>
                <c:pt idx="32">
                  <c:v>1.7100000000000001E-2</c:v>
                </c:pt>
                <c:pt idx="33">
                  <c:v>3.4799999999999998E-2</c:v>
                </c:pt>
                <c:pt idx="34">
                  <c:v>2.81E-2</c:v>
                </c:pt>
                <c:pt idx="35">
                  <c:v>2.4E-2</c:v>
                </c:pt>
                <c:pt idx="36">
                  <c:v>2.8199999999999999E-2</c:v>
                </c:pt>
                <c:pt idx="37">
                  <c:v>3.2300000000000002E-2</c:v>
                </c:pt>
                <c:pt idx="38">
                  <c:v>3.6200000000000003E-2</c:v>
                </c:pt>
                <c:pt idx="39">
                  <c:v>4.0599999999999997E-2</c:v>
                </c:pt>
                <c:pt idx="40">
                  <c:v>4.9399999999999999E-2</c:v>
                </c:pt>
                <c:pt idx="41">
                  <c:v>4.3900000000000002E-2</c:v>
                </c:pt>
                <c:pt idx="42">
                  <c:v>5.4899999999999997E-2</c:v>
                </c:pt>
                <c:pt idx="43">
                  <c:v>6.9000000000000006E-2</c:v>
                </c:pt>
                <c:pt idx="44">
                  <c:v>6.5000000000000002E-2</c:v>
                </c:pt>
                <c:pt idx="45">
                  <c:v>4.36E-2</c:v>
                </c:pt>
                <c:pt idx="46">
                  <c:v>4.2299999999999997E-2</c:v>
                </c:pt>
                <c:pt idx="47">
                  <c:v>7.2900000000000006E-2</c:v>
                </c:pt>
                <c:pt idx="48">
                  <c:v>7.9899999999999999E-2</c:v>
                </c:pt>
                <c:pt idx="49">
                  <c:v>5.8700000000000002E-2</c:v>
                </c:pt>
                <c:pt idx="50">
                  <c:v>5.0700000000000002E-2</c:v>
                </c:pt>
                <c:pt idx="51">
                  <c:v>5.45E-2</c:v>
                </c:pt>
                <c:pt idx="52">
                  <c:v>7.6399999999999996E-2</c:v>
                </c:pt>
                <c:pt idx="53">
                  <c:v>0.1056</c:v>
                </c:pt>
                <c:pt idx="54">
                  <c:v>0.121</c:v>
                </c:pt>
                <c:pt idx="55">
                  <c:v>0.14599999999999999</c:v>
                </c:pt>
                <c:pt idx="56">
                  <c:v>0.1094</c:v>
                </c:pt>
                <c:pt idx="57">
                  <c:v>8.9899999999999994E-2</c:v>
                </c:pt>
                <c:pt idx="58">
                  <c:v>9.9000000000000005E-2</c:v>
                </c:pt>
                <c:pt idx="59">
                  <c:v>7.7100000000000002E-2</c:v>
                </c:pt>
                <c:pt idx="60">
                  <c:v>6.0900000000000003E-2</c:v>
                </c:pt>
                <c:pt idx="61">
                  <c:v>5.8799999999999998E-2</c:v>
                </c:pt>
                <c:pt idx="62">
                  <c:v>6.9400000000000003E-2</c:v>
                </c:pt>
                <c:pt idx="63">
                  <c:v>8.4400000000000003E-2</c:v>
                </c:pt>
                <c:pt idx="64">
                  <c:v>7.6899999999999996E-2</c:v>
                </c:pt>
                <c:pt idx="65">
                  <c:v>5.4300000000000001E-2</c:v>
                </c:pt>
                <c:pt idx="66">
                  <c:v>3.4799999999999998E-2</c:v>
                </c:pt>
                <c:pt idx="67">
                  <c:v>3.0300000000000001E-2</c:v>
                </c:pt>
                <c:pt idx="68">
                  <c:v>4.3900000000000002E-2</c:v>
                </c:pt>
                <c:pt idx="69">
                  <c:v>5.6099999999999997E-2</c:v>
                </c:pt>
                <c:pt idx="70">
                  <c:v>5.1400000000000001E-2</c:v>
                </c:pt>
                <c:pt idx="71">
                  <c:v>5.1900000000000002E-2</c:v>
                </c:pt>
                <c:pt idx="72">
                  <c:v>4.8599999999999997E-2</c:v>
                </c:pt>
                <c:pt idx="73">
                  <c:v>4.8000000000000001E-2</c:v>
                </c:pt>
                <c:pt idx="74">
                  <c:v>5.9799999999999999E-2</c:v>
                </c:pt>
                <c:pt idx="75">
                  <c:v>3.3300000000000003E-2</c:v>
                </c:pt>
                <c:pt idx="76">
                  <c:v>1.61E-2</c:v>
                </c:pt>
                <c:pt idx="77">
                  <c:v>1.03E-2</c:v>
                </c:pt>
                <c:pt idx="78">
                  <c:v>1.43E-2</c:v>
                </c:pt>
                <c:pt idx="79">
                  <c:v>3.3000000000000002E-2</c:v>
                </c:pt>
                <c:pt idx="80">
                  <c:v>4.9700000000000001E-2</c:v>
                </c:pt>
                <c:pt idx="81">
                  <c:v>4.5199999999999997E-2</c:v>
                </c:pt>
                <c:pt idx="82">
                  <c:v>1.24E-2</c:v>
                </c:pt>
              </c:numCache>
            </c:numRef>
          </c:xVal>
          <c:yVal>
            <c:numRef>
              <c:f>'Ex(4n)'!$G$2:$G$84</c:f>
              <c:numCache>
                <c:formatCode>General</c:formatCode>
                <c:ptCount val="83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  <c:pt idx="25">
                  <c:v>0.94</c:v>
                </c:pt>
                <c:pt idx="26">
                  <c:v>0.94</c:v>
                </c:pt>
                <c:pt idx="27">
                  <c:v>0.94</c:v>
                </c:pt>
                <c:pt idx="28">
                  <c:v>0.94</c:v>
                </c:pt>
                <c:pt idx="29">
                  <c:v>0.94</c:v>
                </c:pt>
                <c:pt idx="30">
                  <c:v>0.94</c:v>
                </c:pt>
                <c:pt idx="31">
                  <c:v>0.94</c:v>
                </c:pt>
                <c:pt idx="32">
                  <c:v>0.94</c:v>
                </c:pt>
                <c:pt idx="33">
                  <c:v>0.94</c:v>
                </c:pt>
                <c:pt idx="34">
                  <c:v>0.94</c:v>
                </c:pt>
                <c:pt idx="35">
                  <c:v>0.94</c:v>
                </c:pt>
                <c:pt idx="36">
                  <c:v>0.94</c:v>
                </c:pt>
                <c:pt idx="37">
                  <c:v>0.94</c:v>
                </c:pt>
                <c:pt idx="38">
                  <c:v>0.94</c:v>
                </c:pt>
                <c:pt idx="39">
                  <c:v>0.94</c:v>
                </c:pt>
                <c:pt idx="40">
                  <c:v>0.94</c:v>
                </c:pt>
                <c:pt idx="41">
                  <c:v>0.94</c:v>
                </c:pt>
                <c:pt idx="42">
                  <c:v>0.94</c:v>
                </c:pt>
                <c:pt idx="43">
                  <c:v>0.94</c:v>
                </c:pt>
                <c:pt idx="44">
                  <c:v>0.94</c:v>
                </c:pt>
                <c:pt idx="45">
                  <c:v>0.94</c:v>
                </c:pt>
                <c:pt idx="46">
                  <c:v>0.94</c:v>
                </c:pt>
                <c:pt idx="47">
                  <c:v>0.94</c:v>
                </c:pt>
                <c:pt idx="48">
                  <c:v>0.94</c:v>
                </c:pt>
                <c:pt idx="49">
                  <c:v>0.94</c:v>
                </c:pt>
                <c:pt idx="50">
                  <c:v>0.94</c:v>
                </c:pt>
                <c:pt idx="51">
                  <c:v>0.94</c:v>
                </c:pt>
                <c:pt idx="52">
                  <c:v>0.94</c:v>
                </c:pt>
                <c:pt idx="53">
                  <c:v>0.94</c:v>
                </c:pt>
                <c:pt idx="54">
                  <c:v>0.94</c:v>
                </c:pt>
                <c:pt idx="55">
                  <c:v>0.94</c:v>
                </c:pt>
                <c:pt idx="56">
                  <c:v>0.94</c:v>
                </c:pt>
                <c:pt idx="57">
                  <c:v>0.94</c:v>
                </c:pt>
                <c:pt idx="58">
                  <c:v>0.94</c:v>
                </c:pt>
                <c:pt idx="59">
                  <c:v>0.94</c:v>
                </c:pt>
                <c:pt idx="60">
                  <c:v>0.94</c:v>
                </c:pt>
                <c:pt idx="61">
                  <c:v>0.94</c:v>
                </c:pt>
                <c:pt idx="62">
                  <c:v>0.94</c:v>
                </c:pt>
                <c:pt idx="63">
                  <c:v>0.94</c:v>
                </c:pt>
                <c:pt idx="64">
                  <c:v>0.94</c:v>
                </c:pt>
                <c:pt idx="65">
                  <c:v>0.94</c:v>
                </c:pt>
                <c:pt idx="66">
                  <c:v>0.94</c:v>
                </c:pt>
                <c:pt idx="67">
                  <c:v>0.94</c:v>
                </c:pt>
                <c:pt idx="68">
                  <c:v>0.94</c:v>
                </c:pt>
                <c:pt idx="69">
                  <c:v>0.94</c:v>
                </c:pt>
                <c:pt idx="70">
                  <c:v>0.94</c:v>
                </c:pt>
                <c:pt idx="71">
                  <c:v>0.94</c:v>
                </c:pt>
                <c:pt idx="72">
                  <c:v>0.94</c:v>
                </c:pt>
                <c:pt idx="73">
                  <c:v>0.94</c:v>
                </c:pt>
                <c:pt idx="74">
                  <c:v>0.94</c:v>
                </c:pt>
                <c:pt idx="75">
                  <c:v>0.94</c:v>
                </c:pt>
                <c:pt idx="76">
                  <c:v>0.94</c:v>
                </c:pt>
                <c:pt idx="77">
                  <c:v>0.94</c:v>
                </c:pt>
                <c:pt idx="78">
                  <c:v>0.94</c:v>
                </c:pt>
                <c:pt idx="79">
                  <c:v>0.94</c:v>
                </c:pt>
                <c:pt idx="80">
                  <c:v>0.94</c:v>
                </c:pt>
                <c:pt idx="81">
                  <c:v>0.94</c:v>
                </c:pt>
                <c:pt idx="82">
                  <c:v>0.94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8-4728-A496-5E7C45D5750D}"/>
            </c:ext>
          </c:extLst>
        </c:ser>
        <c:ser>
          <c:idx val="5"/>
          <c:order val="5"/>
          <c:tx>
            <c:strRef>
              <c:f>'Ex(4n)'!$J$3</c:f>
              <c:strCache>
                <c:ptCount val="1"/>
                <c:pt idx="0">
                  <c:v>Mean US Treasury Bills</c:v>
                </c:pt>
              </c:strCache>
            </c:strRef>
          </c:tx>
          <c:spPr>
            <a:ln w="28575">
              <a:noFill/>
            </a:ln>
          </c:spPr>
          <c:xVal>
            <c:numRef>
              <c:f>'Ex(4n)'!$K$3</c:f>
              <c:numCache>
                <c:formatCode>0.00%</c:formatCode>
                <c:ptCount val="1"/>
                <c:pt idx="0">
                  <c:v>3.856746987951807E-2</c:v>
                </c:pt>
              </c:numCache>
            </c:numRef>
          </c:xVal>
          <c:yVal>
            <c:numRef>
              <c:f>'Ex(4n)'!$L$3</c:f>
              <c:numCache>
                <c:formatCode>General</c:formatCode>
                <c:ptCount val="1"/>
                <c:pt idx="0">
                  <c:v>0.93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8-4728-A496-5E7C45D57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691584"/>
        <c:axId val="251692160"/>
      </c:scatterChart>
      <c:valAx>
        <c:axId val="2516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Returns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251692160"/>
        <c:crosses val="autoZero"/>
        <c:crossBetween val="midCat"/>
      </c:valAx>
      <c:valAx>
        <c:axId val="251692160"/>
        <c:scaling>
          <c:orientation val="minMax"/>
          <c:max val="1.01"/>
          <c:min val="0.89000000000000012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51691584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189155</xdr:colOff>
      <xdr:row>2</xdr:row>
      <xdr:rowOff>136263</xdr:rowOff>
    </xdr:from>
    <xdr:to>
      <xdr:col>10</xdr:col>
      <xdr:colOff>242047</xdr:colOff>
      <xdr:row>18</xdr:row>
      <xdr:rowOff>2689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135367</xdr:colOff>
      <xdr:row>2</xdr:row>
      <xdr:rowOff>1793</xdr:rowOff>
    </xdr:from>
    <xdr:to>
      <xdr:col>15</xdr:col>
      <xdr:colOff>493059</xdr:colOff>
      <xdr:row>17</xdr:row>
      <xdr:rowOff>47513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434432</xdr:colOff>
      <xdr:row>0</xdr:row>
      <xdr:rowOff>196034</xdr:rowOff>
    </xdr:from>
    <xdr:to>
      <xdr:col>17</xdr:col>
      <xdr:colOff>217714</xdr:colOff>
      <xdr:row>10</xdr:row>
      <xdr:rowOff>69851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380616</xdr:colOff>
      <xdr:row>14</xdr:row>
      <xdr:rowOff>185056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315846</xdr:colOff>
      <xdr:row>30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315846</xdr:colOff>
      <xdr:row>45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9</xdr:col>
      <xdr:colOff>290945</xdr:colOff>
      <xdr:row>70</xdr:row>
      <xdr:rowOff>142815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9</xdr:col>
      <xdr:colOff>277091</xdr:colOff>
      <xdr:row>93</xdr:row>
      <xdr:rowOff>55419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youtube.com/watch?v=fl5KvqmhDA8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F12"/>
  <sheetViews>
    <sheetView zoomScale="130" zoomScaleNormal="130" workbookViewId="0">
      <selection activeCell="B5" sqref="B5"/>
    </sheetView>
  </sheetViews>
  <sheetFormatPr defaultColWidth="24.5546875" defaultRowHeight="14.4" x14ac:dyDescent="0.3"/>
  <cols>
    <col min="1" max="1" width="24.6640625" bestFit="1" customWidth="1"/>
    <col min="2" max="2" width="12" bestFit="1" customWidth="1"/>
    <col min="3" max="3" width="1.88671875" customWidth="1"/>
    <col min="4" max="4" width="23.44140625" customWidth="1"/>
    <col min="5" max="5" width="12.6640625" bestFit="1" customWidth="1"/>
    <col min="254" max="254" width="24.6640625" bestFit="1" customWidth="1"/>
    <col min="255" max="255" width="12" bestFit="1" customWidth="1"/>
    <col min="256" max="256" width="1.88671875" customWidth="1"/>
    <col min="257" max="257" width="37.109375" bestFit="1" customWidth="1"/>
    <col min="258" max="258" width="12.6640625" bestFit="1" customWidth="1"/>
    <col min="259" max="259" width="1.88671875" customWidth="1"/>
    <col min="260" max="260" width="24.33203125" bestFit="1" customWidth="1"/>
    <col min="261" max="261" width="12.6640625" bestFit="1" customWidth="1"/>
    <col min="510" max="510" width="24.6640625" bestFit="1" customWidth="1"/>
    <col min="511" max="511" width="12" bestFit="1" customWidth="1"/>
    <col min="512" max="512" width="1.88671875" customWidth="1"/>
    <col min="513" max="513" width="37.109375" bestFit="1" customWidth="1"/>
    <col min="514" max="514" width="12.6640625" bestFit="1" customWidth="1"/>
    <col min="515" max="515" width="1.88671875" customWidth="1"/>
    <col min="516" max="516" width="24.33203125" bestFit="1" customWidth="1"/>
    <col min="517" max="517" width="12.6640625" bestFit="1" customWidth="1"/>
    <col min="766" max="766" width="24.6640625" bestFit="1" customWidth="1"/>
    <col min="767" max="767" width="12" bestFit="1" customWidth="1"/>
    <col min="768" max="768" width="1.88671875" customWidth="1"/>
    <col min="769" max="769" width="37.109375" bestFit="1" customWidth="1"/>
    <col min="770" max="770" width="12.6640625" bestFit="1" customWidth="1"/>
    <col min="771" max="771" width="1.88671875" customWidth="1"/>
    <col min="772" max="772" width="24.33203125" bestFit="1" customWidth="1"/>
    <col min="773" max="773" width="12.6640625" bestFit="1" customWidth="1"/>
    <col min="1022" max="1022" width="24.6640625" bestFit="1" customWidth="1"/>
    <col min="1023" max="1023" width="12" bestFit="1" customWidth="1"/>
    <col min="1024" max="1024" width="1.88671875" customWidth="1"/>
    <col min="1025" max="1025" width="37.109375" bestFit="1" customWidth="1"/>
    <col min="1026" max="1026" width="12.6640625" bestFit="1" customWidth="1"/>
    <col min="1027" max="1027" width="1.88671875" customWidth="1"/>
    <col min="1028" max="1028" width="24.33203125" bestFit="1" customWidth="1"/>
    <col min="1029" max="1029" width="12.6640625" bestFit="1" customWidth="1"/>
    <col min="1278" max="1278" width="24.6640625" bestFit="1" customWidth="1"/>
    <col min="1279" max="1279" width="12" bestFit="1" customWidth="1"/>
    <col min="1280" max="1280" width="1.88671875" customWidth="1"/>
    <col min="1281" max="1281" width="37.109375" bestFit="1" customWidth="1"/>
    <col min="1282" max="1282" width="12.6640625" bestFit="1" customWidth="1"/>
    <col min="1283" max="1283" width="1.88671875" customWidth="1"/>
    <col min="1284" max="1284" width="24.33203125" bestFit="1" customWidth="1"/>
    <col min="1285" max="1285" width="12.6640625" bestFit="1" customWidth="1"/>
    <col min="1534" max="1534" width="24.6640625" bestFit="1" customWidth="1"/>
    <col min="1535" max="1535" width="12" bestFit="1" customWidth="1"/>
    <col min="1536" max="1536" width="1.88671875" customWidth="1"/>
    <col min="1537" max="1537" width="37.109375" bestFit="1" customWidth="1"/>
    <col min="1538" max="1538" width="12.6640625" bestFit="1" customWidth="1"/>
    <col min="1539" max="1539" width="1.88671875" customWidth="1"/>
    <col min="1540" max="1540" width="24.33203125" bestFit="1" customWidth="1"/>
    <col min="1541" max="1541" width="12.6640625" bestFit="1" customWidth="1"/>
    <col min="1790" max="1790" width="24.6640625" bestFit="1" customWidth="1"/>
    <col min="1791" max="1791" width="12" bestFit="1" customWidth="1"/>
    <col min="1792" max="1792" width="1.88671875" customWidth="1"/>
    <col min="1793" max="1793" width="37.109375" bestFit="1" customWidth="1"/>
    <col min="1794" max="1794" width="12.6640625" bestFit="1" customWidth="1"/>
    <col min="1795" max="1795" width="1.88671875" customWidth="1"/>
    <col min="1796" max="1796" width="24.33203125" bestFit="1" customWidth="1"/>
    <col min="1797" max="1797" width="12.6640625" bestFit="1" customWidth="1"/>
    <col min="2046" max="2046" width="24.6640625" bestFit="1" customWidth="1"/>
    <col min="2047" max="2047" width="12" bestFit="1" customWidth="1"/>
    <col min="2048" max="2048" width="1.88671875" customWidth="1"/>
    <col min="2049" max="2049" width="37.109375" bestFit="1" customWidth="1"/>
    <col min="2050" max="2050" width="12.6640625" bestFit="1" customWidth="1"/>
    <col min="2051" max="2051" width="1.88671875" customWidth="1"/>
    <col min="2052" max="2052" width="24.33203125" bestFit="1" customWidth="1"/>
    <col min="2053" max="2053" width="12.6640625" bestFit="1" customWidth="1"/>
    <col min="2302" max="2302" width="24.6640625" bestFit="1" customWidth="1"/>
    <col min="2303" max="2303" width="12" bestFit="1" customWidth="1"/>
    <col min="2304" max="2304" width="1.88671875" customWidth="1"/>
    <col min="2305" max="2305" width="37.109375" bestFit="1" customWidth="1"/>
    <col min="2306" max="2306" width="12.6640625" bestFit="1" customWidth="1"/>
    <col min="2307" max="2307" width="1.88671875" customWidth="1"/>
    <col min="2308" max="2308" width="24.33203125" bestFit="1" customWidth="1"/>
    <col min="2309" max="2309" width="12.6640625" bestFit="1" customWidth="1"/>
    <col min="2558" max="2558" width="24.6640625" bestFit="1" customWidth="1"/>
    <col min="2559" max="2559" width="12" bestFit="1" customWidth="1"/>
    <col min="2560" max="2560" width="1.88671875" customWidth="1"/>
    <col min="2561" max="2561" width="37.109375" bestFit="1" customWidth="1"/>
    <col min="2562" max="2562" width="12.6640625" bestFit="1" customWidth="1"/>
    <col min="2563" max="2563" width="1.88671875" customWidth="1"/>
    <col min="2564" max="2564" width="24.33203125" bestFit="1" customWidth="1"/>
    <col min="2565" max="2565" width="12.6640625" bestFit="1" customWidth="1"/>
    <col min="2814" max="2814" width="24.6640625" bestFit="1" customWidth="1"/>
    <col min="2815" max="2815" width="12" bestFit="1" customWidth="1"/>
    <col min="2816" max="2816" width="1.88671875" customWidth="1"/>
    <col min="2817" max="2817" width="37.109375" bestFit="1" customWidth="1"/>
    <col min="2818" max="2818" width="12.6640625" bestFit="1" customWidth="1"/>
    <col min="2819" max="2819" width="1.88671875" customWidth="1"/>
    <col min="2820" max="2820" width="24.33203125" bestFit="1" customWidth="1"/>
    <col min="2821" max="2821" width="12.6640625" bestFit="1" customWidth="1"/>
    <col min="3070" max="3070" width="24.6640625" bestFit="1" customWidth="1"/>
    <col min="3071" max="3071" width="12" bestFit="1" customWidth="1"/>
    <col min="3072" max="3072" width="1.88671875" customWidth="1"/>
    <col min="3073" max="3073" width="37.109375" bestFit="1" customWidth="1"/>
    <col min="3074" max="3074" width="12.6640625" bestFit="1" customWidth="1"/>
    <col min="3075" max="3075" width="1.88671875" customWidth="1"/>
    <col min="3076" max="3076" width="24.33203125" bestFit="1" customWidth="1"/>
    <col min="3077" max="3077" width="12.6640625" bestFit="1" customWidth="1"/>
    <col min="3326" max="3326" width="24.6640625" bestFit="1" customWidth="1"/>
    <col min="3327" max="3327" width="12" bestFit="1" customWidth="1"/>
    <col min="3328" max="3328" width="1.88671875" customWidth="1"/>
    <col min="3329" max="3329" width="37.109375" bestFit="1" customWidth="1"/>
    <col min="3330" max="3330" width="12.6640625" bestFit="1" customWidth="1"/>
    <col min="3331" max="3331" width="1.88671875" customWidth="1"/>
    <col min="3332" max="3332" width="24.33203125" bestFit="1" customWidth="1"/>
    <col min="3333" max="3333" width="12.6640625" bestFit="1" customWidth="1"/>
    <col min="3582" max="3582" width="24.6640625" bestFit="1" customWidth="1"/>
    <col min="3583" max="3583" width="12" bestFit="1" customWidth="1"/>
    <col min="3584" max="3584" width="1.88671875" customWidth="1"/>
    <col min="3585" max="3585" width="37.109375" bestFit="1" customWidth="1"/>
    <col min="3586" max="3586" width="12.6640625" bestFit="1" customWidth="1"/>
    <col min="3587" max="3587" width="1.88671875" customWidth="1"/>
    <col min="3588" max="3588" width="24.33203125" bestFit="1" customWidth="1"/>
    <col min="3589" max="3589" width="12.6640625" bestFit="1" customWidth="1"/>
    <col min="3838" max="3838" width="24.6640625" bestFit="1" customWidth="1"/>
    <col min="3839" max="3839" width="12" bestFit="1" customWidth="1"/>
    <col min="3840" max="3840" width="1.88671875" customWidth="1"/>
    <col min="3841" max="3841" width="37.109375" bestFit="1" customWidth="1"/>
    <col min="3842" max="3842" width="12.6640625" bestFit="1" customWidth="1"/>
    <col min="3843" max="3843" width="1.88671875" customWidth="1"/>
    <col min="3844" max="3844" width="24.33203125" bestFit="1" customWidth="1"/>
    <col min="3845" max="3845" width="12.6640625" bestFit="1" customWidth="1"/>
    <col min="4094" max="4094" width="24.6640625" bestFit="1" customWidth="1"/>
    <col min="4095" max="4095" width="12" bestFit="1" customWidth="1"/>
    <col min="4096" max="4096" width="1.88671875" customWidth="1"/>
    <col min="4097" max="4097" width="37.109375" bestFit="1" customWidth="1"/>
    <col min="4098" max="4098" width="12.6640625" bestFit="1" customWidth="1"/>
    <col min="4099" max="4099" width="1.88671875" customWidth="1"/>
    <col min="4100" max="4100" width="24.33203125" bestFit="1" customWidth="1"/>
    <col min="4101" max="4101" width="12.6640625" bestFit="1" customWidth="1"/>
    <col min="4350" max="4350" width="24.6640625" bestFit="1" customWidth="1"/>
    <col min="4351" max="4351" width="12" bestFit="1" customWidth="1"/>
    <col min="4352" max="4352" width="1.88671875" customWidth="1"/>
    <col min="4353" max="4353" width="37.109375" bestFit="1" customWidth="1"/>
    <col min="4354" max="4354" width="12.6640625" bestFit="1" customWidth="1"/>
    <col min="4355" max="4355" width="1.88671875" customWidth="1"/>
    <col min="4356" max="4356" width="24.33203125" bestFit="1" customWidth="1"/>
    <col min="4357" max="4357" width="12.6640625" bestFit="1" customWidth="1"/>
    <col min="4606" max="4606" width="24.6640625" bestFit="1" customWidth="1"/>
    <col min="4607" max="4607" width="12" bestFit="1" customWidth="1"/>
    <col min="4608" max="4608" width="1.88671875" customWidth="1"/>
    <col min="4609" max="4609" width="37.109375" bestFit="1" customWidth="1"/>
    <col min="4610" max="4610" width="12.6640625" bestFit="1" customWidth="1"/>
    <col min="4611" max="4611" width="1.88671875" customWidth="1"/>
    <col min="4612" max="4612" width="24.33203125" bestFit="1" customWidth="1"/>
    <col min="4613" max="4613" width="12.6640625" bestFit="1" customWidth="1"/>
    <col min="4862" max="4862" width="24.6640625" bestFit="1" customWidth="1"/>
    <col min="4863" max="4863" width="12" bestFit="1" customWidth="1"/>
    <col min="4864" max="4864" width="1.88671875" customWidth="1"/>
    <col min="4865" max="4865" width="37.109375" bestFit="1" customWidth="1"/>
    <col min="4866" max="4866" width="12.6640625" bestFit="1" customWidth="1"/>
    <col min="4867" max="4867" width="1.88671875" customWidth="1"/>
    <col min="4868" max="4868" width="24.33203125" bestFit="1" customWidth="1"/>
    <col min="4869" max="4869" width="12.6640625" bestFit="1" customWidth="1"/>
    <col min="5118" max="5118" width="24.6640625" bestFit="1" customWidth="1"/>
    <col min="5119" max="5119" width="12" bestFit="1" customWidth="1"/>
    <col min="5120" max="5120" width="1.88671875" customWidth="1"/>
    <col min="5121" max="5121" width="37.109375" bestFit="1" customWidth="1"/>
    <col min="5122" max="5122" width="12.6640625" bestFit="1" customWidth="1"/>
    <col min="5123" max="5123" width="1.88671875" customWidth="1"/>
    <col min="5124" max="5124" width="24.33203125" bestFit="1" customWidth="1"/>
    <col min="5125" max="5125" width="12.6640625" bestFit="1" customWidth="1"/>
    <col min="5374" max="5374" width="24.6640625" bestFit="1" customWidth="1"/>
    <col min="5375" max="5375" width="12" bestFit="1" customWidth="1"/>
    <col min="5376" max="5376" width="1.88671875" customWidth="1"/>
    <col min="5377" max="5377" width="37.109375" bestFit="1" customWidth="1"/>
    <col min="5378" max="5378" width="12.6640625" bestFit="1" customWidth="1"/>
    <col min="5379" max="5379" width="1.88671875" customWidth="1"/>
    <col min="5380" max="5380" width="24.33203125" bestFit="1" customWidth="1"/>
    <col min="5381" max="5381" width="12.6640625" bestFit="1" customWidth="1"/>
    <col min="5630" max="5630" width="24.6640625" bestFit="1" customWidth="1"/>
    <col min="5631" max="5631" width="12" bestFit="1" customWidth="1"/>
    <col min="5632" max="5632" width="1.88671875" customWidth="1"/>
    <col min="5633" max="5633" width="37.109375" bestFit="1" customWidth="1"/>
    <col min="5634" max="5634" width="12.6640625" bestFit="1" customWidth="1"/>
    <col min="5635" max="5635" width="1.88671875" customWidth="1"/>
    <col min="5636" max="5636" width="24.33203125" bestFit="1" customWidth="1"/>
    <col min="5637" max="5637" width="12.6640625" bestFit="1" customWidth="1"/>
    <col min="5886" max="5886" width="24.6640625" bestFit="1" customWidth="1"/>
    <col min="5887" max="5887" width="12" bestFit="1" customWidth="1"/>
    <col min="5888" max="5888" width="1.88671875" customWidth="1"/>
    <col min="5889" max="5889" width="37.109375" bestFit="1" customWidth="1"/>
    <col min="5890" max="5890" width="12.6640625" bestFit="1" customWidth="1"/>
    <col min="5891" max="5891" width="1.88671875" customWidth="1"/>
    <col min="5892" max="5892" width="24.33203125" bestFit="1" customWidth="1"/>
    <col min="5893" max="5893" width="12.6640625" bestFit="1" customWidth="1"/>
    <col min="6142" max="6142" width="24.6640625" bestFit="1" customWidth="1"/>
    <col min="6143" max="6143" width="12" bestFit="1" customWidth="1"/>
    <col min="6144" max="6144" width="1.88671875" customWidth="1"/>
    <col min="6145" max="6145" width="37.109375" bestFit="1" customWidth="1"/>
    <col min="6146" max="6146" width="12.6640625" bestFit="1" customWidth="1"/>
    <col min="6147" max="6147" width="1.88671875" customWidth="1"/>
    <col min="6148" max="6148" width="24.33203125" bestFit="1" customWidth="1"/>
    <col min="6149" max="6149" width="12.6640625" bestFit="1" customWidth="1"/>
    <col min="6398" max="6398" width="24.6640625" bestFit="1" customWidth="1"/>
    <col min="6399" max="6399" width="12" bestFit="1" customWidth="1"/>
    <col min="6400" max="6400" width="1.88671875" customWidth="1"/>
    <col min="6401" max="6401" width="37.109375" bestFit="1" customWidth="1"/>
    <col min="6402" max="6402" width="12.6640625" bestFit="1" customWidth="1"/>
    <col min="6403" max="6403" width="1.88671875" customWidth="1"/>
    <col min="6404" max="6404" width="24.33203125" bestFit="1" customWidth="1"/>
    <col min="6405" max="6405" width="12.6640625" bestFit="1" customWidth="1"/>
    <col min="6654" max="6654" width="24.6640625" bestFit="1" customWidth="1"/>
    <col min="6655" max="6655" width="12" bestFit="1" customWidth="1"/>
    <col min="6656" max="6656" width="1.88671875" customWidth="1"/>
    <col min="6657" max="6657" width="37.109375" bestFit="1" customWidth="1"/>
    <col min="6658" max="6658" width="12.6640625" bestFit="1" customWidth="1"/>
    <col min="6659" max="6659" width="1.88671875" customWidth="1"/>
    <col min="6660" max="6660" width="24.33203125" bestFit="1" customWidth="1"/>
    <col min="6661" max="6661" width="12.6640625" bestFit="1" customWidth="1"/>
    <col min="6910" max="6910" width="24.6640625" bestFit="1" customWidth="1"/>
    <col min="6911" max="6911" width="12" bestFit="1" customWidth="1"/>
    <col min="6912" max="6912" width="1.88671875" customWidth="1"/>
    <col min="6913" max="6913" width="37.109375" bestFit="1" customWidth="1"/>
    <col min="6914" max="6914" width="12.6640625" bestFit="1" customWidth="1"/>
    <col min="6915" max="6915" width="1.88671875" customWidth="1"/>
    <col min="6916" max="6916" width="24.33203125" bestFit="1" customWidth="1"/>
    <col min="6917" max="6917" width="12.6640625" bestFit="1" customWidth="1"/>
    <col min="7166" max="7166" width="24.6640625" bestFit="1" customWidth="1"/>
    <col min="7167" max="7167" width="12" bestFit="1" customWidth="1"/>
    <col min="7168" max="7168" width="1.88671875" customWidth="1"/>
    <col min="7169" max="7169" width="37.109375" bestFit="1" customWidth="1"/>
    <col min="7170" max="7170" width="12.6640625" bestFit="1" customWidth="1"/>
    <col min="7171" max="7171" width="1.88671875" customWidth="1"/>
    <col min="7172" max="7172" width="24.33203125" bestFit="1" customWidth="1"/>
    <col min="7173" max="7173" width="12.6640625" bestFit="1" customWidth="1"/>
    <col min="7422" max="7422" width="24.6640625" bestFit="1" customWidth="1"/>
    <col min="7423" max="7423" width="12" bestFit="1" customWidth="1"/>
    <col min="7424" max="7424" width="1.88671875" customWidth="1"/>
    <col min="7425" max="7425" width="37.109375" bestFit="1" customWidth="1"/>
    <col min="7426" max="7426" width="12.6640625" bestFit="1" customWidth="1"/>
    <col min="7427" max="7427" width="1.88671875" customWidth="1"/>
    <col min="7428" max="7428" width="24.33203125" bestFit="1" customWidth="1"/>
    <col min="7429" max="7429" width="12.6640625" bestFit="1" customWidth="1"/>
    <col min="7678" max="7678" width="24.6640625" bestFit="1" customWidth="1"/>
    <col min="7679" max="7679" width="12" bestFit="1" customWidth="1"/>
    <col min="7680" max="7680" width="1.88671875" customWidth="1"/>
    <col min="7681" max="7681" width="37.109375" bestFit="1" customWidth="1"/>
    <col min="7682" max="7682" width="12.6640625" bestFit="1" customWidth="1"/>
    <col min="7683" max="7683" width="1.88671875" customWidth="1"/>
    <col min="7684" max="7684" width="24.33203125" bestFit="1" customWidth="1"/>
    <col min="7685" max="7685" width="12.6640625" bestFit="1" customWidth="1"/>
    <col min="7934" max="7934" width="24.6640625" bestFit="1" customWidth="1"/>
    <col min="7935" max="7935" width="12" bestFit="1" customWidth="1"/>
    <col min="7936" max="7936" width="1.88671875" customWidth="1"/>
    <col min="7937" max="7937" width="37.109375" bestFit="1" customWidth="1"/>
    <col min="7938" max="7938" width="12.6640625" bestFit="1" customWidth="1"/>
    <col min="7939" max="7939" width="1.88671875" customWidth="1"/>
    <col min="7940" max="7940" width="24.33203125" bestFit="1" customWidth="1"/>
    <col min="7941" max="7941" width="12.6640625" bestFit="1" customWidth="1"/>
    <col min="8190" max="8190" width="24.6640625" bestFit="1" customWidth="1"/>
    <col min="8191" max="8191" width="12" bestFit="1" customWidth="1"/>
    <col min="8192" max="8192" width="1.88671875" customWidth="1"/>
    <col min="8193" max="8193" width="37.109375" bestFit="1" customWidth="1"/>
    <col min="8194" max="8194" width="12.6640625" bestFit="1" customWidth="1"/>
    <col min="8195" max="8195" width="1.88671875" customWidth="1"/>
    <col min="8196" max="8196" width="24.33203125" bestFit="1" customWidth="1"/>
    <col min="8197" max="8197" width="12.6640625" bestFit="1" customWidth="1"/>
    <col min="8446" max="8446" width="24.6640625" bestFit="1" customWidth="1"/>
    <col min="8447" max="8447" width="12" bestFit="1" customWidth="1"/>
    <col min="8448" max="8448" width="1.88671875" customWidth="1"/>
    <col min="8449" max="8449" width="37.109375" bestFit="1" customWidth="1"/>
    <col min="8450" max="8450" width="12.6640625" bestFit="1" customWidth="1"/>
    <col min="8451" max="8451" width="1.88671875" customWidth="1"/>
    <col min="8452" max="8452" width="24.33203125" bestFit="1" customWidth="1"/>
    <col min="8453" max="8453" width="12.6640625" bestFit="1" customWidth="1"/>
    <col min="8702" max="8702" width="24.6640625" bestFit="1" customWidth="1"/>
    <col min="8703" max="8703" width="12" bestFit="1" customWidth="1"/>
    <col min="8704" max="8704" width="1.88671875" customWidth="1"/>
    <col min="8705" max="8705" width="37.109375" bestFit="1" customWidth="1"/>
    <col min="8706" max="8706" width="12.6640625" bestFit="1" customWidth="1"/>
    <col min="8707" max="8707" width="1.88671875" customWidth="1"/>
    <col min="8708" max="8708" width="24.33203125" bestFit="1" customWidth="1"/>
    <col min="8709" max="8709" width="12.6640625" bestFit="1" customWidth="1"/>
    <col min="8958" max="8958" width="24.6640625" bestFit="1" customWidth="1"/>
    <col min="8959" max="8959" width="12" bestFit="1" customWidth="1"/>
    <col min="8960" max="8960" width="1.88671875" customWidth="1"/>
    <col min="8961" max="8961" width="37.109375" bestFit="1" customWidth="1"/>
    <col min="8962" max="8962" width="12.6640625" bestFit="1" customWidth="1"/>
    <col min="8963" max="8963" width="1.88671875" customWidth="1"/>
    <col min="8964" max="8964" width="24.33203125" bestFit="1" customWidth="1"/>
    <col min="8965" max="8965" width="12.6640625" bestFit="1" customWidth="1"/>
    <col min="9214" max="9214" width="24.6640625" bestFit="1" customWidth="1"/>
    <col min="9215" max="9215" width="12" bestFit="1" customWidth="1"/>
    <col min="9216" max="9216" width="1.88671875" customWidth="1"/>
    <col min="9217" max="9217" width="37.109375" bestFit="1" customWidth="1"/>
    <col min="9218" max="9218" width="12.6640625" bestFit="1" customWidth="1"/>
    <col min="9219" max="9219" width="1.88671875" customWidth="1"/>
    <col min="9220" max="9220" width="24.33203125" bestFit="1" customWidth="1"/>
    <col min="9221" max="9221" width="12.6640625" bestFit="1" customWidth="1"/>
    <col min="9470" max="9470" width="24.6640625" bestFit="1" customWidth="1"/>
    <col min="9471" max="9471" width="12" bestFit="1" customWidth="1"/>
    <col min="9472" max="9472" width="1.88671875" customWidth="1"/>
    <col min="9473" max="9473" width="37.109375" bestFit="1" customWidth="1"/>
    <col min="9474" max="9474" width="12.6640625" bestFit="1" customWidth="1"/>
    <col min="9475" max="9475" width="1.88671875" customWidth="1"/>
    <col min="9476" max="9476" width="24.33203125" bestFit="1" customWidth="1"/>
    <col min="9477" max="9477" width="12.6640625" bestFit="1" customWidth="1"/>
    <col min="9726" max="9726" width="24.6640625" bestFit="1" customWidth="1"/>
    <col min="9727" max="9727" width="12" bestFit="1" customWidth="1"/>
    <col min="9728" max="9728" width="1.88671875" customWidth="1"/>
    <col min="9729" max="9729" width="37.109375" bestFit="1" customWidth="1"/>
    <col min="9730" max="9730" width="12.6640625" bestFit="1" customWidth="1"/>
    <col min="9731" max="9731" width="1.88671875" customWidth="1"/>
    <col min="9732" max="9732" width="24.33203125" bestFit="1" customWidth="1"/>
    <col min="9733" max="9733" width="12.6640625" bestFit="1" customWidth="1"/>
    <col min="9982" max="9982" width="24.6640625" bestFit="1" customWidth="1"/>
    <col min="9983" max="9983" width="12" bestFit="1" customWidth="1"/>
    <col min="9984" max="9984" width="1.88671875" customWidth="1"/>
    <col min="9985" max="9985" width="37.109375" bestFit="1" customWidth="1"/>
    <col min="9986" max="9986" width="12.6640625" bestFit="1" customWidth="1"/>
    <col min="9987" max="9987" width="1.88671875" customWidth="1"/>
    <col min="9988" max="9988" width="24.33203125" bestFit="1" customWidth="1"/>
    <col min="9989" max="9989" width="12.6640625" bestFit="1" customWidth="1"/>
    <col min="10238" max="10238" width="24.6640625" bestFit="1" customWidth="1"/>
    <col min="10239" max="10239" width="12" bestFit="1" customWidth="1"/>
    <col min="10240" max="10240" width="1.88671875" customWidth="1"/>
    <col min="10241" max="10241" width="37.109375" bestFit="1" customWidth="1"/>
    <col min="10242" max="10242" width="12.6640625" bestFit="1" customWidth="1"/>
    <col min="10243" max="10243" width="1.88671875" customWidth="1"/>
    <col min="10244" max="10244" width="24.33203125" bestFit="1" customWidth="1"/>
    <col min="10245" max="10245" width="12.6640625" bestFit="1" customWidth="1"/>
    <col min="10494" max="10494" width="24.6640625" bestFit="1" customWidth="1"/>
    <col min="10495" max="10495" width="12" bestFit="1" customWidth="1"/>
    <col min="10496" max="10496" width="1.88671875" customWidth="1"/>
    <col min="10497" max="10497" width="37.109375" bestFit="1" customWidth="1"/>
    <col min="10498" max="10498" width="12.6640625" bestFit="1" customWidth="1"/>
    <col min="10499" max="10499" width="1.88671875" customWidth="1"/>
    <col min="10500" max="10500" width="24.33203125" bestFit="1" customWidth="1"/>
    <col min="10501" max="10501" width="12.6640625" bestFit="1" customWidth="1"/>
    <col min="10750" max="10750" width="24.6640625" bestFit="1" customWidth="1"/>
    <col min="10751" max="10751" width="12" bestFit="1" customWidth="1"/>
    <col min="10752" max="10752" width="1.88671875" customWidth="1"/>
    <col min="10753" max="10753" width="37.109375" bestFit="1" customWidth="1"/>
    <col min="10754" max="10754" width="12.6640625" bestFit="1" customWidth="1"/>
    <col min="10755" max="10755" width="1.88671875" customWidth="1"/>
    <col min="10756" max="10756" width="24.33203125" bestFit="1" customWidth="1"/>
    <col min="10757" max="10757" width="12.6640625" bestFit="1" customWidth="1"/>
    <col min="11006" max="11006" width="24.6640625" bestFit="1" customWidth="1"/>
    <col min="11007" max="11007" width="12" bestFit="1" customWidth="1"/>
    <col min="11008" max="11008" width="1.88671875" customWidth="1"/>
    <col min="11009" max="11009" width="37.109375" bestFit="1" customWidth="1"/>
    <col min="11010" max="11010" width="12.6640625" bestFit="1" customWidth="1"/>
    <col min="11011" max="11011" width="1.88671875" customWidth="1"/>
    <col min="11012" max="11012" width="24.33203125" bestFit="1" customWidth="1"/>
    <col min="11013" max="11013" width="12.6640625" bestFit="1" customWidth="1"/>
    <col min="11262" max="11262" width="24.6640625" bestFit="1" customWidth="1"/>
    <col min="11263" max="11263" width="12" bestFit="1" customWidth="1"/>
    <col min="11264" max="11264" width="1.88671875" customWidth="1"/>
    <col min="11265" max="11265" width="37.109375" bestFit="1" customWidth="1"/>
    <col min="11266" max="11266" width="12.6640625" bestFit="1" customWidth="1"/>
    <col min="11267" max="11267" width="1.88671875" customWidth="1"/>
    <col min="11268" max="11268" width="24.33203125" bestFit="1" customWidth="1"/>
    <col min="11269" max="11269" width="12.6640625" bestFit="1" customWidth="1"/>
    <col min="11518" max="11518" width="24.6640625" bestFit="1" customWidth="1"/>
    <col min="11519" max="11519" width="12" bestFit="1" customWidth="1"/>
    <col min="11520" max="11520" width="1.88671875" customWidth="1"/>
    <col min="11521" max="11521" width="37.109375" bestFit="1" customWidth="1"/>
    <col min="11522" max="11522" width="12.6640625" bestFit="1" customWidth="1"/>
    <col min="11523" max="11523" width="1.88671875" customWidth="1"/>
    <col min="11524" max="11524" width="24.33203125" bestFit="1" customWidth="1"/>
    <col min="11525" max="11525" width="12.6640625" bestFit="1" customWidth="1"/>
    <col min="11774" max="11774" width="24.6640625" bestFit="1" customWidth="1"/>
    <col min="11775" max="11775" width="12" bestFit="1" customWidth="1"/>
    <col min="11776" max="11776" width="1.88671875" customWidth="1"/>
    <col min="11777" max="11777" width="37.109375" bestFit="1" customWidth="1"/>
    <col min="11778" max="11778" width="12.6640625" bestFit="1" customWidth="1"/>
    <col min="11779" max="11779" width="1.88671875" customWidth="1"/>
    <col min="11780" max="11780" width="24.33203125" bestFit="1" customWidth="1"/>
    <col min="11781" max="11781" width="12.6640625" bestFit="1" customWidth="1"/>
    <col min="12030" max="12030" width="24.6640625" bestFit="1" customWidth="1"/>
    <col min="12031" max="12031" width="12" bestFit="1" customWidth="1"/>
    <col min="12032" max="12032" width="1.88671875" customWidth="1"/>
    <col min="12033" max="12033" width="37.109375" bestFit="1" customWidth="1"/>
    <col min="12034" max="12034" width="12.6640625" bestFit="1" customWidth="1"/>
    <col min="12035" max="12035" width="1.88671875" customWidth="1"/>
    <col min="12036" max="12036" width="24.33203125" bestFit="1" customWidth="1"/>
    <col min="12037" max="12037" width="12.6640625" bestFit="1" customWidth="1"/>
    <col min="12286" max="12286" width="24.6640625" bestFit="1" customWidth="1"/>
    <col min="12287" max="12287" width="12" bestFit="1" customWidth="1"/>
    <col min="12288" max="12288" width="1.88671875" customWidth="1"/>
    <col min="12289" max="12289" width="37.109375" bestFit="1" customWidth="1"/>
    <col min="12290" max="12290" width="12.6640625" bestFit="1" customWidth="1"/>
    <col min="12291" max="12291" width="1.88671875" customWidth="1"/>
    <col min="12292" max="12292" width="24.33203125" bestFit="1" customWidth="1"/>
    <col min="12293" max="12293" width="12.6640625" bestFit="1" customWidth="1"/>
    <col min="12542" max="12542" width="24.6640625" bestFit="1" customWidth="1"/>
    <col min="12543" max="12543" width="12" bestFit="1" customWidth="1"/>
    <col min="12544" max="12544" width="1.88671875" customWidth="1"/>
    <col min="12545" max="12545" width="37.109375" bestFit="1" customWidth="1"/>
    <col min="12546" max="12546" width="12.6640625" bestFit="1" customWidth="1"/>
    <col min="12547" max="12547" width="1.88671875" customWidth="1"/>
    <col min="12548" max="12548" width="24.33203125" bestFit="1" customWidth="1"/>
    <col min="12549" max="12549" width="12.6640625" bestFit="1" customWidth="1"/>
    <col min="12798" max="12798" width="24.6640625" bestFit="1" customWidth="1"/>
    <col min="12799" max="12799" width="12" bestFit="1" customWidth="1"/>
    <col min="12800" max="12800" width="1.88671875" customWidth="1"/>
    <col min="12801" max="12801" width="37.109375" bestFit="1" customWidth="1"/>
    <col min="12802" max="12802" width="12.6640625" bestFit="1" customWidth="1"/>
    <col min="12803" max="12803" width="1.88671875" customWidth="1"/>
    <col min="12804" max="12804" width="24.33203125" bestFit="1" customWidth="1"/>
    <col min="12805" max="12805" width="12.6640625" bestFit="1" customWidth="1"/>
    <col min="13054" max="13054" width="24.6640625" bestFit="1" customWidth="1"/>
    <col min="13055" max="13055" width="12" bestFit="1" customWidth="1"/>
    <col min="13056" max="13056" width="1.88671875" customWidth="1"/>
    <col min="13057" max="13057" width="37.109375" bestFit="1" customWidth="1"/>
    <col min="13058" max="13058" width="12.6640625" bestFit="1" customWidth="1"/>
    <col min="13059" max="13059" width="1.88671875" customWidth="1"/>
    <col min="13060" max="13060" width="24.33203125" bestFit="1" customWidth="1"/>
    <col min="13061" max="13061" width="12.6640625" bestFit="1" customWidth="1"/>
    <col min="13310" max="13310" width="24.6640625" bestFit="1" customWidth="1"/>
    <col min="13311" max="13311" width="12" bestFit="1" customWidth="1"/>
    <col min="13312" max="13312" width="1.88671875" customWidth="1"/>
    <col min="13313" max="13313" width="37.109375" bestFit="1" customWidth="1"/>
    <col min="13314" max="13314" width="12.6640625" bestFit="1" customWidth="1"/>
    <col min="13315" max="13315" width="1.88671875" customWidth="1"/>
    <col min="13316" max="13316" width="24.33203125" bestFit="1" customWidth="1"/>
    <col min="13317" max="13317" width="12.6640625" bestFit="1" customWidth="1"/>
    <col min="13566" max="13566" width="24.6640625" bestFit="1" customWidth="1"/>
    <col min="13567" max="13567" width="12" bestFit="1" customWidth="1"/>
    <col min="13568" max="13568" width="1.88671875" customWidth="1"/>
    <col min="13569" max="13569" width="37.109375" bestFit="1" customWidth="1"/>
    <col min="13570" max="13570" width="12.6640625" bestFit="1" customWidth="1"/>
    <col min="13571" max="13571" width="1.88671875" customWidth="1"/>
    <col min="13572" max="13572" width="24.33203125" bestFit="1" customWidth="1"/>
    <col min="13573" max="13573" width="12.6640625" bestFit="1" customWidth="1"/>
    <col min="13822" max="13822" width="24.6640625" bestFit="1" customWidth="1"/>
    <col min="13823" max="13823" width="12" bestFit="1" customWidth="1"/>
    <col min="13824" max="13824" width="1.88671875" customWidth="1"/>
    <col min="13825" max="13825" width="37.109375" bestFit="1" customWidth="1"/>
    <col min="13826" max="13826" width="12.6640625" bestFit="1" customWidth="1"/>
    <col min="13827" max="13827" width="1.88671875" customWidth="1"/>
    <col min="13828" max="13828" width="24.33203125" bestFit="1" customWidth="1"/>
    <col min="13829" max="13829" width="12.6640625" bestFit="1" customWidth="1"/>
    <col min="14078" max="14078" width="24.6640625" bestFit="1" customWidth="1"/>
    <col min="14079" max="14079" width="12" bestFit="1" customWidth="1"/>
    <col min="14080" max="14080" width="1.88671875" customWidth="1"/>
    <col min="14081" max="14081" width="37.109375" bestFit="1" customWidth="1"/>
    <col min="14082" max="14082" width="12.6640625" bestFit="1" customWidth="1"/>
    <col min="14083" max="14083" width="1.88671875" customWidth="1"/>
    <col min="14084" max="14084" width="24.33203125" bestFit="1" customWidth="1"/>
    <col min="14085" max="14085" width="12.6640625" bestFit="1" customWidth="1"/>
    <col min="14334" max="14334" width="24.6640625" bestFit="1" customWidth="1"/>
    <col min="14335" max="14335" width="12" bestFit="1" customWidth="1"/>
    <col min="14336" max="14336" width="1.88671875" customWidth="1"/>
    <col min="14337" max="14337" width="37.109375" bestFit="1" customWidth="1"/>
    <col min="14338" max="14338" width="12.6640625" bestFit="1" customWidth="1"/>
    <col min="14339" max="14339" width="1.88671875" customWidth="1"/>
    <col min="14340" max="14340" width="24.33203125" bestFit="1" customWidth="1"/>
    <col min="14341" max="14341" width="12.6640625" bestFit="1" customWidth="1"/>
    <col min="14590" max="14590" width="24.6640625" bestFit="1" customWidth="1"/>
    <col min="14591" max="14591" width="12" bestFit="1" customWidth="1"/>
    <col min="14592" max="14592" width="1.88671875" customWidth="1"/>
    <col min="14593" max="14593" width="37.109375" bestFit="1" customWidth="1"/>
    <col min="14594" max="14594" width="12.6640625" bestFit="1" customWidth="1"/>
    <col min="14595" max="14595" width="1.88671875" customWidth="1"/>
    <col min="14596" max="14596" width="24.33203125" bestFit="1" customWidth="1"/>
    <col min="14597" max="14597" width="12.6640625" bestFit="1" customWidth="1"/>
    <col min="14846" max="14846" width="24.6640625" bestFit="1" customWidth="1"/>
    <col min="14847" max="14847" width="12" bestFit="1" customWidth="1"/>
    <col min="14848" max="14848" width="1.88671875" customWidth="1"/>
    <col min="14849" max="14849" width="37.109375" bestFit="1" customWidth="1"/>
    <col min="14850" max="14850" width="12.6640625" bestFit="1" customWidth="1"/>
    <col min="14851" max="14851" width="1.88671875" customWidth="1"/>
    <col min="14852" max="14852" width="24.33203125" bestFit="1" customWidth="1"/>
    <col min="14853" max="14853" width="12.6640625" bestFit="1" customWidth="1"/>
    <col min="15102" max="15102" width="24.6640625" bestFit="1" customWidth="1"/>
    <col min="15103" max="15103" width="12" bestFit="1" customWidth="1"/>
    <col min="15104" max="15104" width="1.88671875" customWidth="1"/>
    <col min="15105" max="15105" width="37.109375" bestFit="1" customWidth="1"/>
    <col min="15106" max="15106" width="12.6640625" bestFit="1" customWidth="1"/>
    <col min="15107" max="15107" width="1.88671875" customWidth="1"/>
    <col min="15108" max="15108" width="24.33203125" bestFit="1" customWidth="1"/>
    <col min="15109" max="15109" width="12.6640625" bestFit="1" customWidth="1"/>
    <col min="15358" max="15358" width="24.6640625" bestFit="1" customWidth="1"/>
    <col min="15359" max="15359" width="12" bestFit="1" customWidth="1"/>
    <col min="15360" max="15360" width="1.88671875" customWidth="1"/>
    <col min="15361" max="15361" width="37.109375" bestFit="1" customWidth="1"/>
    <col min="15362" max="15362" width="12.6640625" bestFit="1" customWidth="1"/>
    <col min="15363" max="15363" width="1.88671875" customWidth="1"/>
    <col min="15364" max="15364" width="24.33203125" bestFit="1" customWidth="1"/>
    <col min="15365" max="15365" width="12.6640625" bestFit="1" customWidth="1"/>
    <col min="15614" max="15614" width="24.6640625" bestFit="1" customWidth="1"/>
    <col min="15615" max="15615" width="12" bestFit="1" customWidth="1"/>
    <col min="15616" max="15616" width="1.88671875" customWidth="1"/>
    <col min="15617" max="15617" width="37.109375" bestFit="1" customWidth="1"/>
    <col min="15618" max="15618" width="12.6640625" bestFit="1" customWidth="1"/>
    <col min="15619" max="15619" width="1.88671875" customWidth="1"/>
    <col min="15620" max="15620" width="24.33203125" bestFit="1" customWidth="1"/>
    <col min="15621" max="15621" width="12.6640625" bestFit="1" customWidth="1"/>
    <col min="15870" max="15870" width="24.6640625" bestFit="1" customWidth="1"/>
    <col min="15871" max="15871" width="12" bestFit="1" customWidth="1"/>
    <col min="15872" max="15872" width="1.88671875" customWidth="1"/>
    <col min="15873" max="15873" width="37.109375" bestFit="1" customWidth="1"/>
    <col min="15874" max="15874" width="12.6640625" bestFit="1" customWidth="1"/>
    <col min="15875" max="15875" width="1.88671875" customWidth="1"/>
    <col min="15876" max="15876" width="24.33203125" bestFit="1" customWidth="1"/>
    <col min="15877" max="15877" width="12.6640625" bestFit="1" customWidth="1"/>
    <col min="16126" max="16126" width="24.6640625" bestFit="1" customWidth="1"/>
    <col min="16127" max="16127" width="12" bestFit="1" customWidth="1"/>
    <col min="16128" max="16128" width="1.88671875" customWidth="1"/>
    <col min="16129" max="16129" width="37.109375" bestFit="1" customWidth="1"/>
    <col min="16130" max="16130" width="12.6640625" bestFit="1" customWidth="1"/>
    <col min="16131" max="16131" width="1.88671875" customWidth="1"/>
    <col min="16132" max="16132" width="24.33203125" bestFit="1" customWidth="1"/>
    <col min="16133" max="16133" width="12.6640625" bestFit="1" customWidth="1"/>
  </cols>
  <sheetData>
    <row r="1" spans="1:6" ht="25.8" x14ac:dyDescent="0.5">
      <c r="A1" s="70" t="s">
        <v>147</v>
      </c>
    </row>
    <row r="2" spans="1:6" ht="28.8" x14ac:dyDescent="0.3">
      <c r="A2" s="23" t="s">
        <v>73</v>
      </c>
      <c r="B2" s="8">
        <v>55.1</v>
      </c>
      <c r="D2" s="2" t="s">
        <v>74</v>
      </c>
      <c r="E2" s="8">
        <v>38.79</v>
      </c>
    </row>
    <row r="3" spans="1:6" ht="28.8" x14ac:dyDescent="0.3">
      <c r="A3" s="23" t="s">
        <v>75</v>
      </c>
      <c r="B3" s="8">
        <v>76.63</v>
      </c>
      <c r="D3" s="2" t="s">
        <v>76</v>
      </c>
      <c r="E3" s="8">
        <v>26.95</v>
      </c>
    </row>
    <row r="4" spans="1:6" x14ac:dyDescent="0.3">
      <c r="A4" s="23" t="s">
        <v>77</v>
      </c>
      <c r="B4" s="8">
        <v>1.28</v>
      </c>
      <c r="D4" s="2" t="s">
        <v>77</v>
      </c>
      <c r="E4" s="8">
        <v>0.88</v>
      </c>
    </row>
    <row r="5" spans="1:6" x14ac:dyDescent="0.3">
      <c r="A5" s="23" t="s">
        <v>78</v>
      </c>
      <c r="B5" s="7"/>
      <c r="D5" s="2" t="s">
        <v>78</v>
      </c>
      <c r="E5" s="7"/>
    </row>
    <row r="6" spans="1:6" x14ac:dyDescent="0.3">
      <c r="A6" s="23" t="s">
        <v>79</v>
      </c>
      <c r="B6" s="7"/>
      <c r="D6" s="2" t="s">
        <v>79</v>
      </c>
      <c r="E6" s="7"/>
    </row>
    <row r="7" spans="1:6" x14ac:dyDescent="0.3">
      <c r="A7" s="23" t="s">
        <v>80</v>
      </c>
      <c r="B7" s="7"/>
      <c r="D7" s="2" t="s">
        <v>80</v>
      </c>
      <c r="E7" s="7"/>
    </row>
    <row r="8" spans="1:6" x14ac:dyDescent="0.3">
      <c r="A8" s="23" t="s">
        <v>80</v>
      </c>
      <c r="B8" s="7"/>
      <c r="D8" s="2" t="s">
        <v>80</v>
      </c>
      <c r="E8" s="7"/>
    </row>
    <row r="10" spans="1:6" x14ac:dyDescent="0.3">
      <c r="A10" t="s">
        <v>172</v>
      </c>
    </row>
    <row r="11" spans="1:6" x14ac:dyDescent="0.3">
      <c r="F11">
        <f>SQRT(400-20-19)</f>
        <v>19</v>
      </c>
    </row>
    <row r="12" spans="1:6" x14ac:dyDescent="0.3">
      <c r="A12" t="s">
        <v>173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12"/>
  <sheetViews>
    <sheetView zoomScale="115" zoomScaleNormal="115" workbookViewId="0">
      <selection activeCell="E8" sqref="E8"/>
    </sheetView>
  </sheetViews>
  <sheetFormatPr defaultColWidth="24.5546875" defaultRowHeight="14.4" x14ac:dyDescent="0.3"/>
  <cols>
    <col min="1" max="1" width="24.6640625" bestFit="1" customWidth="1"/>
    <col min="2" max="2" width="12" bestFit="1" customWidth="1"/>
    <col min="3" max="3" width="1.88671875" customWidth="1"/>
    <col min="4" max="4" width="23.44140625" customWidth="1"/>
    <col min="5" max="5" width="12.6640625" bestFit="1" customWidth="1"/>
    <col min="254" max="254" width="24.6640625" bestFit="1" customWidth="1"/>
    <col min="255" max="255" width="12" bestFit="1" customWidth="1"/>
    <col min="256" max="256" width="1.88671875" customWidth="1"/>
    <col min="257" max="257" width="37.109375" bestFit="1" customWidth="1"/>
    <col min="258" max="258" width="12.6640625" bestFit="1" customWidth="1"/>
    <col min="259" max="259" width="1.88671875" customWidth="1"/>
    <col min="260" max="260" width="24.33203125" bestFit="1" customWidth="1"/>
    <col min="261" max="261" width="12.6640625" bestFit="1" customWidth="1"/>
    <col min="510" max="510" width="24.6640625" bestFit="1" customWidth="1"/>
    <col min="511" max="511" width="12" bestFit="1" customWidth="1"/>
    <col min="512" max="512" width="1.88671875" customWidth="1"/>
    <col min="513" max="513" width="37.109375" bestFit="1" customWidth="1"/>
    <col min="514" max="514" width="12.6640625" bestFit="1" customWidth="1"/>
    <col min="515" max="515" width="1.88671875" customWidth="1"/>
    <col min="516" max="516" width="24.33203125" bestFit="1" customWidth="1"/>
    <col min="517" max="517" width="12.6640625" bestFit="1" customWidth="1"/>
    <col min="766" max="766" width="24.6640625" bestFit="1" customWidth="1"/>
    <col min="767" max="767" width="12" bestFit="1" customWidth="1"/>
    <col min="768" max="768" width="1.88671875" customWidth="1"/>
    <col min="769" max="769" width="37.109375" bestFit="1" customWidth="1"/>
    <col min="770" max="770" width="12.6640625" bestFit="1" customWidth="1"/>
    <col min="771" max="771" width="1.88671875" customWidth="1"/>
    <col min="772" max="772" width="24.33203125" bestFit="1" customWidth="1"/>
    <col min="773" max="773" width="12.6640625" bestFit="1" customWidth="1"/>
    <col min="1022" max="1022" width="24.6640625" bestFit="1" customWidth="1"/>
    <col min="1023" max="1023" width="12" bestFit="1" customWidth="1"/>
    <col min="1024" max="1024" width="1.88671875" customWidth="1"/>
    <col min="1025" max="1025" width="37.109375" bestFit="1" customWidth="1"/>
    <col min="1026" max="1026" width="12.6640625" bestFit="1" customWidth="1"/>
    <col min="1027" max="1027" width="1.88671875" customWidth="1"/>
    <col min="1028" max="1028" width="24.33203125" bestFit="1" customWidth="1"/>
    <col min="1029" max="1029" width="12.6640625" bestFit="1" customWidth="1"/>
    <col min="1278" max="1278" width="24.6640625" bestFit="1" customWidth="1"/>
    <col min="1279" max="1279" width="12" bestFit="1" customWidth="1"/>
    <col min="1280" max="1280" width="1.88671875" customWidth="1"/>
    <col min="1281" max="1281" width="37.109375" bestFit="1" customWidth="1"/>
    <col min="1282" max="1282" width="12.6640625" bestFit="1" customWidth="1"/>
    <col min="1283" max="1283" width="1.88671875" customWidth="1"/>
    <col min="1284" max="1284" width="24.33203125" bestFit="1" customWidth="1"/>
    <col min="1285" max="1285" width="12.6640625" bestFit="1" customWidth="1"/>
    <col min="1534" max="1534" width="24.6640625" bestFit="1" customWidth="1"/>
    <col min="1535" max="1535" width="12" bestFit="1" customWidth="1"/>
    <col min="1536" max="1536" width="1.88671875" customWidth="1"/>
    <col min="1537" max="1537" width="37.109375" bestFit="1" customWidth="1"/>
    <col min="1538" max="1538" width="12.6640625" bestFit="1" customWidth="1"/>
    <col min="1539" max="1539" width="1.88671875" customWidth="1"/>
    <col min="1540" max="1540" width="24.33203125" bestFit="1" customWidth="1"/>
    <col min="1541" max="1541" width="12.6640625" bestFit="1" customWidth="1"/>
    <col min="1790" max="1790" width="24.6640625" bestFit="1" customWidth="1"/>
    <col min="1791" max="1791" width="12" bestFit="1" customWidth="1"/>
    <col min="1792" max="1792" width="1.88671875" customWidth="1"/>
    <col min="1793" max="1793" width="37.109375" bestFit="1" customWidth="1"/>
    <col min="1794" max="1794" width="12.6640625" bestFit="1" customWidth="1"/>
    <col min="1795" max="1795" width="1.88671875" customWidth="1"/>
    <col min="1796" max="1796" width="24.33203125" bestFit="1" customWidth="1"/>
    <col min="1797" max="1797" width="12.6640625" bestFit="1" customWidth="1"/>
    <col min="2046" max="2046" width="24.6640625" bestFit="1" customWidth="1"/>
    <col min="2047" max="2047" width="12" bestFit="1" customWidth="1"/>
    <col min="2048" max="2048" width="1.88671875" customWidth="1"/>
    <col min="2049" max="2049" width="37.109375" bestFit="1" customWidth="1"/>
    <col min="2050" max="2050" width="12.6640625" bestFit="1" customWidth="1"/>
    <col min="2051" max="2051" width="1.88671875" customWidth="1"/>
    <col min="2052" max="2052" width="24.33203125" bestFit="1" customWidth="1"/>
    <col min="2053" max="2053" width="12.6640625" bestFit="1" customWidth="1"/>
    <col min="2302" max="2302" width="24.6640625" bestFit="1" customWidth="1"/>
    <col min="2303" max="2303" width="12" bestFit="1" customWidth="1"/>
    <col min="2304" max="2304" width="1.88671875" customWidth="1"/>
    <col min="2305" max="2305" width="37.109375" bestFit="1" customWidth="1"/>
    <col min="2306" max="2306" width="12.6640625" bestFit="1" customWidth="1"/>
    <col min="2307" max="2307" width="1.88671875" customWidth="1"/>
    <col min="2308" max="2308" width="24.33203125" bestFit="1" customWidth="1"/>
    <col min="2309" max="2309" width="12.6640625" bestFit="1" customWidth="1"/>
    <col min="2558" max="2558" width="24.6640625" bestFit="1" customWidth="1"/>
    <col min="2559" max="2559" width="12" bestFit="1" customWidth="1"/>
    <col min="2560" max="2560" width="1.88671875" customWidth="1"/>
    <col min="2561" max="2561" width="37.109375" bestFit="1" customWidth="1"/>
    <col min="2562" max="2562" width="12.6640625" bestFit="1" customWidth="1"/>
    <col min="2563" max="2563" width="1.88671875" customWidth="1"/>
    <col min="2564" max="2564" width="24.33203125" bestFit="1" customWidth="1"/>
    <col min="2565" max="2565" width="12.6640625" bestFit="1" customWidth="1"/>
    <col min="2814" max="2814" width="24.6640625" bestFit="1" customWidth="1"/>
    <col min="2815" max="2815" width="12" bestFit="1" customWidth="1"/>
    <col min="2816" max="2816" width="1.88671875" customWidth="1"/>
    <col min="2817" max="2817" width="37.109375" bestFit="1" customWidth="1"/>
    <col min="2818" max="2818" width="12.6640625" bestFit="1" customWidth="1"/>
    <col min="2819" max="2819" width="1.88671875" customWidth="1"/>
    <col min="2820" max="2820" width="24.33203125" bestFit="1" customWidth="1"/>
    <col min="2821" max="2821" width="12.6640625" bestFit="1" customWidth="1"/>
    <col min="3070" max="3070" width="24.6640625" bestFit="1" customWidth="1"/>
    <col min="3071" max="3071" width="12" bestFit="1" customWidth="1"/>
    <col min="3072" max="3072" width="1.88671875" customWidth="1"/>
    <col min="3073" max="3073" width="37.109375" bestFit="1" customWidth="1"/>
    <col min="3074" max="3074" width="12.6640625" bestFit="1" customWidth="1"/>
    <col min="3075" max="3075" width="1.88671875" customWidth="1"/>
    <col min="3076" max="3076" width="24.33203125" bestFit="1" customWidth="1"/>
    <col min="3077" max="3077" width="12.6640625" bestFit="1" customWidth="1"/>
    <col min="3326" max="3326" width="24.6640625" bestFit="1" customWidth="1"/>
    <col min="3327" max="3327" width="12" bestFit="1" customWidth="1"/>
    <col min="3328" max="3328" width="1.88671875" customWidth="1"/>
    <col min="3329" max="3329" width="37.109375" bestFit="1" customWidth="1"/>
    <col min="3330" max="3330" width="12.6640625" bestFit="1" customWidth="1"/>
    <col min="3331" max="3331" width="1.88671875" customWidth="1"/>
    <col min="3332" max="3332" width="24.33203125" bestFit="1" customWidth="1"/>
    <col min="3333" max="3333" width="12.6640625" bestFit="1" customWidth="1"/>
    <col min="3582" max="3582" width="24.6640625" bestFit="1" customWidth="1"/>
    <col min="3583" max="3583" width="12" bestFit="1" customWidth="1"/>
    <col min="3584" max="3584" width="1.88671875" customWidth="1"/>
    <col min="3585" max="3585" width="37.109375" bestFit="1" customWidth="1"/>
    <col min="3586" max="3586" width="12.6640625" bestFit="1" customWidth="1"/>
    <col min="3587" max="3587" width="1.88671875" customWidth="1"/>
    <col min="3588" max="3588" width="24.33203125" bestFit="1" customWidth="1"/>
    <col min="3589" max="3589" width="12.6640625" bestFit="1" customWidth="1"/>
    <col min="3838" max="3838" width="24.6640625" bestFit="1" customWidth="1"/>
    <col min="3839" max="3839" width="12" bestFit="1" customWidth="1"/>
    <col min="3840" max="3840" width="1.88671875" customWidth="1"/>
    <col min="3841" max="3841" width="37.109375" bestFit="1" customWidth="1"/>
    <col min="3842" max="3842" width="12.6640625" bestFit="1" customWidth="1"/>
    <col min="3843" max="3843" width="1.88671875" customWidth="1"/>
    <col min="3844" max="3844" width="24.33203125" bestFit="1" customWidth="1"/>
    <col min="3845" max="3845" width="12.6640625" bestFit="1" customWidth="1"/>
    <col min="4094" max="4094" width="24.6640625" bestFit="1" customWidth="1"/>
    <col min="4095" max="4095" width="12" bestFit="1" customWidth="1"/>
    <col min="4096" max="4096" width="1.88671875" customWidth="1"/>
    <col min="4097" max="4097" width="37.109375" bestFit="1" customWidth="1"/>
    <col min="4098" max="4098" width="12.6640625" bestFit="1" customWidth="1"/>
    <col min="4099" max="4099" width="1.88671875" customWidth="1"/>
    <col min="4100" max="4100" width="24.33203125" bestFit="1" customWidth="1"/>
    <col min="4101" max="4101" width="12.6640625" bestFit="1" customWidth="1"/>
    <col min="4350" max="4350" width="24.6640625" bestFit="1" customWidth="1"/>
    <col min="4351" max="4351" width="12" bestFit="1" customWidth="1"/>
    <col min="4352" max="4352" width="1.88671875" customWidth="1"/>
    <col min="4353" max="4353" width="37.109375" bestFit="1" customWidth="1"/>
    <col min="4354" max="4354" width="12.6640625" bestFit="1" customWidth="1"/>
    <col min="4355" max="4355" width="1.88671875" customWidth="1"/>
    <col min="4356" max="4356" width="24.33203125" bestFit="1" customWidth="1"/>
    <col min="4357" max="4357" width="12.6640625" bestFit="1" customWidth="1"/>
    <col min="4606" max="4606" width="24.6640625" bestFit="1" customWidth="1"/>
    <col min="4607" max="4607" width="12" bestFit="1" customWidth="1"/>
    <col min="4608" max="4608" width="1.88671875" customWidth="1"/>
    <col min="4609" max="4609" width="37.109375" bestFit="1" customWidth="1"/>
    <col min="4610" max="4610" width="12.6640625" bestFit="1" customWidth="1"/>
    <col min="4611" max="4611" width="1.88671875" customWidth="1"/>
    <col min="4612" max="4612" width="24.33203125" bestFit="1" customWidth="1"/>
    <col min="4613" max="4613" width="12.6640625" bestFit="1" customWidth="1"/>
    <col min="4862" max="4862" width="24.6640625" bestFit="1" customWidth="1"/>
    <col min="4863" max="4863" width="12" bestFit="1" customWidth="1"/>
    <col min="4864" max="4864" width="1.88671875" customWidth="1"/>
    <col min="4865" max="4865" width="37.109375" bestFit="1" customWidth="1"/>
    <col min="4866" max="4866" width="12.6640625" bestFit="1" customWidth="1"/>
    <col min="4867" max="4867" width="1.88671875" customWidth="1"/>
    <col min="4868" max="4868" width="24.33203125" bestFit="1" customWidth="1"/>
    <col min="4869" max="4869" width="12.6640625" bestFit="1" customWidth="1"/>
    <col min="5118" max="5118" width="24.6640625" bestFit="1" customWidth="1"/>
    <col min="5119" max="5119" width="12" bestFit="1" customWidth="1"/>
    <col min="5120" max="5120" width="1.88671875" customWidth="1"/>
    <col min="5121" max="5121" width="37.109375" bestFit="1" customWidth="1"/>
    <col min="5122" max="5122" width="12.6640625" bestFit="1" customWidth="1"/>
    <col min="5123" max="5123" width="1.88671875" customWidth="1"/>
    <col min="5124" max="5124" width="24.33203125" bestFit="1" customWidth="1"/>
    <col min="5125" max="5125" width="12.6640625" bestFit="1" customWidth="1"/>
    <col min="5374" max="5374" width="24.6640625" bestFit="1" customWidth="1"/>
    <col min="5375" max="5375" width="12" bestFit="1" customWidth="1"/>
    <col min="5376" max="5376" width="1.88671875" customWidth="1"/>
    <col min="5377" max="5377" width="37.109375" bestFit="1" customWidth="1"/>
    <col min="5378" max="5378" width="12.6640625" bestFit="1" customWidth="1"/>
    <col min="5379" max="5379" width="1.88671875" customWidth="1"/>
    <col min="5380" max="5380" width="24.33203125" bestFit="1" customWidth="1"/>
    <col min="5381" max="5381" width="12.6640625" bestFit="1" customWidth="1"/>
    <col min="5630" max="5630" width="24.6640625" bestFit="1" customWidth="1"/>
    <col min="5631" max="5631" width="12" bestFit="1" customWidth="1"/>
    <col min="5632" max="5632" width="1.88671875" customWidth="1"/>
    <col min="5633" max="5633" width="37.109375" bestFit="1" customWidth="1"/>
    <col min="5634" max="5634" width="12.6640625" bestFit="1" customWidth="1"/>
    <col min="5635" max="5635" width="1.88671875" customWidth="1"/>
    <col min="5636" max="5636" width="24.33203125" bestFit="1" customWidth="1"/>
    <col min="5637" max="5637" width="12.6640625" bestFit="1" customWidth="1"/>
    <col min="5886" max="5886" width="24.6640625" bestFit="1" customWidth="1"/>
    <col min="5887" max="5887" width="12" bestFit="1" customWidth="1"/>
    <col min="5888" max="5888" width="1.88671875" customWidth="1"/>
    <col min="5889" max="5889" width="37.109375" bestFit="1" customWidth="1"/>
    <col min="5890" max="5890" width="12.6640625" bestFit="1" customWidth="1"/>
    <col min="5891" max="5891" width="1.88671875" customWidth="1"/>
    <col min="5892" max="5892" width="24.33203125" bestFit="1" customWidth="1"/>
    <col min="5893" max="5893" width="12.6640625" bestFit="1" customWidth="1"/>
    <col min="6142" max="6142" width="24.6640625" bestFit="1" customWidth="1"/>
    <col min="6143" max="6143" width="12" bestFit="1" customWidth="1"/>
    <col min="6144" max="6144" width="1.88671875" customWidth="1"/>
    <col min="6145" max="6145" width="37.109375" bestFit="1" customWidth="1"/>
    <col min="6146" max="6146" width="12.6640625" bestFit="1" customWidth="1"/>
    <col min="6147" max="6147" width="1.88671875" customWidth="1"/>
    <col min="6148" max="6148" width="24.33203125" bestFit="1" customWidth="1"/>
    <col min="6149" max="6149" width="12.6640625" bestFit="1" customWidth="1"/>
    <col min="6398" max="6398" width="24.6640625" bestFit="1" customWidth="1"/>
    <col min="6399" max="6399" width="12" bestFit="1" customWidth="1"/>
    <col min="6400" max="6400" width="1.88671875" customWidth="1"/>
    <col min="6401" max="6401" width="37.109375" bestFit="1" customWidth="1"/>
    <col min="6402" max="6402" width="12.6640625" bestFit="1" customWidth="1"/>
    <col min="6403" max="6403" width="1.88671875" customWidth="1"/>
    <col min="6404" max="6404" width="24.33203125" bestFit="1" customWidth="1"/>
    <col min="6405" max="6405" width="12.6640625" bestFit="1" customWidth="1"/>
    <col min="6654" max="6654" width="24.6640625" bestFit="1" customWidth="1"/>
    <col min="6655" max="6655" width="12" bestFit="1" customWidth="1"/>
    <col min="6656" max="6656" width="1.88671875" customWidth="1"/>
    <col min="6657" max="6657" width="37.109375" bestFit="1" customWidth="1"/>
    <col min="6658" max="6658" width="12.6640625" bestFit="1" customWidth="1"/>
    <col min="6659" max="6659" width="1.88671875" customWidth="1"/>
    <col min="6660" max="6660" width="24.33203125" bestFit="1" customWidth="1"/>
    <col min="6661" max="6661" width="12.6640625" bestFit="1" customWidth="1"/>
    <col min="6910" max="6910" width="24.6640625" bestFit="1" customWidth="1"/>
    <col min="6911" max="6911" width="12" bestFit="1" customWidth="1"/>
    <col min="6912" max="6912" width="1.88671875" customWidth="1"/>
    <col min="6913" max="6913" width="37.109375" bestFit="1" customWidth="1"/>
    <col min="6914" max="6914" width="12.6640625" bestFit="1" customWidth="1"/>
    <col min="6915" max="6915" width="1.88671875" customWidth="1"/>
    <col min="6916" max="6916" width="24.33203125" bestFit="1" customWidth="1"/>
    <col min="6917" max="6917" width="12.6640625" bestFit="1" customWidth="1"/>
    <col min="7166" max="7166" width="24.6640625" bestFit="1" customWidth="1"/>
    <col min="7167" max="7167" width="12" bestFit="1" customWidth="1"/>
    <col min="7168" max="7168" width="1.88671875" customWidth="1"/>
    <col min="7169" max="7169" width="37.109375" bestFit="1" customWidth="1"/>
    <col min="7170" max="7170" width="12.6640625" bestFit="1" customWidth="1"/>
    <col min="7171" max="7171" width="1.88671875" customWidth="1"/>
    <col min="7172" max="7172" width="24.33203125" bestFit="1" customWidth="1"/>
    <col min="7173" max="7173" width="12.6640625" bestFit="1" customWidth="1"/>
    <col min="7422" max="7422" width="24.6640625" bestFit="1" customWidth="1"/>
    <col min="7423" max="7423" width="12" bestFit="1" customWidth="1"/>
    <col min="7424" max="7424" width="1.88671875" customWidth="1"/>
    <col min="7425" max="7425" width="37.109375" bestFit="1" customWidth="1"/>
    <col min="7426" max="7426" width="12.6640625" bestFit="1" customWidth="1"/>
    <col min="7427" max="7427" width="1.88671875" customWidth="1"/>
    <col min="7428" max="7428" width="24.33203125" bestFit="1" customWidth="1"/>
    <col min="7429" max="7429" width="12.6640625" bestFit="1" customWidth="1"/>
    <col min="7678" max="7678" width="24.6640625" bestFit="1" customWidth="1"/>
    <col min="7679" max="7679" width="12" bestFit="1" customWidth="1"/>
    <col min="7680" max="7680" width="1.88671875" customWidth="1"/>
    <col min="7681" max="7681" width="37.109375" bestFit="1" customWidth="1"/>
    <col min="7682" max="7682" width="12.6640625" bestFit="1" customWidth="1"/>
    <col min="7683" max="7683" width="1.88671875" customWidth="1"/>
    <col min="7684" max="7684" width="24.33203125" bestFit="1" customWidth="1"/>
    <col min="7685" max="7685" width="12.6640625" bestFit="1" customWidth="1"/>
    <col min="7934" max="7934" width="24.6640625" bestFit="1" customWidth="1"/>
    <col min="7935" max="7935" width="12" bestFit="1" customWidth="1"/>
    <col min="7936" max="7936" width="1.88671875" customWidth="1"/>
    <col min="7937" max="7937" width="37.109375" bestFit="1" customWidth="1"/>
    <col min="7938" max="7938" width="12.6640625" bestFit="1" customWidth="1"/>
    <col min="7939" max="7939" width="1.88671875" customWidth="1"/>
    <col min="7940" max="7940" width="24.33203125" bestFit="1" customWidth="1"/>
    <col min="7941" max="7941" width="12.6640625" bestFit="1" customWidth="1"/>
    <col min="8190" max="8190" width="24.6640625" bestFit="1" customWidth="1"/>
    <col min="8191" max="8191" width="12" bestFit="1" customWidth="1"/>
    <col min="8192" max="8192" width="1.88671875" customWidth="1"/>
    <col min="8193" max="8193" width="37.109375" bestFit="1" customWidth="1"/>
    <col min="8194" max="8194" width="12.6640625" bestFit="1" customWidth="1"/>
    <col min="8195" max="8195" width="1.88671875" customWidth="1"/>
    <col min="8196" max="8196" width="24.33203125" bestFit="1" customWidth="1"/>
    <col min="8197" max="8197" width="12.6640625" bestFit="1" customWidth="1"/>
    <col min="8446" max="8446" width="24.6640625" bestFit="1" customWidth="1"/>
    <col min="8447" max="8447" width="12" bestFit="1" customWidth="1"/>
    <col min="8448" max="8448" width="1.88671875" customWidth="1"/>
    <col min="8449" max="8449" width="37.109375" bestFit="1" customWidth="1"/>
    <col min="8450" max="8450" width="12.6640625" bestFit="1" customWidth="1"/>
    <col min="8451" max="8451" width="1.88671875" customWidth="1"/>
    <col min="8452" max="8452" width="24.33203125" bestFit="1" customWidth="1"/>
    <col min="8453" max="8453" width="12.6640625" bestFit="1" customWidth="1"/>
    <col min="8702" max="8702" width="24.6640625" bestFit="1" customWidth="1"/>
    <col min="8703" max="8703" width="12" bestFit="1" customWidth="1"/>
    <col min="8704" max="8704" width="1.88671875" customWidth="1"/>
    <col min="8705" max="8705" width="37.109375" bestFit="1" customWidth="1"/>
    <col min="8706" max="8706" width="12.6640625" bestFit="1" customWidth="1"/>
    <col min="8707" max="8707" width="1.88671875" customWidth="1"/>
    <col min="8708" max="8708" width="24.33203125" bestFit="1" customWidth="1"/>
    <col min="8709" max="8709" width="12.6640625" bestFit="1" customWidth="1"/>
    <col min="8958" max="8958" width="24.6640625" bestFit="1" customWidth="1"/>
    <col min="8959" max="8959" width="12" bestFit="1" customWidth="1"/>
    <col min="8960" max="8960" width="1.88671875" customWidth="1"/>
    <col min="8961" max="8961" width="37.109375" bestFit="1" customWidth="1"/>
    <col min="8962" max="8962" width="12.6640625" bestFit="1" customWidth="1"/>
    <col min="8963" max="8963" width="1.88671875" customWidth="1"/>
    <col min="8964" max="8964" width="24.33203125" bestFit="1" customWidth="1"/>
    <col min="8965" max="8965" width="12.6640625" bestFit="1" customWidth="1"/>
    <col min="9214" max="9214" width="24.6640625" bestFit="1" customWidth="1"/>
    <col min="9215" max="9215" width="12" bestFit="1" customWidth="1"/>
    <col min="9216" max="9216" width="1.88671875" customWidth="1"/>
    <col min="9217" max="9217" width="37.109375" bestFit="1" customWidth="1"/>
    <col min="9218" max="9218" width="12.6640625" bestFit="1" customWidth="1"/>
    <col min="9219" max="9219" width="1.88671875" customWidth="1"/>
    <col min="9220" max="9220" width="24.33203125" bestFit="1" customWidth="1"/>
    <col min="9221" max="9221" width="12.6640625" bestFit="1" customWidth="1"/>
    <col min="9470" max="9470" width="24.6640625" bestFit="1" customWidth="1"/>
    <col min="9471" max="9471" width="12" bestFit="1" customWidth="1"/>
    <col min="9472" max="9472" width="1.88671875" customWidth="1"/>
    <col min="9473" max="9473" width="37.109375" bestFit="1" customWidth="1"/>
    <col min="9474" max="9474" width="12.6640625" bestFit="1" customWidth="1"/>
    <col min="9475" max="9475" width="1.88671875" customWidth="1"/>
    <col min="9476" max="9476" width="24.33203125" bestFit="1" customWidth="1"/>
    <col min="9477" max="9477" width="12.6640625" bestFit="1" customWidth="1"/>
    <col min="9726" max="9726" width="24.6640625" bestFit="1" customWidth="1"/>
    <col min="9727" max="9727" width="12" bestFit="1" customWidth="1"/>
    <col min="9728" max="9728" width="1.88671875" customWidth="1"/>
    <col min="9729" max="9729" width="37.109375" bestFit="1" customWidth="1"/>
    <col min="9730" max="9730" width="12.6640625" bestFit="1" customWidth="1"/>
    <col min="9731" max="9731" width="1.88671875" customWidth="1"/>
    <col min="9732" max="9732" width="24.33203125" bestFit="1" customWidth="1"/>
    <col min="9733" max="9733" width="12.6640625" bestFit="1" customWidth="1"/>
    <col min="9982" max="9982" width="24.6640625" bestFit="1" customWidth="1"/>
    <col min="9983" max="9983" width="12" bestFit="1" customWidth="1"/>
    <col min="9984" max="9984" width="1.88671875" customWidth="1"/>
    <col min="9985" max="9985" width="37.109375" bestFit="1" customWidth="1"/>
    <col min="9986" max="9986" width="12.6640625" bestFit="1" customWidth="1"/>
    <col min="9987" max="9987" width="1.88671875" customWidth="1"/>
    <col min="9988" max="9988" width="24.33203125" bestFit="1" customWidth="1"/>
    <col min="9989" max="9989" width="12.6640625" bestFit="1" customWidth="1"/>
    <col min="10238" max="10238" width="24.6640625" bestFit="1" customWidth="1"/>
    <col min="10239" max="10239" width="12" bestFit="1" customWidth="1"/>
    <col min="10240" max="10240" width="1.88671875" customWidth="1"/>
    <col min="10241" max="10241" width="37.109375" bestFit="1" customWidth="1"/>
    <col min="10242" max="10242" width="12.6640625" bestFit="1" customWidth="1"/>
    <col min="10243" max="10243" width="1.88671875" customWidth="1"/>
    <col min="10244" max="10244" width="24.33203125" bestFit="1" customWidth="1"/>
    <col min="10245" max="10245" width="12.6640625" bestFit="1" customWidth="1"/>
    <col min="10494" max="10494" width="24.6640625" bestFit="1" customWidth="1"/>
    <col min="10495" max="10495" width="12" bestFit="1" customWidth="1"/>
    <col min="10496" max="10496" width="1.88671875" customWidth="1"/>
    <col min="10497" max="10497" width="37.109375" bestFit="1" customWidth="1"/>
    <col min="10498" max="10498" width="12.6640625" bestFit="1" customWidth="1"/>
    <col min="10499" max="10499" width="1.88671875" customWidth="1"/>
    <col min="10500" max="10500" width="24.33203125" bestFit="1" customWidth="1"/>
    <col min="10501" max="10501" width="12.6640625" bestFit="1" customWidth="1"/>
    <col min="10750" max="10750" width="24.6640625" bestFit="1" customWidth="1"/>
    <col min="10751" max="10751" width="12" bestFit="1" customWidth="1"/>
    <col min="10752" max="10752" width="1.88671875" customWidth="1"/>
    <col min="10753" max="10753" width="37.109375" bestFit="1" customWidth="1"/>
    <col min="10754" max="10754" width="12.6640625" bestFit="1" customWidth="1"/>
    <col min="10755" max="10755" width="1.88671875" customWidth="1"/>
    <col min="10756" max="10756" width="24.33203125" bestFit="1" customWidth="1"/>
    <col min="10757" max="10757" width="12.6640625" bestFit="1" customWidth="1"/>
    <col min="11006" max="11006" width="24.6640625" bestFit="1" customWidth="1"/>
    <col min="11007" max="11007" width="12" bestFit="1" customWidth="1"/>
    <col min="11008" max="11008" width="1.88671875" customWidth="1"/>
    <col min="11009" max="11009" width="37.109375" bestFit="1" customWidth="1"/>
    <col min="11010" max="11010" width="12.6640625" bestFit="1" customWidth="1"/>
    <col min="11011" max="11011" width="1.88671875" customWidth="1"/>
    <col min="11012" max="11012" width="24.33203125" bestFit="1" customWidth="1"/>
    <col min="11013" max="11013" width="12.6640625" bestFit="1" customWidth="1"/>
    <col min="11262" max="11262" width="24.6640625" bestFit="1" customWidth="1"/>
    <col min="11263" max="11263" width="12" bestFit="1" customWidth="1"/>
    <col min="11264" max="11264" width="1.88671875" customWidth="1"/>
    <col min="11265" max="11265" width="37.109375" bestFit="1" customWidth="1"/>
    <col min="11266" max="11266" width="12.6640625" bestFit="1" customWidth="1"/>
    <col min="11267" max="11267" width="1.88671875" customWidth="1"/>
    <col min="11268" max="11268" width="24.33203125" bestFit="1" customWidth="1"/>
    <col min="11269" max="11269" width="12.6640625" bestFit="1" customWidth="1"/>
    <col min="11518" max="11518" width="24.6640625" bestFit="1" customWidth="1"/>
    <col min="11519" max="11519" width="12" bestFit="1" customWidth="1"/>
    <col min="11520" max="11520" width="1.88671875" customWidth="1"/>
    <col min="11521" max="11521" width="37.109375" bestFit="1" customWidth="1"/>
    <col min="11522" max="11522" width="12.6640625" bestFit="1" customWidth="1"/>
    <col min="11523" max="11523" width="1.88671875" customWidth="1"/>
    <col min="11524" max="11524" width="24.33203125" bestFit="1" customWidth="1"/>
    <col min="11525" max="11525" width="12.6640625" bestFit="1" customWidth="1"/>
    <col min="11774" max="11774" width="24.6640625" bestFit="1" customWidth="1"/>
    <col min="11775" max="11775" width="12" bestFit="1" customWidth="1"/>
    <col min="11776" max="11776" width="1.88671875" customWidth="1"/>
    <col min="11777" max="11777" width="37.109375" bestFit="1" customWidth="1"/>
    <col min="11778" max="11778" width="12.6640625" bestFit="1" customWidth="1"/>
    <col min="11779" max="11779" width="1.88671875" customWidth="1"/>
    <col min="11780" max="11780" width="24.33203125" bestFit="1" customWidth="1"/>
    <col min="11781" max="11781" width="12.6640625" bestFit="1" customWidth="1"/>
    <col min="12030" max="12030" width="24.6640625" bestFit="1" customWidth="1"/>
    <col min="12031" max="12031" width="12" bestFit="1" customWidth="1"/>
    <col min="12032" max="12032" width="1.88671875" customWidth="1"/>
    <col min="12033" max="12033" width="37.109375" bestFit="1" customWidth="1"/>
    <col min="12034" max="12034" width="12.6640625" bestFit="1" customWidth="1"/>
    <col min="12035" max="12035" width="1.88671875" customWidth="1"/>
    <col min="12036" max="12036" width="24.33203125" bestFit="1" customWidth="1"/>
    <col min="12037" max="12037" width="12.6640625" bestFit="1" customWidth="1"/>
    <col min="12286" max="12286" width="24.6640625" bestFit="1" customWidth="1"/>
    <col min="12287" max="12287" width="12" bestFit="1" customWidth="1"/>
    <col min="12288" max="12288" width="1.88671875" customWidth="1"/>
    <col min="12289" max="12289" width="37.109375" bestFit="1" customWidth="1"/>
    <col min="12290" max="12290" width="12.6640625" bestFit="1" customWidth="1"/>
    <col min="12291" max="12291" width="1.88671875" customWidth="1"/>
    <col min="12292" max="12292" width="24.33203125" bestFit="1" customWidth="1"/>
    <col min="12293" max="12293" width="12.6640625" bestFit="1" customWidth="1"/>
    <col min="12542" max="12542" width="24.6640625" bestFit="1" customWidth="1"/>
    <col min="12543" max="12543" width="12" bestFit="1" customWidth="1"/>
    <col min="12544" max="12544" width="1.88671875" customWidth="1"/>
    <col min="12545" max="12545" width="37.109375" bestFit="1" customWidth="1"/>
    <col min="12546" max="12546" width="12.6640625" bestFit="1" customWidth="1"/>
    <col min="12547" max="12547" width="1.88671875" customWidth="1"/>
    <col min="12548" max="12548" width="24.33203125" bestFit="1" customWidth="1"/>
    <col min="12549" max="12549" width="12.6640625" bestFit="1" customWidth="1"/>
    <col min="12798" max="12798" width="24.6640625" bestFit="1" customWidth="1"/>
    <col min="12799" max="12799" width="12" bestFit="1" customWidth="1"/>
    <col min="12800" max="12800" width="1.88671875" customWidth="1"/>
    <col min="12801" max="12801" width="37.109375" bestFit="1" customWidth="1"/>
    <col min="12802" max="12802" width="12.6640625" bestFit="1" customWidth="1"/>
    <col min="12803" max="12803" width="1.88671875" customWidth="1"/>
    <col min="12804" max="12804" width="24.33203125" bestFit="1" customWidth="1"/>
    <col min="12805" max="12805" width="12.6640625" bestFit="1" customWidth="1"/>
    <col min="13054" max="13054" width="24.6640625" bestFit="1" customWidth="1"/>
    <col min="13055" max="13055" width="12" bestFit="1" customWidth="1"/>
    <col min="13056" max="13056" width="1.88671875" customWidth="1"/>
    <col min="13057" max="13057" width="37.109375" bestFit="1" customWidth="1"/>
    <col min="13058" max="13058" width="12.6640625" bestFit="1" customWidth="1"/>
    <col min="13059" max="13059" width="1.88671875" customWidth="1"/>
    <col min="13060" max="13060" width="24.33203125" bestFit="1" customWidth="1"/>
    <col min="13061" max="13061" width="12.6640625" bestFit="1" customWidth="1"/>
    <col min="13310" max="13310" width="24.6640625" bestFit="1" customWidth="1"/>
    <col min="13311" max="13311" width="12" bestFit="1" customWidth="1"/>
    <col min="13312" max="13312" width="1.88671875" customWidth="1"/>
    <col min="13313" max="13313" width="37.109375" bestFit="1" customWidth="1"/>
    <col min="13314" max="13314" width="12.6640625" bestFit="1" customWidth="1"/>
    <col min="13315" max="13315" width="1.88671875" customWidth="1"/>
    <col min="13316" max="13316" width="24.33203125" bestFit="1" customWidth="1"/>
    <col min="13317" max="13317" width="12.6640625" bestFit="1" customWidth="1"/>
    <col min="13566" max="13566" width="24.6640625" bestFit="1" customWidth="1"/>
    <col min="13567" max="13567" width="12" bestFit="1" customWidth="1"/>
    <col min="13568" max="13568" width="1.88671875" customWidth="1"/>
    <col min="13569" max="13569" width="37.109375" bestFit="1" customWidth="1"/>
    <col min="13570" max="13570" width="12.6640625" bestFit="1" customWidth="1"/>
    <col min="13571" max="13571" width="1.88671875" customWidth="1"/>
    <col min="13572" max="13572" width="24.33203125" bestFit="1" customWidth="1"/>
    <col min="13573" max="13573" width="12.6640625" bestFit="1" customWidth="1"/>
    <col min="13822" max="13822" width="24.6640625" bestFit="1" customWidth="1"/>
    <col min="13823" max="13823" width="12" bestFit="1" customWidth="1"/>
    <col min="13824" max="13824" width="1.88671875" customWidth="1"/>
    <col min="13825" max="13825" width="37.109375" bestFit="1" customWidth="1"/>
    <col min="13826" max="13826" width="12.6640625" bestFit="1" customWidth="1"/>
    <col min="13827" max="13827" width="1.88671875" customWidth="1"/>
    <col min="13828" max="13828" width="24.33203125" bestFit="1" customWidth="1"/>
    <col min="13829" max="13829" width="12.6640625" bestFit="1" customWidth="1"/>
    <col min="14078" max="14078" width="24.6640625" bestFit="1" customWidth="1"/>
    <col min="14079" max="14079" width="12" bestFit="1" customWidth="1"/>
    <col min="14080" max="14080" width="1.88671875" customWidth="1"/>
    <col min="14081" max="14081" width="37.109375" bestFit="1" customWidth="1"/>
    <col min="14082" max="14082" width="12.6640625" bestFit="1" customWidth="1"/>
    <col min="14083" max="14083" width="1.88671875" customWidth="1"/>
    <col min="14084" max="14084" width="24.33203125" bestFit="1" customWidth="1"/>
    <col min="14085" max="14085" width="12.6640625" bestFit="1" customWidth="1"/>
    <col min="14334" max="14334" width="24.6640625" bestFit="1" customWidth="1"/>
    <col min="14335" max="14335" width="12" bestFit="1" customWidth="1"/>
    <col min="14336" max="14336" width="1.88671875" customWidth="1"/>
    <col min="14337" max="14337" width="37.109375" bestFit="1" customWidth="1"/>
    <col min="14338" max="14338" width="12.6640625" bestFit="1" customWidth="1"/>
    <col min="14339" max="14339" width="1.88671875" customWidth="1"/>
    <col min="14340" max="14340" width="24.33203125" bestFit="1" customWidth="1"/>
    <col min="14341" max="14341" width="12.6640625" bestFit="1" customWidth="1"/>
    <col min="14590" max="14590" width="24.6640625" bestFit="1" customWidth="1"/>
    <col min="14591" max="14591" width="12" bestFit="1" customWidth="1"/>
    <col min="14592" max="14592" width="1.88671875" customWidth="1"/>
    <col min="14593" max="14593" width="37.109375" bestFit="1" customWidth="1"/>
    <col min="14594" max="14594" width="12.6640625" bestFit="1" customWidth="1"/>
    <col min="14595" max="14595" width="1.88671875" customWidth="1"/>
    <col min="14596" max="14596" width="24.33203125" bestFit="1" customWidth="1"/>
    <col min="14597" max="14597" width="12.6640625" bestFit="1" customWidth="1"/>
    <col min="14846" max="14846" width="24.6640625" bestFit="1" customWidth="1"/>
    <col min="14847" max="14847" width="12" bestFit="1" customWidth="1"/>
    <col min="14848" max="14848" width="1.88671875" customWidth="1"/>
    <col min="14849" max="14849" width="37.109375" bestFit="1" customWidth="1"/>
    <col min="14850" max="14850" width="12.6640625" bestFit="1" customWidth="1"/>
    <col min="14851" max="14851" width="1.88671875" customWidth="1"/>
    <col min="14852" max="14852" width="24.33203125" bestFit="1" customWidth="1"/>
    <col min="14853" max="14853" width="12.6640625" bestFit="1" customWidth="1"/>
    <col min="15102" max="15102" width="24.6640625" bestFit="1" customWidth="1"/>
    <col min="15103" max="15103" width="12" bestFit="1" customWidth="1"/>
    <col min="15104" max="15104" width="1.88671875" customWidth="1"/>
    <col min="15105" max="15105" width="37.109375" bestFit="1" customWidth="1"/>
    <col min="15106" max="15106" width="12.6640625" bestFit="1" customWidth="1"/>
    <col min="15107" max="15107" width="1.88671875" customWidth="1"/>
    <col min="15108" max="15108" width="24.33203125" bestFit="1" customWidth="1"/>
    <col min="15109" max="15109" width="12.6640625" bestFit="1" customWidth="1"/>
    <col min="15358" max="15358" width="24.6640625" bestFit="1" customWidth="1"/>
    <col min="15359" max="15359" width="12" bestFit="1" customWidth="1"/>
    <col min="15360" max="15360" width="1.88671875" customWidth="1"/>
    <col min="15361" max="15361" width="37.109375" bestFit="1" customWidth="1"/>
    <col min="15362" max="15362" width="12.6640625" bestFit="1" customWidth="1"/>
    <col min="15363" max="15363" width="1.88671875" customWidth="1"/>
    <col min="15364" max="15364" width="24.33203125" bestFit="1" customWidth="1"/>
    <col min="15365" max="15365" width="12.6640625" bestFit="1" customWidth="1"/>
    <col min="15614" max="15614" width="24.6640625" bestFit="1" customWidth="1"/>
    <col min="15615" max="15615" width="12" bestFit="1" customWidth="1"/>
    <col min="15616" max="15616" width="1.88671875" customWidth="1"/>
    <col min="15617" max="15617" width="37.109375" bestFit="1" customWidth="1"/>
    <col min="15618" max="15618" width="12.6640625" bestFit="1" customWidth="1"/>
    <col min="15619" max="15619" width="1.88671875" customWidth="1"/>
    <col min="15620" max="15620" width="24.33203125" bestFit="1" customWidth="1"/>
    <col min="15621" max="15621" width="12.6640625" bestFit="1" customWidth="1"/>
    <col min="15870" max="15870" width="24.6640625" bestFit="1" customWidth="1"/>
    <col min="15871" max="15871" width="12" bestFit="1" customWidth="1"/>
    <col min="15872" max="15872" width="1.88671875" customWidth="1"/>
    <col min="15873" max="15873" width="37.109375" bestFit="1" customWidth="1"/>
    <col min="15874" max="15874" width="12.6640625" bestFit="1" customWidth="1"/>
    <col min="15875" max="15875" width="1.88671875" customWidth="1"/>
    <col min="15876" max="15876" width="24.33203125" bestFit="1" customWidth="1"/>
    <col min="15877" max="15877" width="12.6640625" bestFit="1" customWidth="1"/>
    <col min="16126" max="16126" width="24.6640625" bestFit="1" customWidth="1"/>
    <col min="16127" max="16127" width="12" bestFit="1" customWidth="1"/>
    <col min="16128" max="16128" width="1.88671875" customWidth="1"/>
    <col min="16129" max="16129" width="37.109375" bestFit="1" customWidth="1"/>
    <col min="16130" max="16130" width="12.6640625" bestFit="1" customWidth="1"/>
    <col min="16131" max="16131" width="1.88671875" customWidth="1"/>
    <col min="16132" max="16132" width="24.33203125" bestFit="1" customWidth="1"/>
    <col min="16133" max="16133" width="12.6640625" bestFit="1" customWidth="1"/>
  </cols>
  <sheetData>
    <row r="1" spans="1:5" ht="25.8" x14ac:dyDescent="0.5">
      <c r="A1" s="70" t="s">
        <v>147</v>
      </c>
    </row>
    <row r="2" spans="1:5" ht="28.8" x14ac:dyDescent="0.3">
      <c r="A2" s="23" t="s">
        <v>73</v>
      </c>
      <c r="B2" s="8">
        <v>55.1</v>
      </c>
      <c r="D2" s="2" t="s">
        <v>74</v>
      </c>
      <c r="E2" s="8">
        <v>38.79</v>
      </c>
    </row>
    <row r="3" spans="1:5" ht="28.8" x14ac:dyDescent="0.3">
      <c r="A3" s="23" t="s">
        <v>75</v>
      </c>
      <c r="B3" s="8">
        <v>76.63</v>
      </c>
      <c r="D3" s="2" t="s">
        <v>76</v>
      </c>
      <c r="E3" s="8">
        <v>26.95</v>
      </c>
    </row>
    <row r="4" spans="1:5" x14ac:dyDescent="0.3">
      <c r="A4" s="23" t="s">
        <v>77</v>
      </c>
      <c r="B4" s="8">
        <v>1.28</v>
      </c>
      <c r="D4" s="2" t="s">
        <v>77</v>
      </c>
      <c r="E4" s="8">
        <v>0.88</v>
      </c>
    </row>
    <row r="5" spans="1:5" x14ac:dyDescent="0.3">
      <c r="A5" s="23" t="s">
        <v>78</v>
      </c>
      <c r="B5" s="7">
        <f>B4/B2</f>
        <v>2.3230490018148819E-2</v>
      </c>
      <c r="D5" s="2" t="s">
        <v>78</v>
      </c>
      <c r="E5" s="7">
        <f>E4/E2</f>
        <v>2.2686259345192059E-2</v>
      </c>
    </row>
    <row r="6" spans="1:5" x14ac:dyDescent="0.3">
      <c r="A6" s="23" t="s">
        <v>79</v>
      </c>
      <c r="B6" s="7">
        <f>B3/B2-1</f>
        <v>0.39074410163339368</v>
      </c>
      <c r="D6" s="2" t="s">
        <v>79</v>
      </c>
      <c r="E6" s="7">
        <f>E3/E2-1</f>
        <v>-0.3052333075534932</v>
      </c>
    </row>
    <row r="7" spans="1:5" x14ac:dyDescent="0.3">
      <c r="A7" s="23" t="s">
        <v>80</v>
      </c>
      <c r="B7" s="7">
        <f>SUM(B5:B6)</f>
        <v>0.41397459165154249</v>
      </c>
      <c r="D7" s="2" t="s">
        <v>80</v>
      </c>
      <c r="E7" s="7">
        <f>SUM(E5:E6)</f>
        <v>-0.28254704820830112</v>
      </c>
    </row>
    <row r="8" spans="1:5" x14ac:dyDescent="0.3">
      <c r="A8" s="23" t="s">
        <v>80</v>
      </c>
      <c r="B8" s="7">
        <f>(B3+B4)/B2-1</f>
        <v>0.41397459165154249</v>
      </c>
      <c r="D8" s="2" t="s">
        <v>80</v>
      </c>
      <c r="E8" s="7">
        <f>(E3+E4)/E2-1</f>
        <v>-0.28254704820830112</v>
      </c>
    </row>
    <row r="10" spans="1:5" x14ac:dyDescent="0.3">
      <c r="A10" t="s">
        <v>172</v>
      </c>
    </row>
    <row r="12" spans="1:5" x14ac:dyDescent="0.3">
      <c r="A12" t="s">
        <v>173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B23"/>
  <sheetViews>
    <sheetView zoomScale="115" zoomScaleNormal="115" workbookViewId="0">
      <selection activeCell="B16" sqref="B16"/>
    </sheetView>
  </sheetViews>
  <sheetFormatPr defaultColWidth="29.6640625" defaultRowHeight="14.4" x14ac:dyDescent="0.3"/>
  <cols>
    <col min="1" max="1" width="28" customWidth="1"/>
    <col min="2" max="2" width="8.21875" bestFit="1" customWidth="1"/>
    <col min="3" max="3" width="13.5546875" bestFit="1" customWidth="1"/>
  </cols>
  <sheetData>
    <row r="1" spans="1:2" ht="57.6" x14ac:dyDescent="0.3">
      <c r="A1" s="9" t="s">
        <v>19</v>
      </c>
      <c r="B1" s="9"/>
    </row>
    <row r="2" spans="1:2" ht="15.6" x14ac:dyDescent="0.35">
      <c r="A2" s="10" t="s">
        <v>13</v>
      </c>
      <c r="B2" s="12">
        <v>62</v>
      </c>
    </row>
    <row r="3" spans="1:2" ht="15.6" x14ac:dyDescent="0.35">
      <c r="A3" s="10" t="s">
        <v>14</v>
      </c>
      <c r="B3" s="12">
        <f>B2+6</f>
        <v>68</v>
      </c>
    </row>
    <row r="4" spans="1:2" ht="15.6" x14ac:dyDescent="0.35">
      <c r="A4" s="10" t="s">
        <v>20</v>
      </c>
      <c r="B4" s="12">
        <v>1</v>
      </c>
    </row>
    <row r="5" spans="1:2" ht="15.6" x14ac:dyDescent="0.35">
      <c r="A5" s="10" t="s">
        <v>17</v>
      </c>
      <c r="B5" s="13">
        <f>B3-B2</f>
        <v>6</v>
      </c>
    </row>
    <row r="6" spans="1:2" ht="28.8" x14ac:dyDescent="0.3">
      <c r="A6" s="11" t="s">
        <v>21</v>
      </c>
      <c r="B6" s="13">
        <f>B5+B4</f>
        <v>7</v>
      </c>
    </row>
    <row r="7" spans="1:2" ht="28.8" x14ac:dyDescent="0.3">
      <c r="A7" s="11" t="s">
        <v>12</v>
      </c>
      <c r="B7" s="15">
        <f>B6/B2</f>
        <v>0.11290322580645161</v>
      </c>
    </row>
    <row r="8" spans="1:2" ht="15.6" x14ac:dyDescent="0.35">
      <c r="A8" s="10" t="s">
        <v>22</v>
      </c>
      <c r="B8" s="15">
        <f>B4/B2</f>
        <v>1.6129032258064516E-2</v>
      </c>
    </row>
    <row r="9" spans="1:2" ht="15.6" x14ac:dyDescent="0.35">
      <c r="A9" s="10" t="s">
        <v>15</v>
      </c>
      <c r="B9" s="15">
        <f>B3/B2-1</f>
        <v>9.6774193548387011E-2</v>
      </c>
    </row>
    <row r="10" spans="1:2" ht="28.8" x14ac:dyDescent="0.3">
      <c r="A10" s="11" t="s">
        <v>16</v>
      </c>
      <c r="B10" s="15">
        <f>B9+B8</f>
        <v>0.11290322580645153</v>
      </c>
    </row>
    <row r="11" spans="1:2" ht="15.6" x14ac:dyDescent="0.35">
      <c r="A11" s="11" t="s">
        <v>18</v>
      </c>
      <c r="B11" s="15">
        <f>(B4+B3)/B2</f>
        <v>1.1129032258064515</v>
      </c>
    </row>
    <row r="13" spans="1:2" ht="57.6" x14ac:dyDescent="0.3">
      <c r="A13" s="9" t="s">
        <v>19</v>
      </c>
      <c r="B13" s="9"/>
    </row>
    <row r="14" spans="1:2" ht="15.6" x14ac:dyDescent="0.35">
      <c r="A14" s="10" t="s">
        <v>13</v>
      </c>
      <c r="B14" s="12">
        <f>B2</f>
        <v>62</v>
      </c>
    </row>
    <row r="15" spans="1:2" ht="15.6" x14ac:dyDescent="0.35">
      <c r="A15" s="10" t="s">
        <v>14</v>
      </c>
      <c r="B15" s="12">
        <f>B14-6</f>
        <v>56</v>
      </c>
    </row>
    <row r="16" spans="1:2" ht="15.6" x14ac:dyDescent="0.35">
      <c r="A16" s="10" t="s">
        <v>20</v>
      </c>
      <c r="B16" s="12">
        <v>2</v>
      </c>
    </row>
    <row r="17" spans="1:2" ht="15.6" x14ac:dyDescent="0.35">
      <c r="A17" s="10" t="s">
        <v>17</v>
      </c>
      <c r="B17" s="13">
        <f>B15-B14</f>
        <v>-6</v>
      </c>
    </row>
    <row r="18" spans="1:2" ht="28.8" x14ac:dyDescent="0.3">
      <c r="A18" s="11" t="s">
        <v>21</v>
      </c>
      <c r="B18" s="13">
        <f>B17+B16</f>
        <v>-4</v>
      </c>
    </row>
    <row r="19" spans="1:2" ht="28.8" x14ac:dyDescent="0.3">
      <c r="A19" s="11" t="s">
        <v>12</v>
      </c>
      <c r="B19" s="15">
        <f>B18/B14</f>
        <v>-6.4516129032258063E-2</v>
      </c>
    </row>
    <row r="20" spans="1:2" ht="15.6" x14ac:dyDescent="0.35">
      <c r="A20" s="10" t="s">
        <v>22</v>
      </c>
      <c r="B20" s="15">
        <f>B16/B14</f>
        <v>3.2258064516129031E-2</v>
      </c>
    </row>
    <row r="21" spans="1:2" ht="15.6" x14ac:dyDescent="0.35">
      <c r="A21" s="10" t="s">
        <v>15</v>
      </c>
      <c r="B21" s="15">
        <f>B15/B14-1</f>
        <v>-9.6774193548387122E-2</v>
      </c>
    </row>
    <row r="22" spans="1:2" ht="28.8" x14ac:dyDescent="0.3">
      <c r="A22" s="11" t="s">
        <v>16</v>
      </c>
      <c r="B22" s="15">
        <f>B21+B20</f>
        <v>-6.451612903225809E-2</v>
      </c>
    </row>
    <row r="23" spans="1:2" ht="15.6" x14ac:dyDescent="0.35">
      <c r="A23" s="11" t="s">
        <v>18</v>
      </c>
      <c r="B23" s="15">
        <f>(B16+B15)/B14</f>
        <v>0.93548387096774188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D15"/>
  <sheetViews>
    <sheetView tabSelected="1" zoomScale="130" zoomScaleNormal="130" workbookViewId="0">
      <selection activeCell="B7" sqref="B7"/>
    </sheetView>
  </sheetViews>
  <sheetFormatPr defaultRowHeight="14.4" x14ac:dyDescent="0.3"/>
  <cols>
    <col min="1" max="1" width="23.21875" customWidth="1"/>
    <col min="2" max="2" width="9.6640625" bestFit="1" customWidth="1"/>
  </cols>
  <sheetData>
    <row r="1" spans="1:4" ht="25.8" x14ac:dyDescent="0.5">
      <c r="A1" s="70" t="s">
        <v>148</v>
      </c>
    </row>
    <row r="2" spans="1:4" x14ac:dyDescent="0.3">
      <c r="A2" s="3" t="s">
        <v>87</v>
      </c>
      <c r="B2" s="8">
        <v>1000</v>
      </c>
    </row>
    <row r="3" spans="1:4" x14ac:dyDescent="0.3">
      <c r="A3" s="3" t="s">
        <v>88</v>
      </c>
      <c r="B3" s="18">
        <v>0.06</v>
      </c>
    </row>
    <row r="4" spans="1:4" ht="15.6" x14ac:dyDescent="0.35">
      <c r="A4" s="3" t="s">
        <v>89</v>
      </c>
      <c r="B4" s="8">
        <v>911</v>
      </c>
    </row>
    <row r="5" spans="1:4" ht="15.6" x14ac:dyDescent="0.35">
      <c r="A5" s="3" t="s">
        <v>90</v>
      </c>
      <c r="B5" s="8">
        <v>915</v>
      </c>
    </row>
    <row r="6" spans="1:4" x14ac:dyDescent="0.3">
      <c r="A6" s="3" t="s">
        <v>91</v>
      </c>
      <c r="B6" s="3">
        <v>1</v>
      </c>
    </row>
    <row r="7" spans="1:4" x14ac:dyDescent="0.3">
      <c r="A7" s="3" t="s">
        <v>92</v>
      </c>
      <c r="B7" s="57"/>
    </row>
    <row r="8" spans="1:4" x14ac:dyDescent="0.3">
      <c r="A8" s="3" t="s">
        <v>93</v>
      </c>
      <c r="B8" s="57"/>
    </row>
    <row r="9" spans="1:4" x14ac:dyDescent="0.3">
      <c r="A9" s="3" t="s">
        <v>94</v>
      </c>
      <c r="B9" s="7"/>
    </row>
    <row r="10" spans="1:4" x14ac:dyDescent="0.3">
      <c r="A10" s="3" t="s">
        <v>29</v>
      </c>
      <c r="B10" s="62">
        <v>0.01</v>
      </c>
    </row>
    <row r="11" spans="1:4" x14ac:dyDescent="0.3">
      <c r="A11" s="3" t="s">
        <v>95</v>
      </c>
      <c r="B11" s="7"/>
      <c r="D11" t="s">
        <v>146</v>
      </c>
    </row>
    <row r="12" spans="1:4" ht="2.4" customHeight="1" x14ac:dyDescent="0.3"/>
    <row r="13" spans="1:4" x14ac:dyDescent="0.3">
      <c r="A13" s="8" t="s">
        <v>96</v>
      </c>
      <c r="B13" s="57"/>
      <c r="D13" t="s">
        <v>135</v>
      </c>
    </row>
    <row r="14" spans="1:4" x14ac:dyDescent="0.3">
      <c r="A14" s="8" t="s">
        <v>174</v>
      </c>
      <c r="B14" s="57"/>
      <c r="D14" t="s">
        <v>136</v>
      </c>
    </row>
    <row r="15" spans="1:4" x14ac:dyDescent="0.3">
      <c r="A15" s="8" t="s">
        <v>175</v>
      </c>
      <c r="B15" s="57"/>
      <c r="D15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15"/>
  <sheetViews>
    <sheetView zoomScale="130" zoomScaleNormal="130" workbookViewId="0">
      <selection activeCell="B15" sqref="B15"/>
    </sheetView>
  </sheetViews>
  <sheetFormatPr defaultRowHeight="14.4" x14ac:dyDescent="0.3"/>
  <cols>
    <col min="1" max="1" width="23.21875" customWidth="1"/>
    <col min="2" max="2" width="9.6640625" bestFit="1" customWidth="1"/>
  </cols>
  <sheetData>
    <row r="1" spans="1:4" ht="25.8" x14ac:dyDescent="0.5">
      <c r="A1" s="70" t="s">
        <v>148</v>
      </c>
    </row>
    <row r="2" spans="1:4" x14ac:dyDescent="0.3">
      <c r="A2" s="3" t="s">
        <v>87</v>
      </c>
      <c r="B2" s="8">
        <v>1000</v>
      </c>
    </row>
    <row r="3" spans="1:4" x14ac:dyDescent="0.3">
      <c r="A3" s="3" t="s">
        <v>88</v>
      </c>
      <c r="B3" s="18">
        <v>0.06</v>
      </c>
    </row>
    <row r="4" spans="1:4" ht="15.6" x14ac:dyDescent="0.35">
      <c r="A4" s="3" t="s">
        <v>89</v>
      </c>
      <c r="B4" s="8">
        <v>911</v>
      </c>
    </row>
    <row r="5" spans="1:4" ht="15.6" x14ac:dyDescent="0.35">
      <c r="A5" s="3" t="s">
        <v>90</v>
      </c>
      <c r="B5" s="8">
        <v>915</v>
      </c>
    </row>
    <row r="6" spans="1:4" x14ac:dyDescent="0.3">
      <c r="A6" s="3" t="s">
        <v>91</v>
      </c>
      <c r="B6" s="3">
        <v>1</v>
      </c>
    </row>
    <row r="7" spans="1:4" x14ac:dyDescent="0.3">
      <c r="A7" s="3" t="s">
        <v>92</v>
      </c>
      <c r="B7" s="57">
        <f>B2*B3</f>
        <v>60</v>
      </c>
    </row>
    <row r="8" spans="1:4" x14ac:dyDescent="0.3">
      <c r="A8" s="3" t="s">
        <v>93</v>
      </c>
      <c r="B8" s="57">
        <f>B5-B4+B7</f>
        <v>64</v>
      </c>
    </row>
    <row r="9" spans="1:4" x14ac:dyDescent="0.3">
      <c r="A9" s="3" t="s">
        <v>94</v>
      </c>
      <c r="B9" s="7">
        <f>B8/B4</f>
        <v>7.025246981339188E-2</v>
      </c>
    </row>
    <row r="10" spans="1:4" x14ac:dyDescent="0.3">
      <c r="A10" s="3" t="s">
        <v>29</v>
      </c>
      <c r="B10" s="62">
        <v>0.01</v>
      </c>
    </row>
    <row r="11" spans="1:4" x14ac:dyDescent="0.3">
      <c r="A11" s="3" t="s">
        <v>95</v>
      </c>
      <c r="B11" s="7">
        <f>(1+B9)/(1+B10)-1</f>
        <v>5.9655910706328585E-2</v>
      </c>
      <c r="D11" t="s">
        <v>146</v>
      </c>
    </row>
    <row r="12" spans="1:4" ht="2.4" customHeight="1" x14ac:dyDescent="0.3"/>
    <row r="13" spans="1:4" x14ac:dyDescent="0.3">
      <c r="A13" s="8" t="s">
        <v>96</v>
      </c>
      <c r="B13" s="57">
        <f>B4*B11</f>
        <v>54.346534653465341</v>
      </c>
      <c r="D13" t="s">
        <v>135</v>
      </c>
    </row>
    <row r="14" spans="1:4" x14ac:dyDescent="0.3">
      <c r="A14" s="8" t="s">
        <v>174</v>
      </c>
      <c r="B14" s="57">
        <f>B4*(1+B11)</f>
        <v>965.34653465346537</v>
      </c>
      <c r="D14" t="s">
        <v>136</v>
      </c>
    </row>
    <row r="15" spans="1:4" x14ac:dyDescent="0.3">
      <c r="A15" s="8" t="s">
        <v>175</v>
      </c>
      <c r="B15" s="57">
        <f>B14-B4</f>
        <v>54.346534653465369</v>
      </c>
      <c r="D15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C13"/>
  <sheetViews>
    <sheetView zoomScale="130" zoomScaleNormal="130" workbookViewId="0">
      <selection activeCell="B10" sqref="B10"/>
    </sheetView>
  </sheetViews>
  <sheetFormatPr defaultRowHeight="14.4" x14ac:dyDescent="0.3"/>
  <cols>
    <col min="1" max="1" width="24" bestFit="1" customWidth="1"/>
    <col min="2" max="2" width="11.44140625" bestFit="1" customWidth="1"/>
  </cols>
  <sheetData>
    <row r="1" spans="1:3" ht="25.8" x14ac:dyDescent="0.5">
      <c r="A1" s="70" t="s">
        <v>149</v>
      </c>
    </row>
    <row r="2" spans="1:3" x14ac:dyDescent="0.3">
      <c r="A2" s="3" t="s">
        <v>111</v>
      </c>
      <c r="B2" s="3" t="s">
        <v>112</v>
      </c>
    </row>
    <row r="3" spans="1:3" ht="15.6" x14ac:dyDescent="0.35">
      <c r="A3" s="3" t="s">
        <v>85</v>
      </c>
      <c r="B3" s="64">
        <v>300</v>
      </c>
    </row>
    <row r="4" spans="1:3" x14ac:dyDescent="0.3">
      <c r="A4" s="3" t="s">
        <v>115</v>
      </c>
      <c r="B4" s="3">
        <v>8.5000000000000006E-2</v>
      </c>
    </row>
    <row r="5" spans="1:3" x14ac:dyDescent="0.3">
      <c r="A5" s="3" t="s">
        <v>113</v>
      </c>
      <c r="B5" s="3">
        <v>15</v>
      </c>
    </row>
    <row r="6" spans="1:3" x14ac:dyDescent="0.3">
      <c r="A6" s="3" t="s">
        <v>116</v>
      </c>
      <c r="B6" s="3">
        <v>14</v>
      </c>
    </row>
    <row r="7" spans="1:3" x14ac:dyDescent="0.3">
      <c r="A7" s="3" t="s">
        <v>117</v>
      </c>
      <c r="B7" s="64">
        <v>1000</v>
      </c>
      <c r="C7" t="s">
        <v>119</v>
      </c>
    </row>
    <row r="8" spans="1:3" x14ac:dyDescent="0.3">
      <c r="A8" s="3" t="s">
        <v>118</v>
      </c>
      <c r="B8" s="3">
        <v>2</v>
      </c>
      <c r="C8" t="s">
        <v>119</v>
      </c>
    </row>
    <row r="9" spans="1:3" x14ac:dyDescent="0.3">
      <c r="A9" s="3" t="s">
        <v>114</v>
      </c>
      <c r="B9" s="3"/>
    </row>
    <row r="10" spans="1:3" ht="15.6" x14ac:dyDescent="0.35">
      <c r="A10" s="3" t="s">
        <v>86</v>
      </c>
      <c r="B10" s="7"/>
      <c r="C10" s="6"/>
    </row>
    <row r="11" spans="1:3" x14ac:dyDescent="0.3">
      <c r="A11" s="3" t="s">
        <v>120</v>
      </c>
      <c r="B11" s="7"/>
    </row>
    <row r="13" spans="1:3" x14ac:dyDescent="0.3">
      <c r="A13" t="s">
        <v>176</v>
      </c>
      <c r="B13" t="s">
        <v>177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C13"/>
  <sheetViews>
    <sheetView zoomScale="130" zoomScaleNormal="130" workbookViewId="0">
      <selection activeCell="B10" sqref="B10"/>
    </sheetView>
  </sheetViews>
  <sheetFormatPr defaultRowHeight="14.4" x14ac:dyDescent="0.3"/>
  <cols>
    <col min="1" max="1" width="24" bestFit="1" customWidth="1"/>
    <col min="2" max="2" width="11.44140625" bestFit="1" customWidth="1"/>
  </cols>
  <sheetData>
    <row r="1" spans="1:3" ht="25.8" x14ac:dyDescent="0.5">
      <c r="A1" s="70" t="s">
        <v>149</v>
      </c>
    </row>
    <row r="2" spans="1:3" x14ac:dyDescent="0.3">
      <c r="A2" s="3" t="s">
        <v>111</v>
      </c>
      <c r="B2" s="3" t="s">
        <v>112</v>
      </c>
    </row>
    <row r="3" spans="1:3" ht="15.6" x14ac:dyDescent="0.35">
      <c r="A3" s="3" t="s">
        <v>85</v>
      </c>
      <c r="B3" s="64">
        <v>300</v>
      </c>
    </row>
    <row r="4" spans="1:3" x14ac:dyDescent="0.3">
      <c r="A4" s="3" t="s">
        <v>115</v>
      </c>
      <c r="B4" s="3">
        <v>8.5000000000000006E-2</v>
      </c>
    </row>
    <row r="5" spans="1:3" x14ac:dyDescent="0.3">
      <c r="A5" s="3" t="s">
        <v>113</v>
      </c>
      <c r="B5" s="3">
        <v>15</v>
      </c>
    </row>
    <row r="6" spans="1:3" x14ac:dyDescent="0.3">
      <c r="A6" s="3" t="s">
        <v>116</v>
      </c>
      <c r="B6" s="3">
        <v>14</v>
      </c>
    </row>
    <row r="7" spans="1:3" x14ac:dyDescent="0.3">
      <c r="A7" s="3" t="s">
        <v>117</v>
      </c>
      <c r="B7" s="64">
        <v>1000</v>
      </c>
      <c r="C7" t="s">
        <v>119</v>
      </c>
    </row>
    <row r="8" spans="1:3" x14ac:dyDescent="0.3">
      <c r="A8" s="3" t="s">
        <v>118</v>
      </c>
      <c r="B8" s="3">
        <v>2</v>
      </c>
      <c r="C8" t="s">
        <v>119</v>
      </c>
    </row>
    <row r="9" spans="1:3" x14ac:dyDescent="0.3">
      <c r="A9" s="3" t="s">
        <v>114</v>
      </c>
      <c r="B9" s="3"/>
    </row>
    <row r="10" spans="1:3" ht="15.6" x14ac:dyDescent="0.35">
      <c r="A10" s="3" t="s">
        <v>86</v>
      </c>
      <c r="B10" s="7">
        <f>B7/(1+B4/B8)^(B8*B6)</f>
        <v>311.79576921934188</v>
      </c>
      <c r="C10" s="6">
        <f>PV(B4/B8,B6*B8,,B7)</f>
        <v>-311.79576921934188</v>
      </c>
    </row>
    <row r="11" spans="1:3" x14ac:dyDescent="0.3">
      <c r="A11" s="3" t="s">
        <v>120</v>
      </c>
      <c r="B11" s="7">
        <f>B10/B3-1</f>
        <v>3.9319230731139632E-2</v>
      </c>
    </row>
    <row r="13" spans="1:3" x14ac:dyDescent="0.3">
      <c r="A13" t="s">
        <v>176</v>
      </c>
      <c r="B13" t="s">
        <v>177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:B10"/>
  <sheetViews>
    <sheetView zoomScale="175" zoomScaleNormal="175" workbookViewId="0">
      <selection activeCell="B7" sqref="B7"/>
    </sheetView>
  </sheetViews>
  <sheetFormatPr defaultRowHeight="14.4" x14ac:dyDescent="0.3"/>
  <cols>
    <col min="1" max="1" width="13.88671875" bestFit="1" customWidth="1"/>
    <col min="2" max="2" width="14.21875" customWidth="1"/>
  </cols>
  <sheetData>
    <row r="1" spans="1:2" ht="25.8" x14ac:dyDescent="0.5">
      <c r="A1" s="70" t="s">
        <v>150</v>
      </c>
    </row>
    <row r="2" spans="1:2" x14ac:dyDescent="0.3">
      <c r="A2" s="3" t="s">
        <v>121</v>
      </c>
      <c r="B2" s="3" t="s">
        <v>126</v>
      </c>
    </row>
    <row r="3" spans="1:2" x14ac:dyDescent="0.3">
      <c r="A3" s="3" t="s">
        <v>87</v>
      </c>
      <c r="B3" s="8">
        <v>100</v>
      </c>
    </row>
    <row r="4" spans="1:2" x14ac:dyDescent="0.3">
      <c r="A4" s="3" t="s">
        <v>122</v>
      </c>
      <c r="B4" s="18">
        <v>0.05</v>
      </c>
    </row>
    <row r="5" spans="1:2" ht="15.6" x14ac:dyDescent="0.35">
      <c r="A5" s="3" t="s">
        <v>85</v>
      </c>
      <c r="B5" s="8">
        <v>95</v>
      </c>
    </row>
    <row r="6" spans="1:2" ht="15.6" x14ac:dyDescent="0.35">
      <c r="A6" s="3" t="s">
        <v>123</v>
      </c>
      <c r="B6" s="3">
        <v>96</v>
      </c>
    </row>
    <row r="7" spans="1:2" ht="15.6" x14ac:dyDescent="0.35">
      <c r="A7" s="3" t="s">
        <v>124</v>
      </c>
      <c r="B7" s="57"/>
    </row>
    <row r="8" spans="1:2" x14ac:dyDescent="0.3">
      <c r="A8" s="3" t="s">
        <v>120</v>
      </c>
      <c r="B8" s="7"/>
    </row>
    <row r="10" spans="1:2" x14ac:dyDescent="0.3">
      <c r="A10" t="s">
        <v>178</v>
      </c>
      <c r="B10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10"/>
  <sheetViews>
    <sheetView zoomScale="175" zoomScaleNormal="175" workbookViewId="0">
      <selection activeCell="B7" sqref="B7"/>
    </sheetView>
  </sheetViews>
  <sheetFormatPr defaultRowHeight="14.4" x14ac:dyDescent="0.3"/>
  <cols>
    <col min="1" max="1" width="13.88671875" bestFit="1" customWidth="1"/>
    <col min="2" max="2" width="14.21875" customWidth="1"/>
  </cols>
  <sheetData>
    <row r="1" spans="1:2" ht="25.8" x14ac:dyDescent="0.5">
      <c r="A1" s="70" t="s">
        <v>150</v>
      </c>
    </row>
    <row r="2" spans="1:2" x14ac:dyDescent="0.3">
      <c r="A2" s="3" t="s">
        <v>121</v>
      </c>
      <c r="B2" s="3" t="s">
        <v>126</v>
      </c>
    </row>
    <row r="3" spans="1:2" x14ac:dyDescent="0.3">
      <c r="A3" s="3" t="s">
        <v>87</v>
      </c>
      <c r="B3" s="8">
        <v>100</v>
      </c>
    </row>
    <row r="4" spans="1:2" x14ac:dyDescent="0.3">
      <c r="A4" s="3" t="s">
        <v>122</v>
      </c>
      <c r="B4" s="18">
        <v>0.05</v>
      </c>
    </row>
    <row r="5" spans="1:2" ht="15.6" x14ac:dyDescent="0.35">
      <c r="A5" s="3" t="s">
        <v>85</v>
      </c>
      <c r="B5" s="8">
        <v>95</v>
      </c>
    </row>
    <row r="6" spans="1:2" ht="15.6" x14ac:dyDescent="0.35">
      <c r="A6" s="3" t="s">
        <v>123</v>
      </c>
      <c r="B6" s="3">
        <v>96</v>
      </c>
    </row>
    <row r="7" spans="1:2" ht="15.6" x14ac:dyDescent="0.35">
      <c r="A7" s="3" t="s">
        <v>124</v>
      </c>
      <c r="B7" s="57">
        <f>B3*B4</f>
        <v>5</v>
      </c>
    </row>
    <row r="8" spans="1:2" x14ac:dyDescent="0.3">
      <c r="A8" s="3" t="s">
        <v>120</v>
      </c>
      <c r="B8" s="7">
        <f>SUM(B6:B7)/B5-1</f>
        <v>6.315789473684208E-2</v>
      </c>
    </row>
    <row r="10" spans="1:2" x14ac:dyDescent="0.3">
      <c r="A10" t="s">
        <v>178</v>
      </c>
      <c r="B10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C22"/>
  <sheetViews>
    <sheetView zoomScale="130" zoomScaleNormal="130" workbookViewId="0">
      <selection activeCell="B6" sqref="B6"/>
    </sheetView>
  </sheetViews>
  <sheetFormatPr defaultRowHeight="14.4" x14ac:dyDescent="0.3"/>
  <cols>
    <col min="1" max="1" width="21.6640625" bestFit="1" customWidth="1"/>
    <col min="2" max="2" width="14.21875" customWidth="1"/>
  </cols>
  <sheetData>
    <row r="1" spans="1:3" ht="25.8" x14ac:dyDescent="0.5">
      <c r="A1" s="70" t="s">
        <v>151</v>
      </c>
    </row>
    <row r="2" spans="1:3" x14ac:dyDescent="0.3">
      <c r="A2" s="3" t="s">
        <v>121</v>
      </c>
      <c r="B2" s="3" t="s">
        <v>125</v>
      </c>
    </row>
    <row r="3" spans="1:3" x14ac:dyDescent="0.3">
      <c r="A3" s="3" t="s">
        <v>127</v>
      </c>
      <c r="B3" s="3">
        <v>4</v>
      </c>
      <c r="C3" t="s">
        <v>128</v>
      </c>
    </row>
    <row r="4" spans="1:3" ht="15.6" x14ac:dyDescent="0.35">
      <c r="A4" s="3" t="s">
        <v>85</v>
      </c>
      <c r="B4" s="8">
        <v>52.25</v>
      </c>
    </row>
    <row r="5" spans="1:3" ht="15.6" x14ac:dyDescent="0.35">
      <c r="A5" s="3" t="s">
        <v>182</v>
      </c>
      <c r="B5" s="8">
        <v>53</v>
      </c>
    </row>
    <row r="6" spans="1:3" x14ac:dyDescent="0.3">
      <c r="A6" s="3" t="str">
        <f>"Period Return ("&amp;B3&amp;" "&amp;C3&amp;")"</f>
        <v>Period Return (4 months)</v>
      </c>
      <c r="B6" s="65"/>
    </row>
    <row r="7" spans="1:3" x14ac:dyDescent="0.3">
      <c r="A7" s="3" t="s">
        <v>132</v>
      </c>
      <c r="B7" s="3">
        <v>12</v>
      </c>
    </row>
    <row r="8" spans="1:3" x14ac:dyDescent="0.3">
      <c r="A8" s="3" t="s">
        <v>131</v>
      </c>
      <c r="B8" s="7"/>
    </row>
    <row r="9" spans="1:3" x14ac:dyDescent="0.3">
      <c r="A9" s="3" t="s">
        <v>183</v>
      </c>
      <c r="B9" s="65"/>
    </row>
    <row r="10" spans="1:3" x14ac:dyDescent="0.3">
      <c r="A10" s="3" t="s">
        <v>133</v>
      </c>
      <c r="B10" s="65"/>
    </row>
    <row r="13" spans="1:3" ht="25.8" x14ac:dyDescent="0.5">
      <c r="A13" s="70" t="s">
        <v>151</v>
      </c>
    </row>
    <row r="14" spans="1:3" x14ac:dyDescent="0.3">
      <c r="A14" s="3" t="s">
        <v>121</v>
      </c>
      <c r="B14" s="3" t="s">
        <v>125</v>
      </c>
    </row>
    <row r="15" spans="1:3" x14ac:dyDescent="0.3">
      <c r="A15" s="3" t="s">
        <v>127</v>
      </c>
      <c r="B15" s="3">
        <v>32</v>
      </c>
      <c r="C15" t="s">
        <v>180</v>
      </c>
    </row>
    <row r="16" spans="1:3" ht="15.6" x14ac:dyDescent="0.35">
      <c r="A16" s="3" t="s">
        <v>85</v>
      </c>
      <c r="B16" s="8">
        <v>52.25</v>
      </c>
    </row>
    <row r="17" spans="1:2" ht="15.6" x14ac:dyDescent="0.35">
      <c r="A17" s="3" t="s">
        <v>129</v>
      </c>
      <c r="B17" s="8">
        <v>53</v>
      </c>
    </row>
    <row r="18" spans="1:2" x14ac:dyDescent="0.3">
      <c r="A18" s="3" t="str">
        <f>"Period Return ("&amp;B15&amp;" "&amp;C15&amp;")"</f>
        <v>Period Return (32 Days)</v>
      </c>
      <c r="B18" s="65"/>
    </row>
    <row r="19" spans="1:2" x14ac:dyDescent="0.3">
      <c r="A19" s="3" t="s">
        <v>181</v>
      </c>
      <c r="B19" s="3">
        <v>365</v>
      </c>
    </row>
    <row r="20" spans="1:2" x14ac:dyDescent="0.3">
      <c r="A20" s="3" t="s">
        <v>131</v>
      </c>
      <c r="B20" s="7"/>
    </row>
    <row r="21" spans="1:2" x14ac:dyDescent="0.3">
      <c r="A21" s="3" t="s">
        <v>130</v>
      </c>
      <c r="B21" s="65"/>
    </row>
    <row r="22" spans="1:2" x14ac:dyDescent="0.3">
      <c r="A22" s="3" t="s">
        <v>133</v>
      </c>
      <c r="B22" s="6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C23"/>
  <sheetViews>
    <sheetView zoomScale="145" zoomScaleNormal="145" workbookViewId="0">
      <selection activeCell="B6" sqref="B6"/>
    </sheetView>
  </sheetViews>
  <sheetFormatPr defaultRowHeight="14.4" x14ac:dyDescent="0.3"/>
  <cols>
    <col min="1" max="1" width="21.6640625" bestFit="1" customWidth="1"/>
    <col min="2" max="2" width="14.21875" customWidth="1"/>
  </cols>
  <sheetData>
    <row r="1" spans="1:3" ht="25.8" x14ac:dyDescent="0.5">
      <c r="A1" s="70" t="s">
        <v>151</v>
      </c>
    </row>
    <row r="2" spans="1:3" x14ac:dyDescent="0.3">
      <c r="A2" s="3" t="s">
        <v>121</v>
      </c>
      <c r="B2" s="3" t="s">
        <v>125</v>
      </c>
    </row>
    <row r="3" spans="1:3" x14ac:dyDescent="0.3">
      <c r="A3" s="3" t="s">
        <v>127</v>
      </c>
      <c r="B3" s="3">
        <v>4</v>
      </c>
      <c r="C3" t="s">
        <v>128</v>
      </c>
    </row>
    <row r="4" spans="1:3" ht="15.6" x14ac:dyDescent="0.35">
      <c r="A4" s="3" t="s">
        <v>85</v>
      </c>
      <c r="B4" s="8">
        <v>52.25</v>
      </c>
    </row>
    <row r="5" spans="1:3" ht="15.6" x14ac:dyDescent="0.35">
      <c r="A5" s="3" t="s">
        <v>182</v>
      </c>
      <c r="B5" s="8">
        <v>53</v>
      </c>
    </row>
    <row r="6" spans="1:3" x14ac:dyDescent="0.3">
      <c r="A6" s="3" t="str">
        <f>"Period Return ("&amp;B3&amp;" "&amp;C3&amp;")"</f>
        <v>Period Return (4 months)</v>
      </c>
      <c r="B6" s="65">
        <f>B5/B4-1</f>
        <v>1.4354066985645897E-2</v>
      </c>
    </row>
    <row r="7" spans="1:3" x14ac:dyDescent="0.3">
      <c r="A7" s="3" t="s">
        <v>132</v>
      </c>
      <c r="B7" s="3">
        <v>12</v>
      </c>
    </row>
    <row r="8" spans="1:3" x14ac:dyDescent="0.3">
      <c r="A8" s="3" t="s">
        <v>131</v>
      </c>
      <c r="B8" s="7">
        <f>B7/B3</f>
        <v>3</v>
      </c>
    </row>
    <row r="9" spans="1:3" x14ac:dyDescent="0.3">
      <c r="A9" s="3" t="s">
        <v>183</v>
      </c>
      <c r="B9" s="65">
        <f>B6*B8</f>
        <v>4.3062200956937691E-2</v>
      </c>
    </row>
    <row r="10" spans="1:3" x14ac:dyDescent="0.3">
      <c r="A10" s="3" t="s">
        <v>133</v>
      </c>
      <c r="B10" s="65">
        <f>EFFECT(B9,B8)</f>
        <v>4.3683276175061625E-2</v>
      </c>
    </row>
    <row r="13" spans="1:3" ht="25.8" x14ac:dyDescent="0.5">
      <c r="A13" s="70" t="s">
        <v>151</v>
      </c>
    </row>
    <row r="14" spans="1:3" x14ac:dyDescent="0.3">
      <c r="A14" s="3" t="s">
        <v>121</v>
      </c>
      <c r="B14" s="3" t="s">
        <v>125</v>
      </c>
    </row>
    <row r="15" spans="1:3" x14ac:dyDescent="0.3">
      <c r="A15" s="3" t="s">
        <v>127</v>
      </c>
      <c r="B15" s="3">
        <v>32</v>
      </c>
      <c r="C15" t="s">
        <v>180</v>
      </c>
    </row>
    <row r="16" spans="1:3" ht="15.6" x14ac:dyDescent="0.35">
      <c r="A16" s="3" t="s">
        <v>85</v>
      </c>
      <c r="B16" s="8">
        <v>52.25</v>
      </c>
    </row>
    <row r="17" spans="1:2" ht="15.6" x14ac:dyDescent="0.35">
      <c r="A17" s="3" t="s">
        <v>129</v>
      </c>
      <c r="B17" s="8">
        <v>53</v>
      </c>
    </row>
    <row r="18" spans="1:2" x14ac:dyDescent="0.3">
      <c r="A18" s="3" t="str">
        <f>"Period Return ("&amp;B15&amp;" "&amp;C15&amp;")"</f>
        <v>Period Return (32 Days)</v>
      </c>
      <c r="B18" s="65">
        <f>B17/B16-1</f>
        <v>1.4354066985645897E-2</v>
      </c>
    </row>
    <row r="19" spans="1:2" x14ac:dyDescent="0.3">
      <c r="A19" s="3" t="s">
        <v>181</v>
      </c>
      <c r="B19" s="3">
        <v>365</v>
      </c>
    </row>
    <row r="20" spans="1:2" x14ac:dyDescent="0.3">
      <c r="A20" s="3" t="s">
        <v>131</v>
      </c>
      <c r="B20" s="7">
        <f>B19/B15</f>
        <v>11.40625</v>
      </c>
    </row>
    <row r="21" spans="1:2" x14ac:dyDescent="0.3">
      <c r="A21" s="3" t="s">
        <v>130</v>
      </c>
      <c r="B21" s="65">
        <f>B20*B18</f>
        <v>0.16372607655502353</v>
      </c>
    </row>
    <row r="22" spans="1:2" x14ac:dyDescent="0.3">
      <c r="A22" s="3" t="s">
        <v>133</v>
      </c>
      <c r="B22" s="65">
        <f>(1+B18)^B20-1</f>
        <v>0.1765214181641992</v>
      </c>
    </row>
    <row r="23" spans="1:2" x14ac:dyDescent="0.3">
      <c r="B23">
        <f>EFFECT(B21,B20)</f>
        <v>0.17647134039412116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G11"/>
  <sheetViews>
    <sheetView zoomScale="115" zoomScaleNormal="115" workbookViewId="0">
      <selection activeCell="E4" sqref="E4"/>
    </sheetView>
  </sheetViews>
  <sheetFormatPr defaultRowHeight="14.4" x14ac:dyDescent="0.3"/>
  <cols>
    <col min="3" max="3" width="12.5546875" bestFit="1" customWidth="1"/>
    <col min="4" max="4" width="15.6640625" bestFit="1" customWidth="1"/>
    <col min="5" max="5" width="14.77734375" bestFit="1" customWidth="1"/>
    <col min="6" max="6" width="12.109375" bestFit="1" customWidth="1"/>
  </cols>
  <sheetData>
    <row r="1" spans="1:7" ht="25.8" x14ac:dyDescent="0.5">
      <c r="A1" s="70" t="s">
        <v>184</v>
      </c>
    </row>
    <row r="2" spans="1:7" x14ac:dyDescent="0.3">
      <c r="A2" s="23" t="s">
        <v>0</v>
      </c>
      <c r="B2" s="23" t="s">
        <v>144</v>
      </c>
      <c r="C2" s="23" t="s">
        <v>142</v>
      </c>
      <c r="D2" s="23" t="s">
        <v>143</v>
      </c>
      <c r="E2" s="23" t="s">
        <v>84</v>
      </c>
    </row>
    <row r="3" spans="1:7" x14ac:dyDescent="0.3">
      <c r="A3" s="3">
        <v>1</v>
      </c>
      <c r="B3" s="3">
        <v>0</v>
      </c>
      <c r="C3" s="3">
        <v>65</v>
      </c>
      <c r="D3" s="3">
        <v>0</v>
      </c>
      <c r="E3" s="3"/>
    </row>
    <row r="4" spans="1:7" x14ac:dyDescent="0.3">
      <c r="A4" s="3">
        <v>2</v>
      </c>
      <c r="B4" s="3">
        <v>1</v>
      </c>
      <c r="C4" s="3">
        <v>70</v>
      </c>
      <c r="D4" s="3">
        <v>1</v>
      </c>
      <c r="E4" s="7"/>
    </row>
    <row r="5" spans="1:7" x14ac:dyDescent="0.3">
      <c r="A5" s="3">
        <v>3</v>
      </c>
      <c r="B5" s="3">
        <v>2</v>
      </c>
      <c r="C5" s="3">
        <v>75.5</v>
      </c>
      <c r="D5" s="3">
        <v>1.05</v>
      </c>
      <c r="E5" s="7"/>
    </row>
    <row r="6" spans="1:7" x14ac:dyDescent="0.3">
      <c r="A6" s="3">
        <v>4</v>
      </c>
      <c r="B6" s="3">
        <v>3</v>
      </c>
      <c r="C6" s="3">
        <v>60</v>
      </c>
      <c r="D6" s="3">
        <v>1</v>
      </c>
      <c r="E6" s="7"/>
      <c r="G6" t="s">
        <v>185</v>
      </c>
    </row>
    <row r="7" spans="1:7" x14ac:dyDescent="0.3">
      <c r="A7" s="3">
        <v>5</v>
      </c>
      <c r="B7" s="3">
        <v>4</v>
      </c>
      <c r="C7" s="3">
        <v>73</v>
      </c>
      <c r="D7" s="3">
        <v>1</v>
      </c>
      <c r="E7" s="7"/>
    </row>
    <row r="8" spans="1:7" x14ac:dyDescent="0.3">
      <c r="A8" s="3">
        <v>6</v>
      </c>
      <c r="B8" s="3">
        <v>5</v>
      </c>
      <c r="C8" s="3">
        <v>80</v>
      </c>
      <c r="D8" s="3">
        <v>1.1000000000000001</v>
      </c>
      <c r="E8" s="7"/>
    </row>
    <row r="10" spans="1:7" x14ac:dyDescent="0.3">
      <c r="D10" s="3" t="s">
        <v>11</v>
      </c>
      <c r="E10" s="7"/>
      <c r="F10" t="s">
        <v>152</v>
      </c>
    </row>
    <row r="11" spans="1:7" x14ac:dyDescent="0.3">
      <c r="D11" s="3" t="s">
        <v>83</v>
      </c>
      <c r="E11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13"/>
  <sheetViews>
    <sheetView zoomScale="115" zoomScaleNormal="115" workbookViewId="0">
      <selection activeCell="E11" sqref="E11"/>
    </sheetView>
  </sheetViews>
  <sheetFormatPr defaultRowHeight="14.4" x14ac:dyDescent="0.3"/>
  <cols>
    <col min="3" max="3" width="12.5546875" bestFit="1" customWidth="1"/>
    <col min="4" max="4" width="15.6640625" bestFit="1" customWidth="1"/>
    <col min="5" max="5" width="14.77734375" bestFit="1" customWidth="1"/>
    <col min="6" max="6" width="12.109375" bestFit="1" customWidth="1"/>
    <col min="9" max="9" width="12.6640625" bestFit="1" customWidth="1"/>
    <col min="10" max="10" width="4.44140625" customWidth="1"/>
    <col min="11" max="11" width="12" bestFit="1" customWidth="1"/>
  </cols>
  <sheetData>
    <row r="1" spans="1:11" ht="25.8" x14ac:dyDescent="0.5">
      <c r="A1" s="70" t="s">
        <v>184</v>
      </c>
      <c r="I1" s="81" t="s">
        <v>199</v>
      </c>
    </row>
    <row r="2" spans="1:11" x14ac:dyDescent="0.3">
      <c r="A2" s="23" t="s">
        <v>0</v>
      </c>
      <c r="B2" s="23" t="s">
        <v>144</v>
      </c>
      <c r="C2" s="23" t="s">
        <v>142</v>
      </c>
      <c r="D2" s="23" t="s">
        <v>143</v>
      </c>
      <c r="E2" s="23" t="s">
        <v>84</v>
      </c>
      <c r="I2" s="23" t="s">
        <v>84</v>
      </c>
    </row>
    <row r="3" spans="1:11" x14ac:dyDescent="0.3">
      <c r="A3" s="3">
        <v>1</v>
      </c>
      <c r="B3" s="3">
        <v>0</v>
      </c>
      <c r="C3" s="3">
        <v>65</v>
      </c>
      <c r="D3" s="3">
        <v>0</v>
      </c>
      <c r="E3" s="3"/>
      <c r="I3" s="3"/>
    </row>
    <row r="4" spans="1:11" x14ac:dyDescent="0.3">
      <c r="A4" s="3">
        <v>2</v>
      </c>
      <c r="B4" s="3">
        <v>1</v>
      </c>
      <c r="C4" s="3">
        <v>70</v>
      </c>
      <c r="D4" s="3">
        <v>1</v>
      </c>
      <c r="E4" s="7">
        <f>(D4+C4)/C3-1</f>
        <v>9.2307692307692202E-2</v>
      </c>
      <c r="I4" s="7" cm="1">
        <f t="array" ref="I4:I8">(C4:C8+D4:D8)/C3:C7-1</f>
        <v>9.2307692307692202E-2</v>
      </c>
      <c r="J4" s="82" t="s">
        <v>202</v>
      </c>
      <c r="K4" s="7" cm="1">
        <f t="array" ref="K4:K8">(C4:C8-C3:C7+D4:D8)/C3:C7</f>
        <v>9.2307692307692313E-2</v>
      </c>
    </row>
    <row r="5" spans="1:11" x14ac:dyDescent="0.3">
      <c r="A5" s="3">
        <v>3</v>
      </c>
      <c r="B5" s="3">
        <v>2</v>
      </c>
      <c r="C5" s="3">
        <v>75.5</v>
      </c>
      <c r="D5" s="3">
        <v>1.05</v>
      </c>
      <c r="E5" s="7">
        <f t="shared" ref="E5:E8" si="0">(D5+C5)/C4-1</f>
        <v>9.3571428571428639E-2</v>
      </c>
      <c r="I5" s="7">
        <v>9.3571428571428639E-2</v>
      </c>
      <c r="K5" s="7">
        <v>9.3571428571428569E-2</v>
      </c>
    </row>
    <row r="6" spans="1:11" x14ac:dyDescent="0.3">
      <c r="A6" s="3">
        <v>4</v>
      </c>
      <c r="B6" s="3">
        <v>3</v>
      </c>
      <c r="C6" s="3">
        <v>60</v>
      </c>
      <c r="D6" s="3">
        <v>1</v>
      </c>
      <c r="E6" s="7">
        <f t="shared" si="0"/>
        <v>-0.19205298013245031</v>
      </c>
      <c r="G6" s="3" t="s">
        <v>185</v>
      </c>
      <c r="I6" s="7">
        <v>-0.19205298013245031</v>
      </c>
      <c r="K6" s="7">
        <v>-0.19205298013245034</v>
      </c>
    </row>
    <row r="7" spans="1:11" x14ac:dyDescent="0.3">
      <c r="A7" s="3">
        <v>5</v>
      </c>
      <c r="B7" s="3">
        <v>4</v>
      </c>
      <c r="C7" s="3">
        <v>73</v>
      </c>
      <c r="D7" s="3">
        <v>1</v>
      </c>
      <c r="E7" s="7">
        <f t="shared" si="0"/>
        <v>0.23333333333333339</v>
      </c>
      <c r="G7" s="7">
        <f>SUM(E4:E8)/COUNT(E4:E8)</f>
        <v>6.7623675637918559E-2</v>
      </c>
      <c r="I7" s="7">
        <v>0.23333333333333339</v>
      </c>
      <c r="K7" s="7">
        <v>0.23333333333333334</v>
      </c>
    </row>
    <row r="8" spans="1:11" x14ac:dyDescent="0.3">
      <c r="A8" s="3">
        <v>6</v>
      </c>
      <c r="B8" s="3">
        <v>5</v>
      </c>
      <c r="C8" s="3">
        <v>80</v>
      </c>
      <c r="D8" s="3">
        <v>1.1000000000000001</v>
      </c>
      <c r="E8" s="7">
        <f t="shared" si="0"/>
        <v>0.11095890410958886</v>
      </c>
      <c r="I8" s="7">
        <v>0.11095890410958886</v>
      </c>
      <c r="K8" s="7">
        <v>0.11095890410958903</v>
      </c>
    </row>
    <row r="10" spans="1:11" x14ac:dyDescent="0.3">
      <c r="D10" s="3" t="s">
        <v>11</v>
      </c>
      <c r="E10" s="7">
        <f>AVERAGE(E4:E8)</f>
        <v>6.7623675637918559E-2</v>
      </c>
      <c r="F10" t="s">
        <v>152</v>
      </c>
    </row>
    <row r="11" spans="1:11" x14ac:dyDescent="0.3">
      <c r="D11" s="3" t="s">
        <v>83</v>
      </c>
      <c r="E11" s="7">
        <f>SUMPRODUCT(GEOMEAN(E4:E8+1))-1</f>
        <v>5.7476436282306809E-2</v>
      </c>
    </row>
    <row r="12" spans="1:11" x14ac:dyDescent="0.3">
      <c r="D12" s="3" t="s">
        <v>83</v>
      </c>
      <c r="E12" s="7" cm="1">
        <f t="array" ref="E12">GEOMEAN(1+_xlfn.ANCHORARRAY(K4))-1</f>
        <v>5.7476436282306809E-2</v>
      </c>
    </row>
    <row r="13" spans="1:11" x14ac:dyDescent="0.3">
      <c r="D13" s="3" t="s">
        <v>83</v>
      </c>
      <c r="E13" s="7" cm="1">
        <f t="array" ref="E13">PRODUCT(1+E4:E8)^(1/B8)-1</f>
        <v>5.7476436282306809E-2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F26"/>
  <sheetViews>
    <sheetView topLeftCell="A7" zoomScale="85" zoomScaleNormal="85" workbookViewId="0">
      <selection activeCell="C10" sqref="C10"/>
    </sheetView>
  </sheetViews>
  <sheetFormatPr defaultRowHeight="14.4" x14ac:dyDescent="0.3"/>
  <cols>
    <col min="1" max="1" width="33.44140625" customWidth="1"/>
    <col min="2" max="2" width="12.33203125" customWidth="1"/>
    <col min="3" max="3" width="16.21875" customWidth="1"/>
    <col min="4" max="4" width="8.88671875" customWidth="1"/>
    <col min="5" max="5" width="13.88671875" customWidth="1"/>
    <col min="6" max="6" width="12.5546875" customWidth="1"/>
    <col min="257" max="257" width="10.6640625" customWidth="1"/>
    <col min="258" max="258" width="12.33203125" customWidth="1"/>
    <col min="259" max="259" width="10.88671875" bestFit="1" customWidth="1"/>
    <col min="260" max="260" width="8.88671875" customWidth="1"/>
    <col min="261" max="261" width="13.88671875" customWidth="1"/>
    <col min="262" max="262" width="12.5546875" customWidth="1"/>
    <col min="513" max="513" width="10.6640625" customWidth="1"/>
    <col min="514" max="514" width="12.33203125" customWidth="1"/>
    <col min="515" max="515" width="10.88671875" bestFit="1" customWidth="1"/>
    <col min="516" max="516" width="8.88671875" customWidth="1"/>
    <col min="517" max="517" width="13.88671875" customWidth="1"/>
    <col min="518" max="518" width="12.5546875" customWidth="1"/>
    <col min="769" max="769" width="10.6640625" customWidth="1"/>
    <col min="770" max="770" width="12.33203125" customWidth="1"/>
    <col min="771" max="771" width="10.88671875" bestFit="1" customWidth="1"/>
    <col min="772" max="772" width="8.88671875" customWidth="1"/>
    <col min="773" max="773" width="13.88671875" customWidth="1"/>
    <col min="774" max="774" width="12.5546875" customWidth="1"/>
    <col min="1025" max="1025" width="10.6640625" customWidth="1"/>
    <col min="1026" max="1026" width="12.33203125" customWidth="1"/>
    <col min="1027" max="1027" width="10.88671875" bestFit="1" customWidth="1"/>
    <col min="1028" max="1028" width="8.88671875" customWidth="1"/>
    <col min="1029" max="1029" width="13.88671875" customWidth="1"/>
    <col min="1030" max="1030" width="12.5546875" customWidth="1"/>
    <col min="1281" max="1281" width="10.6640625" customWidth="1"/>
    <col min="1282" max="1282" width="12.33203125" customWidth="1"/>
    <col min="1283" max="1283" width="10.88671875" bestFit="1" customWidth="1"/>
    <col min="1284" max="1284" width="8.88671875" customWidth="1"/>
    <col min="1285" max="1285" width="13.88671875" customWidth="1"/>
    <col min="1286" max="1286" width="12.5546875" customWidth="1"/>
    <col min="1537" max="1537" width="10.6640625" customWidth="1"/>
    <col min="1538" max="1538" width="12.33203125" customWidth="1"/>
    <col min="1539" max="1539" width="10.88671875" bestFit="1" customWidth="1"/>
    <col min="1540" max="1540" width="8.88671875" customWidth="1"/>
    <col min="1541" max="1541" width="13.88671875" customWidth="1"/>
    <col min="1542" max="1542" width="12.5546875" customWidth="1"/>
    <col min="1793" max="1793" width="10.6640625" customWidth="1"/>
    <col min="1794" max="1794" width="12.33203125" customWidth="1"/>
    <col min="1795" max="1795" width="10.88671875" bestFit="1" customWidth="1"/>
    <col min="1796" max="1796" width="8.88671875" customWidth="1"/>
    <col min="1797" max="1797" width="13.88671875" customWidth="1"/>
    <col min="1798" max="1798" width="12.5546875" customWidth="1"/>
    <col min="2049" max="2049" width="10.6640625" customWidth="1"/>
    <col min="2050" max="2050" width="12.33203125" customWidth="1"/>
    <col min="2051" max="2051" width="10.88671875" bestFit="1" customWidth="1"/>
    <col min="2052" max="2052" width="8.88671875" customWidth="1"/>
    <col min="2053" max="2053" width="13.88671875" customWidth="1"/>
    <col min="2054" max="2054" width="12.5546875" customWidth="1"/>
    <col min="2305" max="2305" width="10.6640625" customWidth="1"/>
    <col min="2306" max="2306" width="12.33203125" customWidth="1"/>
    <col min="2307" max="2307" width="10.88671875" bestFit="1" customWidth="1"/>
    <col min="2308" max="2308" width="8.88671875" customWidth="1"/>
    <col min="2309" max="2309" width="13.88671875" customWidth="1"/>
    <col min="2310" max="2310" width="12.5546875" customWidth="1"/>
    <col min="2561" max="2561" width="10.6640625" customWidth="1"/>
    <col min="2562" max="2562" width="12.33203125" customWidth="1"/>
    <col min="2563" max="2563" width="10.88671875" bestFit="1" customWidth="1"/>
    <col min="2564" max="2564" width="8.88671875" customWidth="1"/>
    <col min="2565" max="2565" width="13.88671875" customWidth="1"/>
    <col min="2566" max="2566" width="12.5546875" customWidth="1"/>
    <col min="2817" max="2817" width="10.6640625" customWidth="1"/>
    <col min="2818" max="2818" width="12.33203125" customWidth="1"/>
    <col min="2819" max="2819" width="10.88671875" bestFit="1" customWidth="1"/>
    <col min="2820" max="2820" width="8.88671875" customWidth="1"/>
    <col min="2821" max="2821" width="13.88671875" customWidth="1"/>
    <col min="2822" max="2822" width="12.5546875" customWidth="1"/>
    <col min="3073" max="3073" width="10.6640625" customWidth="1"/>
    <col min="3074" max="3074" width="12.33203125" customWidth="1"/>
    <col min="3075" max="3075" width="10.88671875" bestFit="1" customWidth="1"/>
    <col min="3076" max="3076" width="8.88671875" customWidth="1"/>
    <col min="3077" max="3077" width="13.88671875" customWidth="1"/>
    <col min="3078" max="3078" width="12.5546875" customWidth="1"/>
    <col min="3329" max="3329" width="10.6640625" customWidth="1"/>
    <col min="3330" max="3330" width="12.33203125" customWidth="1"/>
    <col min="3331" max="3331" width="10.88671875" bestFit="1" customWidth="1"/>
    <col min="3332" max="3332" width="8.88671875" customWidth="1"/>
    <col min="3333" max="3333" width="13.88671875" customWidth="1"/>
    <col min="3334" max="3334" width="12.5546875" customWidth="1"/>
    <col min="3585" max="3585" width="10.6640625" customWidth="1"/>
    <col min="3586" max="3586" width="12.33203125" customWidth="1"/>
    <col min="3587" max="3587" width="10.88671875" bestFit="1" customWidth="1"/>
    <col min="3588" max="3588" width="8.88671875" customWidth="1"/>
    <col min="3589" max="3589" width="13.88671875" customWidth="1"/>
    <col min="3590" max="3590" width="12.5546875" customWidth="1"/>
    <col min="3841" max="3841" width="10.6640625" customWidth="1"/>
    <col min="3842" max="3842" width="12.33203125" customWidth="1"/>
    <col min="3843" max="3843" width="10.88671875" bestFit="1" customWidth="1"/>
    <col min="3844" max="3844" width="8.88671875" customWidth="1"/>
    <col min="3845" max="3845" width="13.88671875" customWidth="1"/>
    <col min="3846" max="3846" width="12.5546875" customWidth="1"/>
    <col min="4097" max="4097" width="10.6640625" customWidth="1"/>
    <col min="4098" max="4098" width="12.33203125" customWidth="1"/>
    <col min="4099" max="4099" width="10.88671875" bestFit="1" customWidth="1"/>
    <col min="4100" max="4100" width="8.88671875" customWidth="1"/>
    <col min="4101" max="4101" width="13.88671875" customWidth="1"/>
    <col min="4102" max="4102" width="12.5546875" customWidth="1"/>
    <col min="4353" max="4353" width="10.6640625" customWidth="1"/>
    <col min="4354" max="4354" width="12.33203125" customWidth="1"/>
    <col min="4355" max="4355" width="10.88671875" bestFit="1" customWidth="1"/>
    <col min="4356" max="4356" width="8.88671875" customWidth="1"/>
    <col min="4357" max="4357" width="13.88671875" customWidth="1"/>
    <col min="4358" max="4358" width="12.5546875" customWidth="1"/>
    <col min="4609" max="4609" width="10.6640625" customWidth="1"/>
    <col min="4610" max="4610" width="12.33203125" customWidth="1"/>
    <col min="4611" max="4611" width="10.88671875" bestFit="1" customWidth="1"/>
    <col min="4612" max="4612" width="8.88671875" customWidth="1"/>
    <col min="4613" max="4613" width="13.88671875" customWidth="1"/>
    <col min="4614" max="4614" width="12.5546875" customWidth="1"/>
    <col min="4865" max="4865" width="10.6640625" customWidth="1"/>
    <col min="4866" max="4866" width="12.33203125" customWidth="1"/>
    <col min="4867" max="4867" width="10.88671875" bestFit="1" customWidth="1"/>
    <col min="4868" max="4868" width="8.88671875" customWidth="1"/>
    <col min="4869" max="4869" width="13.88671875" customWidth="1"/>
    <col min="4870" max="4870" width="12.5546875" customWidth="1"/>
    <col min="5121" max="5121" width="10.6640625" customWidth="1"/>
    <col min="5122" max="5122" width="12.33203125" customWidth="1"/>
    <col min="5123" max="5123" width="10.88671875" bestFit="1" customWidth="1"/>
    <col min="5124" max="5124" width="8.88671875" customWidth="1"/>
    <col min="5125" max="5125" width="13.88671875" customWidth="1"/>
    <col min="5126" max="5126" width="12.5546875" customWidth="1"/>
    <col min="5377" max="5377" width="10.6640625" customWidth="1"/>
    <col min="5378" max="5378" width="12.33203125" customWidth="1"/>
    <col min="5379" max="5379" width="10.88671875" bestFit="1" customWidth="1"/>
    <col min="5380" max="5380" width="8.88671875" customWidth="1"/>
    <col min="5381" max="5381" width="13.88671875" customWidth="1"/>
    <col min="5382" max="5382" width="12.5546875" customWidth="1"/>
    <col min="5633" max="5633" width="10.6640625" customWidth="1"/>
    <col min="5634" max="5634" width="12.33203125" customWidth="1"/>
    <col min="5635" max="5635" width="10.88671875" bestFit="1" customWidth="1"/>
    <col min="5636" max="5636" width="8.88671875" customWidth="1"/>
    <col min="5637" max="5637" width="13.88671875" customWidth="1"/>
    <col min="5638" max="5638" width="12.5546875" customWidth="1"/>
    <col min="5889" max="5889" width="10.6640625" customWidth="1"/>
    <col min="5890" max="5890" width="12.33203125" customWidth="1"/>
    <col min="5891" max="5891" width="10.88671875" bestFit="1" customWidth="1"/>
    <col min="5892" max="5892" width="8.88671875" customWidth="1"/>
    <col min="5893" max="5893" width="13.88671875" customWidth="1"/>
    <col min="5894" max="5894" width="12.5546875" customWidth="1"/>
    <col min="6145" max="6145" width="10.6640625" customWidth="1"/>
    <col min="6146" max="6146" width="12.33203125" customWidth="1"/>
    <col min="6147" max="6147" width="10.88671875" bestFit="1" customWidth="1"/>
    <col min="6148" max="6148" width="8.88671875" customWidth="1"/>
    <col min="6149" max="6149" width="13.88671875" customWidth="1"/>
    <col min="6150" max="6150" width="12.5546875" customWidth="1"/>
    <col min="6401" max="6401" width="10.6640625" customWidth="1"/>
    <col min="6402" max="6402" width="12.33203125" customWidth="1"/>
    <col min="6403" max="6403" width="10.88671875" bestFit="1" customWidth="1"/>
    <col min="6404" max="6404" width="8.88671875" customWidth="1"/>
    <col min="6405" max="6405" width="13.88671875" customWidth="1"/>
    <col min="6406" max="6406" width="12.5546875" customWidth="1"/>
    <col min="6657" max="6657" width="10.6640625" customWidth="1"/>
    <col min="6658" max="6658" width="12.33203125" customWidth="1"/>
    <col min="6659" max="6659" width="10.88671875" bestFit="1" customWidth="1"/>
    <col min="6660" max="6660" width="8.88671875" customWidth="1"/>
    <col min="6661" max="6661" width="13.88671875" customWidth="1"/>
    <col min="6662" max="6662" width="12.5546875" customWidth="1"/>
    <col min="6913" max="6913" width="10.6640625" customWidth="1"/>
    <col min="6914" max="6914" width="12.33203125" customWidth="1"/>
    <col min="6915" max="6915" width="10.88671875" bestFit="1" customWidth="1"/>
    <col min="6916" max="6916" width="8.88671875" customWidth="1"/>
    <col min="6917" max="6917" width="13.88671875" customWidth="1"/>
    <col min="6918" max="6918" width="12.5546875" customWidth="1"/>
    <col min="7169" max="7169" width="10.6640625" customWidth="1"/>
    <col min="7170" max="7170" width="12.33203125" customWidth="1"/>
    <col min="7171" max="7171" width="10.88671875" bestFit="1" customWidth="1"/>
    <col min="7172" max="7172" width="8.88671875" customWidth="1"/>
    <col min="7173" max="7173" width="13.88671875" customWidth="1"/>
    <col min="7174" max="7174" width="12.5546875" customWidth="1"/>
    <col min="7425" max="7425" width="10.6640625" customWidth="1"/>
    <col min="7426" max="7426" width="12.33203125" customWidth="1"/>
    <col min="7427" max="7427" width="10.88671875" bestFit="1" customWidth="1"/>
    <col min="7428" max="7428" width="8.88671875" customWidth="1"/>
    <col min="7429" max="7429" width="13.88671875" customWidth="1"/>
    <col min="7430" max="7430" width="12.5546875" customWidth="1"/>
    <col min="7681" max="7681" width="10.6640625" customWidth="1"/>
    <col min="7682" max="7682" width="12.33203125" customWidth="1"/>
    <col min="7683" max="7683" width="10.88671875" bestFit="1" customWidth="1"/>
    <col min="7684" max="7684" width="8.88671875" customWidth="1"/>
    <col min="7685" max="7685" width="13.88671875" customWidth="1"/>
    <col min="7686" max="7686" width="12.5546875" customWidth="1"/>
    <col min="7937" max="7937" width="10.6640625" customWidth="1"/>
    <col min="7938" max="7938" width="12.33203125" customWidth="1"/>
    <col min="7939" max="7939" width="10.88671875" bestFit="1" customWidth="1"/>
    <col min="7940" max="7940" width="8.88671875" customWidth="1"/>
    <col min="7941" max="7941" width="13.88671875" customWidth="1"/>
    <col min="7942" max="7942" width="12.5546875" customWidth="1"/>
    <col min="8193" max="8193" width="10.6640625" customWidth="1"/>
    <col min="8194" max="8194" width="12.33203125" customWidth="1"/>
    <col min="8195" max="8195" width="10.88671875" bestFit="1" customWidth="1"/>
    <col min="8196" max="8196" width="8.88671875" customWidth="1"/>
    <col min="8197" max="8197" width="13.88671875" customWidth="1"/>
    <col min="8198" max="8198" width="12.5546875" customWidth="1"/>
    <col min="8449" max="8449" width="10.6640625" customWidth="1"/>
    <col min="8450" max="8450" width="12.33203125" customWidth="1"/>
    <col min="8451" max="8451" width="10.88671875" bestFit="1" customWidth="1"/>
    <col min="8452" max="8452" width="8.88671875" customWidth="1"/>
    <col min="8453" max="8453" width="13.88671875" customWidth="1"/>
    <col min="8454" max="8454" width="12.5546875" customWidth="1"/>
    <col min="8705" max="8705" width="10.6640625" customWidth="1"/>
    <col min="8706" max="8706" width="12.33203125" customWidth="1"/>
    <col min="8707" max="8707" width="10.88671875" bestFit="1" customWidth="1"/>
    <col min="8708" max="8708" width="8.88671875" customWidth="1"/>
    <col min="8709" max="8709" width="13.88671875" customWidth="1"/>
    <col min="8710" max="8710" width="12.5546875" customWidth="1"/>
    <col min="8961" max="8961" width="10.6640625" customWidth="1"/>
    <col min="8962" max="8962" width="12.33203125" customWidth="1"/>
    <col min="8963" max="8963" width="10.88671875" bestFit="1" customWidth="1"/>
    <col min="8964" max="8964" width="8.88671875" customWidth="1"/>
    <col min="8965" max="8965" width="13.88671875" customWidth="1"/>
    <col min="8966" max="8966" width="12.5546875" customWidth="1"/>
    <col min="9217" max="9217" width="10.6640625" customWidth="1"/>
    <col min="9218" max="9218" width="12.33203125" customWidth="1"/>
    <col min="9219" max="9219" width="10.88671875" bestFit="1" customWidth="1"/>
    <col min="9220" max="9220" width="8.88671875" customWidth="1"/>
    <col min="9221" max="9221" width="13.88671875" customWidth="1"/>
    <col min="9222" max="9222" width="12.5546875" customWidth="1"/>
    <col min="9473" max="9473" width="10.6640625" customWidth="1"/>
    <col min="9474" max="9474" width="12.33203125" customWidth="1"/>
    <col min="9475" max="9475" width="10.88671875" bestFit="1" customWidth="1"/>
    <col min="9476" max="9476" width="8.88671875" customWidth="1"/>
    <col min="9477" max="9477" width="13.88671875" customWidth="1"/>
    <col min="9478" max="9478" width="12.5546875" customWidth="1"/>
    <col min="9729" max="9729" width="10.6640625" customWidth="1"/>
    <col min="9730" max="9730" width="12.33203125" customWidth="1"/>
    <col min="9731" max="9731" width="10.88671875" bestFit="1" customWidth="1"/>
    <col min="9732" max="9732" width="8.88671875" customWidth="1"/>
    <col min="9733" max="9733" width="13.88671875" customWidth="1"/>
    <col min="9734" max="9734" width="12.5546875" customWidth="1"/>
    <col min="9985" max="9985" width="10.6640625" customWidth="1"/>
    <col min="9986" max="9986" width="12.33203125" customWidth="1"/>
    <col min="9987" max="9987" width="10.88671875" bestFit="1" customWidth="1"/>
    <col min="9988" max="9988" width="8.88671875" customWidth="1"/>
    <col min="9989" max="9989" width="13.88671875" customWidth="1"/>
    <col min="9990" max="9990" width="12.5546875" customWidth="1"/>
    <col min="10241" max="10241" width="10.6640625" customWidth="1"/>
    <col min="10242" max="10242" width="12.33203125" customWidth="1"/>
    <col min="10243" max="10243" width="10.88671875" bestFit="1" customWidth="1"/>
    <col min="10244" max="10244" width="8.88671875" customWidth="1"/>
    <col min="10245" max="10245" width="13.88671875" customWidth="1"/>
    <col min="10246" max="10246" width="12.5546875" customWidth="1"/>
    <col min="10497" max="10497" width="10.6640625" customWidth="1"/>
    <col min="10498" max="10498" width="12.33203125" customWidth="1"/>
    <col min="10499" max="10499" width="10.88671875" bestFit="1" customWidth="1"/>
    <col min="10500" max="10500" width="8.88671875" customWidth="1"/>
    <col min="10501" max="10501" width="13.88671875" customWidth="1"/>
    <col min="10502" max="10502" width="12.5546875" customWidth="1"/>
    <col min="10753" max="10753" width="10.6640625" customWidth="1"/>
    <col min="10754" max="10754" width="12.33203125" customWidth="1"/>
    <col min="10755" max="10755" width="10.88671875" bestFit="1" customWidth="1"/>
    <col min="10756" max="10756" width="8.88671875" customWidth="1"/>
    <col min="10757" max="10757" width="13.88671875" customWidth="1"/>
    <col min="10758" max="10758" width="12.5546875" customWidth="1"/>
    <col min="11009" max="11009" width="10.6640625" customWidth="1"/>
    <col min="11010" max="11010" width="12.33203125" customWidth="1"/>
    <col min="11011" max="11011" width="10.88671875" bestFit="1" customWidth="1"/>
    <col min="11012" max="11012" width="8.88671875" customWidth="1"/>
    <col min="11013" max="11013" width="13.88671875" customWidth="1"/>
    <col min="11014" max="11014" width="12.5546875" customWidth="1"/>
    <col min="11265" max="11265" width="10.6640625" customWidth="1"/>
    <col min="11266" max="11266" width="12.33203125" customWidth="1"/>
    <col min="11267" max="11267" width="10.88671875" bestFit="1" customWidth="1"/>
    <col min="11268" max="11268" width="8.88671875" customWidth="1"/>
    <col min="11269" max="11269" width="13.88671875" customWidth="1"/>
    <col min="11270" max="11270" width="12.5546875" customWidth="1"/>
    <col min="11521" max="11521" width="10.6640625" customWidth="1"/>
    <col min="11522" max="11522" width="12.33203125" customWidth="1"/>
    <col min="11523" max="11523" width="10.88671875" bestFit="1" customWidth="1"/>
    <col min="11524" max="11524" width="8.88671875" customWidth="1"/>
    <col min="11525" max="11525" width="13.88671875" customWidth="1"/>
    <col min="11526" max="11526" width="12.5546875" customWidth="1"/>
    <col min="11777" max="11777" width="10.6640625" customWidth="1"/>
    <col min="11778" max="11778" width="12.33203125" customWidth="1"/>
    <col min="11779" max="11779" width="10.88671875" bestFit="1" customWidth="1"/>
    <col min="11780" max="11780" width="8.88671875" customWidth="1"/>
    <col min="11781" max="11781" width="13.88671875" customWidth="1"/>
    <col min="11782" max="11782" width="12.5546875" customWidth="1"/>
    <col min="12033" max="12033" width="10.6640625" customWidth="1"/>
    <col min="12034" max="12034" width="12.33203125" customWidth="1"/>
    <col min="12035" max="12035" width="10.88671875" bestFit="1" customWidth="1"/>
    <col min="12036" max="12036" width="8.88671875" customWidth="1"/>
    <col min="12037" max="12037" width="13.88671875" customWidth="1"/>
    <col min="12038" max="12038" width="12.5546875" customWidth="1"/>
    <col min="12289" max="12289" width="10.6640625" customWidth="1"/>
    <col min="12290" max="12290" width="12.33203125" customWidth="1"/>
    <col min="12291" max="12291" width="10.88671875" bestFit="1" customWidth="1"/>
    <col min="12292" max="12292" width="8.88671875" customWidth="1"/>
    <col min="12293" max="12293" width="13.88671875" customWidth="1"/>
    <col min="12294" max="12294" width="12.5546875" customWidth="1"/>
    <col min="12545" max="12545" width="10.6640625" customWidth="1"/>
    <col min="12546" max="12546" width="12.33203125" customWidth="1"/>
    <col min="12547" max="12547" width="10.88671875" bestFit="1" customWidth="1"/>
    <col min="12548" max="12548" width="8.88671875" customWidth="1"/>
    <col min="12549" max="12549" width="13.88671875" customWidth="1"/>
    <col min="12550" max="12550" width="12.5546875" customWidth="1"/>
    <col min="12801" max="12801" width="10.6640625" customWidth="1"/>
    <col min="12802" max="12802" width="12.33203125" customWidth="1"/>
    <col min="12803" max="12803" width="10.88671875" bestFit="1" customWidth="1"/>
    <col min="12804" max="12804" width="8.88671875" customWidth="1"/>
    <col min="12805" max="12805" width="13.88671875" customWidth="1"/>
    <col min="12806" max="12806" width="12.5546875" customWidth="1"/>
    <col min="13057" max="13057" width="10.6640625" customWidth="1"/>
    <col min="13058" max="13058" width="12.33203125" customWidth="1"/>
    <col min="13059" max="13059" width="10.88671875" bestFit="1" customWidth="1"/>
    <col min="13060" max="13060" width="8.88671875" customWidth="1"/>
    <col min="13061" max="13061" width="13.88671875" customWidth="1"/>
    <col min="13062" max="13062" width="12.5546875" customWidth="1"/>
    <col min="13313" max="13313" width="10.6640625" customWidth="1"/>
    <col min="13314" max="13314" width="12.33203125" customWidth="1"/>
    <col min="13315" max="13315" width="10.88671875" bestFit="1" customWidth="1"/>
    <col min="13316" max="13316" width="8.88671875" customWidth="1"/>
    <col min="13317" max="13317" width="13.88671875" customWidth="1"/>
    <col min="13318" max="13318" width="12.5546875" customWidth="1"/>
    <col min="13569" max="13569" width="10.6640625" customWidth="1"/>
    <col min="13570" max="13570" width="12.33203125" customWidth="1"/>
    <col min="13571" max="13571" width="10.88671875" bestFit="1" customWidth="1"/>
    <col min="13572" max="13572" width="8.88671875" customWidth="1"/>
    <col min="13573" max="13573" width="13.88671875" customWidth="1"/>
    <col min="13574" max="13574" width="12.5546875" customWidth="1"/>
    <col min="13825" max="13825" width="10.6640625" customWidth="1"/>
    <col min="13826" max="13826" width="12.33203125" customWidth="1"/>
    <col min="13827" max="13827" width="10.88671875" bestFit="1" customWidth="1"/>
    <col min="13828" max="13828" width="8.88671875" customWidth="1"/>
    <col min="13829" max="13829" width="13.88671875" customWidth="1"/>
    <col min="13830" max="13830" width="12.5546875" customWidth="1"/>
    <col min="14081" max="14081" width="10.6640625" customWidth="1"/>
    <col min="14082" max="14082" width="12.33203125" customWidth="1"/>
    <col min="14083" max="14083" width="10.88671875" bestFit="1" customWidth="1"/>
    <col min="14084" max="14084" width="8.88671875" customWidth="1"/>
    <col min="14085" max="14085" width="13.88671875" customWidth="1"/>
    <col min="14086" max="14086" width="12.5546875" customWidth="1"/>
    <col min="14337" max="14337" width="10.6640625" customWidth="1"/>
    <col min="14338" max="14338" width="12.33203125" customWidth="1"/>
    <col min="14339" max="14339" width="10.88671875" bestFit="1" customWidth="1"/>
    <col min="14340" max="14340" width="8.88671875" customWidth="1"/>
    <col min="14341" max="14341" width="13.88671875" customWidth="1"/>
    <col min="14342" max="14342" width="12.5546875" customWidth="1"/>
    <col min="14593" max="14593" width="10.6640625" customWidth="1"/>
    <col min="14594" max="14594" width="12.33203125" customWidth="1"/>
    <col min="14595" max="14595" width="10.88671875" bestFit="1" customWidth="1"/>
    <col min="14596" max="14596" width="8.88671875" customWidth="1"/>
    <col min="14597" max="14597" width="13.88671875" customWidth="1"/>
    <col min="14598" max="14598" width="12.5546875" customWidth="1"/>
    <col min="14849" max="14849" width="10.6640625" customWidth="1"/>
    <col min="14850" max="14850" width="12.33203125" customWidth="1"/>
    <col min="14851" max="14851" width="10.88671875" bestFit="1" customWidth="1"/>
    <col min="14852" max="14852" width="8.88671875" customWidth="1"/>
    <col min="14853" max="14853" width="13.88671875" customWidth="1"/>
    <col min="14854" max="14854" width="12.5546875" customWidth="1"/>
    <col min="15105" max="15105" width="10.6640625" customWidth="1"/>
    <col min="15106" max="15106" width="12.33203125" customWidth="1"/>
    <col min="15107" max="15107" width="10.88671875" bestFit="1" customWidth="1"/>
    <col min="15108" max="15108" width="8.88671875" customWidth="1"/>
    <col min="15109" max="15109" width="13.88671875" customWidth="1"/>
    <col min="15110" max="15110" width="12.5546875" customWidth="1"/>
    <col min="15361" max="15361" width="10.6640625" customWidth="1"/>
    <col min="15362" max="15362" width="12.33203125" customWidth="1"/>
    <col min="15363" max="15363" width="10.88671875" bestFit="1" customWidth="1"/>
    <col min="15364" max="15364" width="8.88671875" customWidth="1"/>
    <col min="15365" max="15365" width="13.88671875" customWidth="1"/>
    <col min="15366" max="15366" width="12.5546875" customWidth="1"/>
    <col min="15617" max="15617" width="10.6640625" customWidth="1"/>
    <col min="15618" max="15618" width="12.33203125" customWidth="1"/>
    <col min="15619" max="15619" width="10.88671875" bestFit="1" customWidth="1"/>
    <col min="15620" max="15620" width="8.88671875" customWidth="1"/>
    <col min="15621" max="15621" width="13.88671875" customWidth="1"/>
    <col min="15622" max="15622" width="12.5546875" customWidth="1"/>
    <col min="15873" max="15873" width="10.6640625" customWidth="1"/>
    <col min="15874" max="15874" width="12.33203125" customWidth="1"/>
    <col min="15875" max="15875" width="10.88671875" bestFit="1" customWidth="1"/>
    <col min="15876" max="15876" width="8.88671875" customWidth="1"/>
    <col min="15877" max="15877" width="13.88671875" customWidth="1"/>
    <col min="15878" max="15878" width="12.5546875" customWidth="1"/>
    <col min="16129" max="16129" width="10.6640625" customWidth="1"/>
    <col min="16130" max="16130" width="12.33203125" customWidth="1"/>
    <col min="16131" max="16131" width="10.88671875" bestFit="1" customWidth="1"/>
    <col min="16132" max="16132" width="8.88671875" customWidth="1"/>
    <col min="16133" max="16133" width="13.88671875" customWidth="1"/>
    <col min="16134" max="16134" width="12.5546875" customWidth="1"/>
  </cols>
  <sheetData>
    <row r="1" spans="1:6" ht="28.8" x14ac:dyDescent="0.3">
      <c r="A1" s="9" t="s">
        <v>46</v>
      </c>
      <c r="B1" s="9"/>
      <c r="C1" s="9"/>
      <c r="D1" s="9"/>
      <c r="E1" s="9"/>
      <c r="F1" s="9"/>
    </row>
    <row r="2" spans="1:6" x14ac:dyDescent="0.3">
      <c r="A2" s="44" t="s">
        <v>47</v>
      </c>
      <c r="B2" s="44"/>
      <c r="C2" s="44"/>
      <c r="D2" s="44"/>
      <c r="E2" s="44"/>
      <c r="F2" s="44"/>
    </row>
    <row r="3" spans="1:6" ht="72" x14ac:dyDescent="0.3">
      <c r="A3" s="44" t="s">
        <v>48</v>
      </c>
      <c r="B3" s="44"/>
      <c r="C3" s="44"/>
      <c r="D3" s="44"/>
      <c r="E3" s="44"/>
      <c r="F3" s="44"/>
    </row>
    <row r="4" spans="1:6" ht="28.8" x14ac:dyDescent="0.3">
      <c r="A4" s="9" t="s">
        <v>49</v>
      </c>
      <c r="B4" s="9"/>
      <c r="C4" s="9"/>
      <c r="D4" s="9"/>
      <c r="E4" s="9"/>
      <c r="F4" s="9"/>
    </row>
    <row r="5" spans="1:6" ht="16.8" x14ac:dyDescent="0.35">
      <c r="A5" s="44" t="s">
        <v>50</v>
      </c>
      <c r="B5" s="44"/>
      <c r="C5" s="44"/>
      <c r="D5" s="44"/>
      <c r="E5" s="44"/>
      <c r="F5" s="44"/>
    </row>
    <row r="6" spans="1:6" ht="43.2" x14ac:dyDescent="0.3">
      <c r="A6" s="44" t="s">
        <v>97</v>
      </c>
      <c r="B6" s="44"/>
      <c r="C6" s="44"/>
      <c r="D6" s="44"/>
      <c r="E6" s="44"/>
      <c r="F6" s="44"/>
    </row>
    <row r="7" spans="1:6" ht="28.8" x14ac:dyDescent="0.3">
      <c r="A7" s="44" t="s">
        <v>51</v>
      </c>
      <c r="B7" s="44"/>
      <c r="C7" s="44"/>
      <c r="D7" s="44"/>
      <c r="E7" s="44"/>
      <c r="F7" s="44"/>
    </row>
    <row r="9" spans="1:6" x14ac:dyDescent="0.3">
      <c r="A9" s="23" t="s">
        <v>0</v>
      </c>
      <c r="B9" s="23" t="s">
        <v>52</v>
      </c>
      <c r="C9" s="23" t="s">
        <v>190</v>
      </c>
    </row>
    <row r="10" spans="1:6" x14ac:dyDescent="0.3">
      <c r="A10" s="3">
        <v>2001</v>
      </c>
      <c r="B10" s="3">
        <v>25.75</v>
      </c>
      <c r="C10" s="7"/>
      <c r="D10" s="7"/>
    </row>
    <row r="11" spans="1:6" ht="4.2" customHeight="1" x14ac:dyDescent="0.3"/>
    <row r="12" spans="1:6" ht="57.6" x14ac:dyDescent="0.3">
      <c r="A12" s="23" t="s">
        <v>0</v>
      </c>
      <c r="B12" s="2" t="s">
        <v>39</v>
      </c>
      <c r="C12" s="2" t="s">
        <v>53</v>
      </c>
      <c r="D12" s="2" t="s">
        <v>52</v>
      </c>
      <c r="E12" s="2" t="s">
        <v>54</v>
      </c>
      <c r="F12" s="2" t="s">
        <v>55</v>
      </c>
    </row>
    <row r="13" spans="1:6" x14ac:dyDescent="0.3">
      <c r="A13" s="3">
        <v>2002</v>
      </c>
      <c r="B13" s="3">
        <v>0.1</v>
      </c>
      <c r="C13" s="7"/>
      <c r="D13" s="57"/>
      <c r="E13" s="57"/>
      <c r="F13" s="57"/>
    </row>
    <row r="14" spans="1:6" x14ac:dyDescent="0.3">
      <c r="A14" s="3">
        <v>2003</v>
      </c>
      <c r="B14" s="3">
        <v>0.12</v>
      </c>
      <c r="C14" s="7"/>
      <c r="D14" s="57"/>
      <c r="E14" s="57"/>
      <c r="F14" s="57"/>
    </row>
    <row r="15" spans="1:6" x14ac:dyDescent="0.3">
      <c r="A15" s="3">
        <v>2004</v>
      </c>
      <c r="B15" s="3">
        <v>0.03</v>
      </c>
      <c r="C15" s="7"/>
      <c r="D15" s="57"/>
      <c r="E15" s="57"/>
      <c r="F15" s="57"/>
    </row>
    <row r="16" spans="1:6" x14ac:dyDescent="0.3">
      <c r="A16" s="3">
        <v>2005</v>
      </c>
      <c r="B16" s="3">
        <v>-0.09</v>
      </c>
      <c r="C16" s="7"/>
      <c r="D16" s="57"/>
      <c r="E16" s="57"/>
      <c r="F16" s="57"/>
    </row>
    <row r="18" spans="1:4" x14ac:dyDescent="0.3">
      <c r="A18" s="2" t="s">
        <v>187</v>
      </c>
      <c r="B18" s="7"/>
    </row>
    <row r="19" spans="1:4" x14ac:dyDescent="0.3">
      <c r="A19" s="2" t="s">
        <v>187</v>
      </c>
      <c r="B19" s="7"/>
    </row>
    <row r="20" spans="1:4" x14ac:dyDescent="0.3">
      <c r="A20" s="2" t="s">
        <v>188</v>
      </c>
      <c r="B20" s="7"/>
      <c r="C20" t="s">
        <v>189</v>
      </c>
    </row>
    <row r="21" spans="1:4" x14ac:dyDescent="0.3">
      <c r="A21" s="2" t="s">
        <v>155</v>
      </c>
      <c r="B21" s="7"/>
    </row>
    <row r="23" spans="1:4" x14ac:dyDescent="0.3">
      <c r="A23" s="2" t="s">
        <v>56</v>
      </c>
      <c r="B23" s="56"/>
    </row>
    <row r="24" spans="1:4" x14ac:dyDescent="0.3">
      <c r="A24" s="2" t="s">
        <v>57</v>
      </c>
      <c r="B24" s="7"/>
      <c r="C24" s="7"/>
      <c r="D24" s="7"/>
    </row>
    <row r="25" spans="1:4" x14ac:dyDescent="0.3">
      <c r="A25" s="2" t="s">
        <v>54</v>
      </c>
      <c r="B25" s="7"/>
    </row>
    <row r="26" spans="1:4" x14ac:dyDescent="0.3">
      <c r="A26" s="2" t="s">
        <v>55</v>
      </c>
      <c r="B26" s="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K26"/>
  <sheetViews>
    <sheetView topLeftCell="A7" zoomScale="85" zoomScaleNormal="85" workbookViewId="0"/>
  </sheetViews>
  <sheetFormatPr defaultRowHeight="14.4" x14ac:dyDescent="0.3"/>
  <cols>
    <col min="1" max="1" width="33.44140625" customWidth="1"/>
    <col min="2" max="2" width="12.33203125" customWidth="1"/>
    <col min="3" max="3" width="14.33203125" customWidth="1"/>
    <col min="4" max="4" width="8.88671875" customWidth="1"/>
    <col min="5" max="5" width="13.88671875" customWidth="1"/>
    <col min="6" max="6" width="12.5546875" customWidth="1"/>
    <col min="8" max="8" width="14.33203125" customWidth="1"/>
    <col min="10" max="10" width="13.88671875" customWidth="1"/>
    <col min="11" max="11" width="12.5546875" customWidth="1"/>
    <col min="257" max="257" width="10.6640625" customWidth="1"/>
    <col min="258" max="258" width="12.33203125" customWidth="1"/>
    <col min="259" max="259" width="10.88671875" bestFit="1" customWidth="1"/>
    <col min="260" max="260" width="8.88671875" customWidth="1"/>
    <col min="261" max="261" width="13.88671875" customWidth="1"/>
    <col min="262" max="262" width="12.5546875" customWidth="1"/>
    <col min="513" max="513" width="10.6640625" customWidth="1"/>
    <col min="514" max="514" width="12.33203125" customWidth="1"/>
    <col min="515" max="515" width="10.88671875" bestFit="1" customWidth="1"/>
    <col min="516" max="516" width="8.88671875" customWidth="1"/>
    <col min="517" max="517" width="13.88671875" customWidth="1"/>
    <col min="518" max="518" width="12.5546875" customWidth="1"/>
    <col min="769" max="769" width="10.6640625" customWidth="1"/>
    <col min="770" max="770" width="12.33203125" customWidth="1"/>
    <col min="771" max="771" width="10.88671875" bestFit="1" customWidth="1"/>
    <col min="772" max="772" width="8.88671875" customWidth="1"/>
    <col min="773" max="773" width="13.88671875" customWidth="1"/>
    <col min="774" max="774" width="12.5546875" customWidth="1"/>
    <col min="1025" max="1025" width="10.6640625" customWidth="1"/>
    <col min="1026" max="1026" width="12.33203125" customWidth="1"/>
    <col min="1027" max="1027" width="10.88671875" bestFit="1" customWidth="1"/>
    <col min="1028" max="1028" width="8.88671875" customWidth="1"/>
    <col min="1029" max="1029" width="13.88671875" customWidth="1"/>
    <col min="1030" max="1030" width="12.5546875" customWidth="1"/>
    <col min="1281" max="1281" width="10.6640625" customWidth="1"/>
    <col min="1282" max="1282" width="12.33203125" customWidth="1"/>
    <col min="1283" max="1283" width="10.88671875" bestFit="1" customWidth="1"/>
    <col min="1284" max="1284" width="8.88671875" customWidth="1"/>
    <col min="1285" max="1285" width="13.88671875" customWidth="1"/>
    <col min="1286" max="1286" width="12.5546875" customWidth="1"/>
    <col min="1537" max="1537" width="10.6640625" customWidth="1"/>
    <col min="1538" max="1538" width="12.33203125" customWidth="1"/>
    <col min="1539" max="1539" width="10.88671875" bestFit="1" customWidth="1"/>
    <col min="1540" max="1540" width="8.88671875" customWidth="1"/>
    <col min="1541" max="1541" width="13.88671875" customWidth="1"/>
    <col min="1542" max="1542" width="12.5546875" customWidth="1"/>
    <col min="1793" max="1793" width="10.6640625" customWidth="1"/>
    <col min="1794" max="1794" width="12.33203125" customWidth="1"/>
    <col min="1795" max="1795" width="10.88671875" bestFit="1" customWidth="1"/>
    <col min="1796" max="1796" width="8.88671875" customWidth="1"/>
    <col min="1797" max="1797" width="13.88671875" customWidth="1"/>
    <col min="1798" max="1798" width="12.5546875" customWidth="1"/>
    <col min="2049" max="2049" width="10.6640625" customWidth="1"/>
    <col min="2050" max="2050" width="12.33203125" customWidth="1"/>
    <col min="2051" max="2051" width="10.88671875" bestFit="1" customWidth="1"/>
    <col min="2052" max="2052" width="8.88671875" customWidth="1"/>
    <col min="2053" max="2053" width="13.88671875" customWidth="1"/>
    <col min="2054" max="2054" width="12.5546875" customWidth="1"/>
    <col min="2305" max="2305" width="10.6640625" customWidth="1"/>
    <col min="2306" max="2306" width="12.33203125" customWidth="1"/>
    <col min="2307" max="2307" width="10.88671875" bestFit="1" customWidth="1"/>
    <col min="2308" max="2308" width="8.88671875" customWidth="1"/>
    <col min="2309" max="2309" width="13.88671875" customWidth="1"/>
    <col min="2310" max="2310" width="12.5546875" customWidth="1"/>
    <col min="2561" max="2561" width="10.6640625" customWidth="1"/>
    <col min="2562" max="2562" width="12.33203125" customWidth="1"/>
    <col min="2563" max="2563" width="10.88671875" bestFit="1" customWidth="1"/>
    <col min="2564" max="2564" width="8.88671875" customWidth="1"/>
    <col min="2565" max="2565" width="13.88671875" customWidth="1"/>
    <col min="2566" max="2566" width="12.5546875" customWidth="1"/>
    <col min="2817" max="2817" width="10.6640625" customWidth="1"/>
    <col min="2818" max="2818" width="12.33203125" customWidth="1"/>
    <col min="2819" max="2819" width="10.88671875" bestFit="1" customWidth="1"/>
    <col min="2820" max="2820" width="8.88671875" customWidth="1"/>
    <col min="2821" max="2821" width="13.88671875" customWidth="1"/>
    <col min="2822" max="2822" width="12.5546875" customWidth="1"/>
    <col min="3073" max="3073" width="10.6640625" customWidth="1"/>
    <col min="3074" max="3074" width="12.33203125" customWidth="1"/>
    <col min="3075" max="3075" width="10.88671875" bestFit="1" customWidth="1"/>
    <col min="3076" max="3076" width="8.88671875" customWidth="1"/>
    <col min="3077" max="3077" width="13.88671875" customWidth="1"/>
    <col min="3078" max="3078" width="12.5546875" customWidth="1"/>
    <col min="3329" max="3329" width="10.6640625" customWidth="1"/>
    <col min="3330" max="3330" width="12.33203125" customWidth="1"/>
    <col min="3331" max="3331" width="10.88671875" bestFit="1" customWidth="1"/>
    <col min="3332" max="3332" width="8.88671875" customWidth="1"/>
    <col min="3333" max="3333" width="13.88671875" customWidth="1"/>
    <col min="3334" max="3334" width="12.5546875" customWidth="1"/>
    <col min="3585" max="3585" width="10.6640625" customWidth="1"/>
    <col min="3586" max="3586" width="12.33203125" customWidth="1"/>
    <col min="3587" max="3587" width="10.88671875" bestFit="1" customWidth="1"/>
    <col min="3588" max="3588" width="8.88671875" customWidth="1"/>
    <col min="3589" max="3589" width="13.88671875" customWidth="1"/>
    <col min="3590" max="3590" width="12.5546875" customWidth="1"/>
    <col min="3841" max="3841" width="10.6640625" customWidth="1"/>
    <col min="3842" max="3842" width="12.33203125" customWidth="1"/>
    <col min="3843" max="3843" width="10.88671875" bestFit="1" customWidth="1"/>
    <col min="3844" max="3844" width="8.88671875" customWidth="1"/>
    <col min="3845" max="3845" width="13.88671875" customWidth="1"/>
    <col min="3846" max="3846" width="12.5546875" customWidth="1"/>
    <col min="4097" max="4097" width="10.6640625" customWidth="1"/>
    <col min="4098" max="4098" width="12.33203125" customWidth="1"/>
    <col min="4099" max="4099" width="10.88671875" bestFit="1" customWidth="1"/>
    <col min="4100" max="4100" width="8.88671875" customWidth="1"/>
    <col min="4101" max="4101" width="13.88671875" customWidth="1"/>
    <col min="4102" max="4102" width="12.5546875" customWidth="1"/>
    <col min="4353" max="4353" width="10.6640625" customWidth="1"/>
    <col min="4354" max="4354" width="12.33203125" customWidth="1"/>
    <col min="4355" max="4355" width="10.88671875" bestFit="1" customWidth="1"/>
    <col min="4356" max="4356" width="8.88671875" customWidth="1"/>
    <col min="4357" max="4357" width="13.88671875" customWidth="1"/>
    <col min="4358" max="4358" width="12.5546875" customWidth="1"/>
    <col min="4609" max="4609" width="10.6640625" customWidth="1"/>
    <col min="4610" max="4610" width="12.33203125" customWidth="1"/>
    <col min="4611" max="4611" width="10.88671875" bestFit="1" customWidth="1"/>
    <col min="4612" max="4612" width="8.88671875" customWidth="1"/>
    <col min="4613" max="4613" width="13.88671875" customWidth="1"/>
    <col min="4614" max="4614" width="12.5546875" customWidth="1"/>
    <col min="4865" max="4865" width="10.6640625" customWidth="1"/>
    <col min="4866" max="4866" width="12.33203125" customWidth="1"/>
    <col min="4867" max="4867" width="10.88671875" bestFit="1" customWidth="1"/>
    <col min="4868" max="4868" width="8.88671875" customWidth="1"/>
    <col min="4869" max="4869" width="13.88671875" customWidth="1"/>
    <col min="4870" max="4870" width="12.5546875" customWidth="1"/>
    <col min="5121" max="5121" width="10.6640625" customWidth="1"/>
    <col min="5122" max="5122" width="12.33203125" customWidth="1"/>
    <col min="5123" max="5123" width="10.88671875" bestFit="1" customWidth="1"/>
    <col min="5124" max="5124" width="8.88671875" customWidth="1"/>
    <col min="5125" max="5125" width="13.88671875" customWidth="1"/>
    <col min="5126" max="5126" width="12.5546875" customWidth="1"/>
    <col min="5377" max="5377" width="10.6640625" customWidth="1"/>
    <col min="5378" max="5378" width="12.33203125" customWidth="1"/>
    <col min="5379" max="5379" width="10.88671875" bestFit="1" customWidth="1"/>
    <col min="5380" max="5380" width="8.88671875" customWidth="1"/>
    <col min="5381" max="5381" width="13.88671875" customWidth="1"/>
    <col min="5382" max="5382" width="12.5546875" customWidth="1"/>
    <col min="5633" max="5633" width="10.6640625" customWidth="1"/>
    <col min="5634" max="5634" width="12.33203125" customWidth="1"/>
    <col min="5635" max="5635" width="10.88671875" bestFit="1" customWidth="1"/>
    <col min="5636" max="5636" width="8.88671875" customWidth="1"/>
    <col min="5637" max="5637" width="13.88671875" customWidth="1"/>
    <col min="5638" max="5638" width="12.5546875" customWidth="1"/>
    <col min="5889" max="5889" width="10.6640625" customWidth="1"/>
    <col min="5890" max="5890" width="12.33203125" customWidth="1"/>
    <col min="5891" max="5891" width="10.88671875" bestFit="1" customWidth="1"/>
    <col min="5892" max="5892" width="8.88671875" customWidth="1"/>
    <col min="5893" max="5893" width="13.88671875" customWidth="1"/>
    <col min="5894" max="5894" width="12.5546875" customWidth="1"/>
    <col min="6145" max="6145" width="10.6640625" customWidth="1"/>
    <col min="6146" max="6146" width="12.33203125" customWidth="1"/>
    <col min="6147" max="6147" width="10.88671875" bestFit="1" customWidth="1"/>
    <col min="6148" max="6148" width="8.88671875" customWidth="1"/>
    <col min="6149" max="6149" width="13.88671875" customWidth="1"/>
    <col min="6150" max="6150" width="12.5546875" customWidth="1"/>
    <col min="6401" max="6401" width="10.6640625" customWidth="1"/>
    <col min="6402" max="6402" width="12.33203125" customWidth="1"/>
    <col min="6403" max="6403" width="10.88671875" bestFit="1" customWidth="1"/>
    <col min="6404" max="6404" width="8.88671875" customWidth="1"/>
    <col min="6405" max="6405" width="13.88671875" customWidth="1"/>
    <col min="6406" max="6406" width="12.5546875" customWidth="1"/>
    <col min="6657" max="6657" width="10.6640625" customWidth="1"/>
    <col min="6658" max="6658" width="12.33203125" customWidth="1"/>
    <col min="6659" max="6659" width="10.88671875" bestFit="1" customWidth="1"/>
    <col min="6660" max="6660" width="8.88671875" customWidth="1"/>
    <col min="6661" max="6661" width="13.88671875" customWidth="1"/>
    <col min="6662" max="6662" width="12.5546875" customWidth="1"/>
    <col min="6913" max="6913" width="10.6640625" customWidth="1"/>
    <col min="6914" max="6914" width="12.33203125" customWidth="1"/>
    <col min="6915" max="6915" width="10.88671875" bestFit="1" customWidth="1"/>
    <col min="6916" max="6916" width="8.88671875" customWidth="1"/>
    <col min="6917" max="6917" width="13.88671875" customWidth="1"/>
    <col min="6918" max="6918" width="12.5546875" customWidth="1"/>
    <col min="7169" max="7169" width="10.6640625" customWidth="1"/>
    <col min="7170" max="7170" width="12.33203125" customWidth="1"/>
    <col min="7171" max="7171" width="10.88671875" bestFit="1" customWidth="1"/>
    <col min="7172" max="7172" width="8.88671875" customWidth="1"/>
    <col min="7173" max="7173" width="13.88671875" customWidth="1"/>
    <col min="7174" max="7174" width="12.5546875" customWidth="1"/>
    <col min="7425" max="7425" width="10.6640625" customWidth="1"/>
    <col min="7426" max="7426" width="12.33203125" customWidth="1"/>
    <col min="7427" max="7427" width="10.88671875" bestFit="1" customWidth="1"/>
    <col min="7428" max="7428" width="8.88671875" customWidth="1"/>
    <col min="7429" max="7429" width="13.88671875" customWidth="1"/>
    <col min="7430" max="7430" width="12.5546875" customWidth="1"/>
    <col min="7681" max="7681" width="10.6640625" customWidth="1"/>
    <col min="7682" max="7682" width="12.33203125" customWidth="1"/>
    <col min="7683" max="7683" width="10.88671875" bestFit="1" customWidth="1"/>
    <col min="7684" max="7684" width="8.88671875" customWidth="1"/>
    <col min="7685" max="7685" width="13.88671875" customWidth="1"/>
    <col min="7686" max="7686" width="12.5546875" customWidth="1"/>
    <col min="7937" max="7937" width="10.6640625" customWidth="1"/>
    <col min="7938" max="7938" width="12.33203125" customWidth="1"/>
    <col min="7939" max="7939" width="10.88671875" bestFit="1" customWidth="1"/>
    <col min="7940" max="7940" width="8.88671875" customWidth="1"/>
    <col min="7941" max="7941" width="13.88671875" customWidth="1"/>
    <col min="7942" max="7942" width="12.5546875" customWidth="1"/>
    <col min="8193" max="8193" width="10.6640625" customWidth="1"/>
    <col min="8194" max="8194" width="12.33203125" customWidth="1"/>
    <col min="8195" max="8195" width="10.88671875" bestFit="1" customWidth="1"/>
    <col min="8196" max="8196" width="8.88671875" customWidth="1"/>
    <col min="8197" max="8197" width="13.88671875" customWidth="1"/>
    <col min="8198" max="8198" width="12.5546875" customWidth="1"/>
    <col min="8449" max="8449" width="10.6640625" customWidth="1"/>
    <col min="8450" max="8450" width="12.33203125" customWidth="1"/>
    <col min="8451" max="8451" width="10.88671875" bestFit="1" customWidth="1"/>
    <col min="8452" max="8452" width="8.88671875" customWidth="1"/>
    <col min="8453" max="8453" width="13.88671875" customWidth="1"/>
    <col min="8454" max="8454" width="12.5546875" customWidth="1"/>
    <col min="8705" max="8705" width="10.6640625" customWidth="1"/>
    <col min="8706" max="8706" width="12.33203125" customWidth="1"/>
    <col min="8707" max="8707" width="10.88671875" bestFit="1" customWidth="1"/>
    <col min="8708" max="8708" width="8.88671875" customWidth="1"/>
    <col min="8709" max="8709" width="13.88671875" customWidth="1"/>
    <col min="8710" max="8710" width="12.5546875" customWidth="1"/>
    <col min="8961" max="8961" width="10.6640625" customWidth="1"/>
    <col min="8962" max="8962" width="12.33203125" customWidth="1"/>
    <col min="8963" max="8963" width="10.88671875" bestFit="1" customWidth="1"/>
    <col min="8964" max="8964" width="8.88671875" customWidth="1"/>
    <col min="8965" max="8965" width="13.88671875" customWidth="1"/>
    <col min="8966" max="8966" width="12.5546875" customWidth="1"/>
    <col min="9217" max="9217" width="10.6640625" customWidth="1"/>
    <col min="9218" max="9218" width="12.33203125" customWidth="1"/>
    <col min="9219" max="9219" width="10.88671875" bestFit="1" customWidth="1"/>
    <col min="9220" max="9220" width="8.88671875" customWidth="1"/>
    <col min="9221" max="9221" width="13.88671875" customWidth="1"/>
    <col min="9222" max="9222" width="12.5546875" customWidth="1"/>
    <col min="9473" max="9473" width="10.6640625" customWidth="1"/>
    <col min="9474" max="9474" width="12.33203125" customWidth="1"/>
    <col min="9475" max="9475" width="10.88671875" bestFit="1" customWidth="1"/>
    <col min="9476" max="9476" width="8.88671875" customWidth="1"/>
    <col min="9477" max="9477" width="13.88671875" customWidth="1"/>
    <col min="9478" max="9478" width="12.5546875" customWidth="1"/>
    <col min="9729" max="9729" width="10.6640625" customWidth="1"/>
    <col min="9730" max="9730" width="12.33203125" customWidth="1"/>
    <col min="9731" max="9731" width="10.88671875" bestFit="1" customWidth="1"/>
    <col min="9732" max="9732" width="8.88671875" customWidth="1"/>
    <col min="9733" max="9733" width="13.88671875" customWidth="1"/>
    <col min="9734" max="9734" width="12.5546875" customWidth="1"/>
    <col min="9985" max="9985" width="10.6640625" customWidth="1"/>
    <col min="9986" max="9986" width="12.33203125" customWidth="1"/>
    <col min="9987" max="9987" width="10.88671875" bestFit="1" customWidth="1"/>
    <col min="9988" max="9988" width="8.88671875" customWidth="1"/>
    <col min="9989" max="9989" width="13.88671875" customWidth="1"/>
    <col min="9990" max="9990" width="12.5546875" customWidth="1"/>
    <col min="10241" max="10241" width="10.6640625" customWidth="1"/>
    <col min="10242" max="10242" width="12.33203125" customWidth="1"/>
    <col min="10243" max="10243" width="10.88671875" bestFit="1" customWidth="1"/>
    <col min="10244" max="10244" width="8.88671875" customWidth="1"/>
    <col min="10245" max="10245" width="13.88671875" customWidth="1"/>
    <col min="10246" max="10246" width="12.5546875" customWidth="1"/>
    <col min="10497" max="10497" width="10.6640625" customWidth="1"/>
    <col min="10498" max="10498" width="12.33203125" customWidth="1"/>
    <col min="10499" max="10499" width="10.88671875" bestFit="1" customWidth="1"/>
    <col min="10500" max="10500" width="8.88671875" customWidth="1"/>
    <col min="10501" max="10501" width="13.88671875" customWidth="1"/>
    <col min="10502" max="10502" width="12.5546875" customWidth="1"/>
    <col min="10753" max="10753" width="10.6640625" customWidth="1"/>
    <col min="10754" max="10754" width="12.33203125" customWidth="1"/>
    <col min="10755" max="10755" width="10.88671875" bestFit="1" customWidth="1"/>
    <col min="10756" max="10756" width="8.88671875" customWidth="1"/>
    <col min="10757" max="10757" width="13.88671875" customWidth="1"/>
    <col min="10758" max="10758" width="12.5546875" customWidth="1"/>
    <col min="11009" max="11009" width="10.6640625" customWidth="1"/>
    <col min="11010" max="11010" width="12.33203125" customWidth="1"/>
    <col min="11011" max="11011" width="10.88671875" bestFit="1" customWidth="1"/>
    <col min="11012" max="11012" width="8.88671875" customWidth="1"/>
    <col min="11013" max="11013" width="13.88671875" customWidth="1"/>
    <col min="11014" max="11014" width="12.5546875" customWidth="1"/>
    <col min="11265" max="11265" width="10.6640625" customWidth="1"/>
    <col min="11266" max="11266" width="12.33203125" customWidth="1"/>
    <col min="11267" max="11267" width="10.88671875" bestFit="1" customWidth="1"/>
    <col min="11268" max="11268" width="8.88671875" customWidth="1"/>
    <col min="11269" max="11269" width="13.88671875" customWidth="1"/>
    <col min="11270" max="11270" width="12.5546875" customWidth="1"/>
    <col min="11521" max="11521" width="10.6640625" customWidth="1"/>
    <col min="11522" max="11522" width="12.33203125" customWidth="1"/>
    <col min="11523" max="11523" width="10.88671875" bestFit="1" customWidth="1"/>
    <col min="11524" max="11524" width="8.88671875" customWidth="1"/>
    <col min="11525" max="11525" width="13.88671875" customWidth="1"/>
    <col min="11526" max="11526" width="12.5546875" customWidth="1"/>
    <col min="11777" max="11777" width="10.6640625" customWidth="1"/>
    <col min="11778" max="11778" width="12.33203125" customWidth="1"/>
    <col min="11779" max="11779" width="10.88671875" bestFit="1" customWidth="1"/>
    <col min="11780" max="11780" width="8.88671875" customWidth="1"/>
    <col min="11781" max="11781" width="13.88671875" customWidth="1"/>
    <col min="11782" max="11782" width="12.5546875" customWidth="1"/>
    <col min="12033" max="12033" width="10.6640625" customWidth="1"/>
    <col min="12034" max="12034" width="12.33203125" customWidth="1"/>
    <col min="12035" max="12035" width="10.88671875" bestFit="1" customWidth="1"/>
    <col min="12036" max="12036" width="8.88671875" customWidth="1"/>
    <col min="12037" max="12037" width="13.88671875" customWidth="1"/>
    <col min="12038" max="12038" width="12.5546875" customWidth="1"/>
    <col min="12289" max="12289" width="10.6640625" customWidth="1"/>
    <col min="12290" max="12290" width="12.33203125" customWidth="1"/>
    <col min="12291" max="12291" width="10.88671875" bestFit="1" customWidth="1"/>
    <col min="12292" max="12292" width="8.88671875" customWidth="1"/>
    <col min="12293" max="12293" width="13.88671875" customWidth="1"/>
    <col min="12294" max="12294" width="12.5546875" customWidth="1"/>
    <col min="12545" max="12545" width="10.6640625" customWidth="1"/>
    <col min="12546" max="12546" width="12.33203125" customWidth="1"/>
    <col min="12547" max="12547" width="10.88671875" bestFit="1" customWidth="1"/>
    <col min="12548" max="12548" width="8.88671875" customWidth="1"/>
    <col min="12549" max="12549" width="13.88671875" customWidth="1"/>
    <col min="12550" max="12550" width="12.5546875" customWidth="1"/>
    <col min="12801" max="12801" width="10.6640625" customWidth="1"/>
    <col min="12802" max="12802" width="12.33203125" customWidth="1"/>
    <col min="12803" max="12803" width="10.88671875" bestFit="1" customWidth="1"/>
    <col min="12804" max="12804" width="8.88671875" customWidth="1"/>
    <col min="12805" max="12805" width="13.88671875" customWidth="1"/>
    <col min="12806" max="12806" width="12.5546875" customWidth="1"/>
    <col min="13057" max="13057" width="10.6640625" customWidth="1"/>
    <col min="13058" max="13058" width="12.33203125" customWidth="1"/>
    <col min="13059" max="13059" width="10.88671875" bestFit="1" customWidth="1"/>
    <col min="13060" max="13060" width="8.88671875" customWidth="1"/>
    <col min="13061" max="13061" width="13.88671875" customWidth="1"/>
    <col min="13062" max="13062" width="12.5546875" customWidth="1"/>
    <col min="13313" max="13313" width="10.6640625" customWidth="1"/>
    <col min="13314" max="13314" width="12.33203125" customWidth="1"/>
    <col min="13315" max="13315" width="10.88671875" bestFit="1" customWidth="1"/>
    <col min="13316" max="13316" width="8.88671875" customWidth="1"/>
    <col min="13317" max="13317" width="13.88671875" customWidth="1"/>
    <col min="13318" max="13318" width="12.5546875" customWidth="1"/>
    <col min="13569" max="13569" width="10.6640625" customWidth="1"/>
    <col min="13570" max="13570" width="12.33203125" customWidth="1"/>
    <col min="13571" max="13571" width="10.88671875" bestFit="1" customWidth="1"/>
    <col min="13572" max="13572" width="8.88671875" customWidth="1"/>
    <col min="13573" max="13573" width="13.88671875" customWidth="1"/>
    <col min="13574" max="13574" width="12.5546875" customWidth="1"/>
    <col min="13825" max="13825" width="10.6640625" customWidth="1"/>
    <col min="13826" max="13826" width="12.33203125" customWidth="1"/>
    <col min="13827" max="13827" width="10.88671875" bestFit="1" customWidth="1"/>
    <col min="13828" max="13828" width="8.88671875" customWidth="1"/>
    <col min="13829" max="13829" width="13.88671875" customWidth="1"/>
    <col min="13830" max="13830" width="12.5546875" customWidth="1"/>
    <col min="14081" max="14081" width="10.6640625" customWidth="1"/>
    <col min="14082" max="14082" width="12.33203125" customWidth="1"/>
    <col min="14083" max="14083" width="10.88671875" bestFit="1" customWidth="1"/>
    <col min="14084" max="14084" width="8.88671875" customWidth="1"/>
    <col min="14085" max="14085" width="13.88671875" customWidth="1"/>
    <col min="14086" max="14086" width="12.5546875" customWidth="1"/>
    <col min="14337" max="14337" width="10.6640625" customWidth="1"/>
    <col min="14338" max="14338" width="12.33203125" customWidth="1"/>
    <col min="14339" max="14339" width="10.88671875" bestFit="1" customWidth="1"/>
    <col min="14340" max="14340" width="8.88671875" customWidth="1"/>
    <col min="14341" max="14341" width="13.88671875" customWidth="1"/>
    <col min="14342" max="14342" width="12.5546875" customWidth="1"/>
    <col min="14593" max="14593" width="10.6640625" customWidth="1"/>
    <col min="14594" max="14594" width="12.33203125" customWidth="1"/>
    <col min="14595" max="14595" width="10.88671875" bestFit="1" customWidth="1"/>
    <col min="14596" max="14596" width="8.88671875" customWidth="1"/>
    <col min="14597" max="14597" width="13.88671875" customWidth="1"/>
    <col min="14598" max="14598" width="12.5546875" customWidth="1"/>
    <col min="14849" max="14849" width="10.6640625" customWidth="1"/>
    <col min="14850" max="14850" width="12.33203125" customWidth="1"/>
    <col min="14851" max="14851" width="10.88671875" bestFit="1" customWidth="1"/>
    <col min="14852" max="14852" width="8.88671875" customWidth="1"/>
    <col min="14853" max="14853" width="13.88671875" customWidth="1"/>
    <col min="14854" max="14854" width="12.5546875" customWidth="1"/>
    <col min="15105" max="15105" width="10.6640625" customWidth="1"/>
    <col min="15106" max="15106" width="12.33203125" customWidth="1"/>
    <col min="15107" max="15107" width="10.88671875" bestFit="1" customWidth="1"/>
    <col min="15108" max="15108" width="8.88671875" customWidth="1"/>
    <col min="15109" max="15109" width="13.88671875" customWidth="1"/>
    <col min="15110" max="15110" width="12.5546875" customWidth="1"/>
    <col min="15361" max="15361" width="10.6640625" customWidth="1"/>
    <col min="15362" max="15362" width="12.33203125" customWidth="1"/>
    <col min="15363" max="15363" width="10.88671875" bestFit="1" customWidth="1"/>
    <col min="15364" max="15364" width="8.88671875" customWidth="1"/>
    <col min="15365" max="15365" width="13.88671875" customWidth="1"/>
    <col min="15366" max="15366" width="12.5546875" customWidth="1"/>
    <col min="15617" max="15617" width="10.6640625" customWidth="1"/>
    <col min="15618" max="15618" width="12.33203125" customWidth="1"/>
    <col min="15619" max="15619" width="10.88671875" bestFit="1" customWidth="1"/>
    <col min="15620" max="15620" width="8.88671875" customWidth="1"/>
    <col min="15621" max="15621" width="13.88671875" customWidth="1"/>
    <col min="15622" max="15622" width="12.5546875" customWidth="1"/>
    <col min="15873" max="15873" width="10.6640625" customWidth="1"/>
    <col min="15874" max="15874" width="12.33203125" customWidth="1"/>
    <col min="15875" max="15875" width="10.88671875" bestFit="1" customWidth="1"/>
    <col min="15876" max="15876" width="8.88671875" customWidth="1"/>
    <col min="15877" max="15877" width="13.88671875" customWidth="1"/>
    <col min="15878" max="15878" width="12.5546875" customWidth="1"/>
    <col min="16129" max="16129" width="10.6640625" customWidth="1"/>
    <col min="16130" max="16130" width="12.33203125" customWidth="1"/>
    <col min="16131" max="16131" width="10.88671875" bestFit="1" customWidth="1"/>
    <col min="16132" max="16132" width="8.88671875" customWidth="1"/>
    <col min="16133" max="16133" width="13.88671875" customWidth="1"/>
    <col min="16134" max="16134" width="12.5546875" customWidth="1"/>
  </cols>
  <sheetData>
    <row r="1" spans="1:11" ht="28.8" x14ac:dyDescent="0.3">
      <c r="A1" s="9" t="s">
        <v>46</v>
      </c>
      <c r="B1" s="9"/>
      <c r="C1" s="9"/>
      <c r="D1" s="9"/>
      <c r="E1" s="9"/>
      <c r="F1" s="9"/>
    </row>
    <row r="2" spans="1:11" x14ac:dyDescent="0.3">
      <c r="A2" s="44" t="s">
        <v>47</v>
      </c>
      <c r="B2" s="44"/>
      <c r="C2" s="44"/>
      <c r="D2" s="44"/>
      <c r="E2" s="44"/>
      <c r="F2" s="44"/>
    </row>
    <row r="3" spans="1:11" ht="72" x14ac:dyDescent="0.3">
      <c r="A3" s="44" t="s">
        <v>48</v>
      </c>
      <c r="B3" s="44"/>
      <c r="C3" s="44"/>
      <c r="D3" s="44"/>
      <c r="E3" s="44"/>
      <c r="F3" s="44"/>
    </row>
    <row r="4" spans="1:11" ht="28.8" x14ac:dyDescent="0.3">
      <c r="A4" s="9" t="s">
        <v>49</v>
      </c>
      <c r="B4" s="9"/>
      <c r="C4" s="9"/>
      <c r="D4" s="9"/>
      <c r="E4" s="9"/>
      <c r="F4" s="9"/>
    </row>
    <row r="5" spans="1:11" ht="16.8" x14ac:dyDescent="0.35">
      <c r="A5" s="44" t="s">
        <v>50</v>
      </c>
      <c r="B5" s="44"/>
      <c r="C5" s="44"/>
      <c r="D5" s="44"/>
      <c r="E5" s="44"/>
      <c r="F5" s="44"/>
    </row>
    <row r="6" spans="1:11" ht="43.2" x14ac:dyDescent="0.3">
      <c r="A6" s="44" t="s">
        <v>97</v>
      </c>
      <c r="B6" s="44"/>
      <c r="C6" s="44"/>
      <c r="D6" s="44"/>
      <c r="E6" s="44"/>
      <c r="F6" s="44"/>
    </row>
    <row r="7" spans="1:11" ht="28.8" x14ac:dyDescent="0.3">
      <c r="A7" s="44" t="s">
        <v>51</v>
      </c>
      <c r="B7" s="44"/>
      <c r="C7" s="44"/>
      <c r="D7" s="44"/>
      <c r="E7" s="44"/>
      <c r="F7" s="44"/>
    </row>
    <row r="9" spans="1:11" x14ac:dyDescent="0.3">
      <c r="A9" s="23" t="s">
        <v>0</v>
      </c>
      <c r="B9" s="23" t="s">
        <v>52</v>
      </c>
      <c r="C9" s="23" t="s">
        <v>190</v>
      </c>
      <c r="H9" s="81" t="s">
        <v>200</v>
      </c>
    </row>
    <row r="10" spans="1:11" x14ac:dyDescent="0.3">
      <c r="A10" s="3">
        <v>2001</v>
      </c>
      <c r="B10" s="3">
        <v>25.75</v>
      </c>
      <c r="C10" s="7">
        <f>A16-A10</f>
        <v>4</v>
      </c>
      <c r="D10">
        <f>COUNT(B13:B16)</f>
        <v>4</v>
      </c>
    </row>
    <row r="11" spans="1:11" ht="4.2" customHeight="1" x14ac:dyDescent="0.3"/>
    <row r="12" spans="1:11" ht="57.6" x14ac:dyDescent="0.3">
      <c r="A12" s="23" t="s">
        <v>0</v>
      </c>
      <c r="B12" s="2" t="s">
        <v>39</v>
      </c>
      <c r="C12" s="2" t="s">
        <v>53</v>
      </c>
      <c r="D12" s="2" t="s">
        <v>52</v>
      </c>
      <c r="E12" s="2" t="s">
        <v>54</v>
      </c>
      <c r="F12" s="2" t="s">
        <v>55</v>
      </c>
      <c r="H12" s="2" t="s">
        <v>53</v>
      </c>
      <c r="I12" s="2" t="s">
        <v>52</v>
      </c>
      <c r="J12" s="2" t="s">
        <v>54</v>
      </c>
      <c r="K12" s="2" t="s">
        <v>55</v>
      </c>
    </row>
    <row r="13" spans="1:11" x14ac:dyDescent="0.3">
      <c r="A13" s="3">
        <v>2002</v>
      </c>
      <c r="B13" s="3">
        <v>0.1</v>
      </c>
      <c r="C13" s="7">
        <f>1+B13</f>
        <v>1.1000000000000001</v>
      </c>
      <c r="D13" s="57">
        <f>B10*C13</f>
        <v>28.325000000000003</v>
      </c>
      <c r="E13" s="57">
        <f>B10*(1+B23)</f>
        <v>26.78</v>
      </c>
      <c r="F13" s="57">
        <f>B10*(1+B24)</f>
        <v>26.693133874586238</v>
      </c>
      <c r="H13" s="7" cm="1">
        <f t="array" ref="H13:H16">1+B13:B16</f>
        <v>1.1000000000000001</v>
      </c>
      <c r="I13" s="57" cm="1">
        <f t="array" ref="I13:I16">_xlfn.SCAN(B10,_xlfn.ANCHORARRAY(H13),_xleta.PRODUCT)</f>
        <v>28.325000000000003</v>
      </c>
      <c r="J13" s="57" cm="1">
        <f t="array" ref="J13:J16">_xlfn.SCAN(B10,_xlfn.SEQUENCE(ROWS(B13:B16),,1+B23,0),_xleta.PRODUCT)</f>
        <v>26.78</v>
      </c>
      <c r="K13" s="57" cm="1">
        <f t="array" ref="K13:K16">_xlfn.SCAN(B10,_xlfn.SEQUENCE(ROWS(B13:B16),,1+B24,0),_xleta.PRODUCT)</f>
        <v>26.693133874586238</v>
      </c>
    </row>
    <row r="14" spans="1:11" x14ac:dyDescent="0.3">
      <c r="A14" s="3">
        <v>2003</v>
      </c>
      <c r="B14" s="3">
        <v>0.12</v>
      </c>
      <c r="C14" s="7">
        <f t="shared" ref="C14:C16" si="0">1+B14</f>
        <v>1.1200000000000001</v>
      </c>
      <c r="D14" s="57">
        <f>D13*C14</f>
        <v>31.724000000000007</v>
      </c>
      <c r="E14" s="57">
        <f>E13*(1+$B$23)</f>
        <v>27.851200000000002</v>
      </c>
      <c r="F14" s="57">
        <f>F13*(1+$B$24)</f>
        <v>27.670811496954691</v>
      </c>
      <c r="H14" s="7">
        <v>1.1200000000000001</v>
      </c>
      <c r="I14" s="57">
        <v>31.724000000000007</v>
      </c>
      <c r="J14" s="57">
        <v>27.851200000000002</v>
      </c>
      <c r="K14" s="57">
        <v>27.670811496954691</v>
      </c>
    </row>
    <row r="15" spans="1:11" x14ac:dyDescent="0.3">
      <c r="A15" s="3">
        <v>2004</v>
      </c>
      <c r="B15" s="3">
        <v>0.03</v>
      </c>
      <c r="C15" s="7">
        <f t="shared" si="0"/>
        <v>1.03</v>
      </c>
      <c r="D15" s="57">
        <f t="shared" ref="D15:D16" si="1">D14*C15</f>
        <v>32.675720000000005</v>
      </c>
      <c r="E15" s="57">
        <f t="shared" ref="E15:E16" si="2">E14*(1+$B$23)</f>
        <v>28.965248000000003</v>
      </c>
      <c r="F15" s="57">
        <f t="shared" ref="F15:F16" si="3">F14*(1+$B$24)</f>
        <v>28.684298085695207</v>
      </c>
      <c r="H15" s="7">
        <v>1.03</v>
      </c>
      <c r="I15" s="57">
        <v>32.675720000000005</v>
      </c>
      <c r="J15" s="57">
        <v>28.965248000000003</v>
      </c>
      <c r="K15" s="57">
        <v>28.684298085695207</v>
      </c>
    </row>
    <row r="16" spans="1:11" x14ac:dyDescent="0.3">
      <c r="A16" s="3">
        <v>2005</v>
      </c>
      <c r="B16" s="3">
        <v>-0.09</v>
      </c>
      <c r="C16" s="7">
        <f t="shared" si="0"/>
        <v>0.91</v>
      </c>
      <c r="D16" s="57">
        <f t="shared" si="1"/>
        <v>29.734905200000007</v>
      </c>
      <c r="E16" s="57">
        <f t="shared" si="2"/>
        <v>30.123857920000003</v>
      </c>
      <c r="F16" s="57">
        <f t="shared" si="3"/>
        <v>29.734905199999996</v>
      </c>
      <c r="H16" s="7">
        <v>0.91</v>
      </c>
      <c r="I16" s="57">
        <v>29.734905200000007</v>
      </c>
      <c r="J16" s="57">
        <v>30.123857920000003</v>
      </c>
      <c r="K16" s="57">
        <v>29.734905199999996</v>
      </c>
    </row>
    <row r="18" spans="1:4" x14ac:dyDescent="0.3">
      <c r="A18" s="2" t="s">
        <v>187</v>
      </c>
      <c r="B18" s="7">
        <f>B10*C13*C14*C15*C16</f>
        <v>29.734905200000007</v>
      </c>
    </row>
    <row r="19" spans="1:4" x14ac:dyDescent="0.3">
      <c r="A19" s="2" t="s">
        <v>187</v>
      </c>
      <c r="B19" s="7">
        <f>B10*PRODUCT(C13:C16)</f>
        <v>29.734905200000007</v>
      </c>
    </row>
    <row r="20" spans="1:4" x14ac:dyDescent="0.3">
      <c r="A20" s="2" t="s">
        <v>188</v>
      </c>
      <c r="B20" s="7">
        <f>PRODUCT(C13:C16)</f>
        <v>1.1547536000000003</v>
      </c>
      <c r="C20" t="s">
        <v>189</v>
      </c>
    </row>
    <row r="21" spans="1:4" x14ac:dyDescent="0.3">
      <c r="A21" s="2" t="s">
        <v>155</v>
      </c>
      <c r="B21" s="7">
        <f>B10*B20</f>
        <v>29.734905200000007</v>
      </c>
      <c r="C21">
        <f>B10*(1+D24)^C10</f>
        <v>29.7349052</v>
      </c>
    </row>
    <row r="23" spans="1:4" x14ac:dyDescent="0.3">
      <c r="A23" s="2" t="s">
        <v>56</v>
      </c>
      <c r="B23" s="56">
        <f>AVERAGE(B13:B16)</f>
        <v>0.04</v>
      </c>
    </row>
    <row r="24" spans="1:4" x14ac:dyDescent="0.3">
      <c r="A24" s="2" t="s">
        <v>57</v>
      </c>
      <c r="B24" s="7">
        <f>GEOMEAN(C13:C16)-1</f>
        <v>3.6626558236358742E-2</v>
      </c>
      <c r="C24" s="7" cm="1">
        <f t="array" ref="C24">SUMPRODUCT(GEOMEAN(B13:B16+1))-1</f>
        <v>3.6626558236358742E-2</v>
      </c>
      <c r="D24" s="7">
        <f>PRODUCT(C13:C16)^(1/C10)-1</f>
        <v>3.6626558236358742E-2</v>
      </c>
    </row>
    <row r="25" spans="1:4" x14ac:dyDescent="0.3">
      <c r="A25" s="2" t="s">
        <v>54</v>
      </c>
      <c r="B25" s="7">
        <f>B10*(1+B23)^C10</f>
        <v>30.123857920000006</v>
      </c>
    </row>
    <row r="26" spans="1:4" x14ac:dyDescent="0.3">
      <c r="A26" s="2" t="s">
        <v>55</v>
      </c>
      <c r="B26" s="7">
        <f>B10*(1+B24)^C10</f>
        <v>29.7349052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G18"/>
  <sheetViews>
    <sheetView zoomScaleNormal="100" workbookViewId="0"/>
  </sheetViews>
  <sheetFormatPr defaultRowHeight="14.4" x14ac:dyDescent="0.3"/>
  <cols>
    <col min="1" max="1" width="5.5546875" bestFit="1" customWidth="1"/>
    <col min="2" max="2" width="14.77734375" bestFit="1" customWidth="1"/>
    <col min="3" max="3" width="13.109375" customWidth="1"/>
    <col min="4" max="4" width="14.5546875" customWidth="1"/>
    <col min="9" max="9" width="4.109375" bestFit="1" customWidth="1"/>
    <col min="11" max="11" width="188.6640625" bestFit="1" customWidth="1"/>
    <col min="257" max="257" width="38.88671875" bestFit="1" customWidth="1"/>
    <col min="258" max="258" width="26.44140625" bestFit="1" customWidth="1"/>
    <col min="259" max="260" width="12.88671875" bestFit="1" customWidth="1"/>
    <col min="265" max="265" width="4.109375" bestFit="1" customWidth="1"/>
    <col min="267" max="267" width="188.6640625" bestFit="1" customWidth="1"/>
    <col min="513" max="513" width="38.88671875" bestFit="1" customWidth="1"/>
    <col min="514" max="514" width="26.44140625" bestFit="1" customWidth="1"/>
    <col min="515" max="516" width="12.88671875" bestFit="1" customWidth="1"/>
    <col min="521" max="521" width="4.109375" bestFit="1" customWidth="1"/>
    <col min="523" max="523" width="188.6640625" bestFit="1" customWidth="1"/>
    <col min="769" max="769" width="38.88671875" bestFit="1" customWidth="1"/>
    <col min="770" max="770" width="26.44140625" bestFit="1" customWidth="1"/>
    <col min="771" max="772" width="12.88671875" bestFit="1" customWidth="1"/>
    <col min="777" max="777" width="4.109375" bestFit="1" customWidth="1"/>
    <col min="779" max="779" width="188.6640625" bestFit="1" customWidth="1"/>
    <col min="1025" max="1025" width="38.88671875" bestFit="1" customWidth="1"/>
    <col min="1026" max="1026" width="26.44140625" bestFit="1" customWidth="1"/>
    <col min="1027" max="1028" width="12.88671875" bestFit="1" customWidth="1"/>
    <col min="1033" max="1033" width="4.109375" bestFit="1" customWidth="1"/>
    <col min="1035" max="1035" width="188.6640625" bestFit="1" customWidth="1"/>
    <col min="1281" max="1281" width="38.88671875" bestFit="1" customWidth="1"/>
    <col min="1282" max="1282" width="26.44140625" bestFit="1" customWidth="1"/>
    <col min="1283" max="1284" width="12.88671875" bestFit="1" customWidth="1"/>
    <col min="1289" max="1289" width="4.109375" bestFit="1" customWidth="1"/>
    <col min="1291" max="1291" width="188.6640625" bestFit="1" customWidth="1"/>
    <col min="1537" max="1537" width="38.88671875" bestFit="1" customWidth="1"/>
    <col min="1538" max="1538" width="26.44140625" bestFit="1" customWidth="1"/>
    <col min="1539" max="1540" width="12.88671875" bestFit="1" customWidth="1"/>
    <col min="1545" max="1545" width="4.109375" bestFit="1" customWidth="1"/>
    <col min="1547" max="1547" width="188.6640625" bestFit="1" customWidth="1"/>
    <col min="1793" max="1793" width="38.88671875" bestFit="1" customWidth="1"/>
    <col min="1794" max="1794" width="26.44140625" bestFit="1" customWidth="1"/>
    <col min="1795" max="1796" width="12.88671875" bestFit="1" customWidth="1"/>
    <col min="1801" max="1801" width="4.109375" bestFit="1" customWidth="1"/>
    <col min="1803" max="1803" width="188.6640625" bestFit="1" customWidth="1"/>
    <col min="2049" max="2049" width="38.88671875" bestFit="1" customWidth="1"/>
    <col min="2050" max="2050" width="26.44140625" bestFit="1" customWidth="1"/>
    <col min="2051" max="2052" width="12.88671875" bestFit="1" customWidth="1"/>
    <col min="2057" max="2057" width="4.109375" bestFit="1" customWidth="1"/>
    <col min="2059" max="2059" width="188.6640625" bestFit="1" customWidth="1"/>
    <col min="2305" max="2305" width="38.88671875" bestFit="1" customWidth="1"/>
    <col min="2306" max="2306" width="26.44140625" bestFit="1" customWidth="1"/>
    <col min="2307" max="2308" width="12.88671875" bestFit="1" customWidth="1"/>
    <col min="2313" max="2313" width="4.109375" bestFit="1" customWidth="1"/>
    <col min="2315" max="2315" width="188.6640625" bestFit="1" customWidth="1"/>
    <col min="2561" max="2561" width="38.88671875" bestFit="1" customWidth="1"/>
    <col min="2562" max="2562" width="26.44140625" bestFit="1" customWidth="1"/>
    <col min="2563" max="2564" width="12.88671875" bestFit="1" customWidth="1"/>
    <col min="2569" max="2569" width="4.109375" bestFit="1" customWidth="1"/>
    <col min="2571" max="2571" width="188.6640625" bestFit="1" customWidth="1"/>
    <col min="2817" max="2817" width="38.88671875" bestFit="1" customWidth="1"/>
    <col min="2818" max="2818" width="26.44140625" bestFit="1" customWidth="1"/>
    <col min="2819" max="2820" width="12.88671875" bestFit="1" customWidth="1"/>
    <col min="2825" max="2825" width="4.109375" bestFit="1" customWidth="1"/>
    <col min="2827" max="2827" width="188.6640625" bestFit="1" customWidth="1"/>
    <col min="3073" max="3073" width="38.88671875" bestFit="1" customWidth="1"/>
    <col min="3074" max="3074" width="26.44140625" bestFit="1" customWidth="1"/>
    <col min="3075" max="3076" width="12.88671875" bestFit="1" customWidth="1"/>
    <col min="3081" max="3081" width="4.109375" bestFit="1" customWidth="1"/>
    <col min="3083" max="3083" width="188.6640625" bestFit="1" customWidth="1"/>
    <col min="3329" max="3329" width="38.88671875" bestFit="1" customWidth="1"/>
    <col min="3330" max="3330" width="26.44140625" bestFit="1" customWidth="1"/>
    <col min="3331" max="3332" width="12.88671875" bestFit="1" customWidth="1"/>
    <col min="3337" max="3337" width="4.109375" bestFit="1" customWidth="1"/>
    <col min="3339" max="3339" width="188.6640625" bestFit="1" customWidth="1"/>
    <col min="3585" max="3585" width="38.88671875" bestFit="1" customWidth="1"/>
    <col min="3586" max="3586" width="26.44140625" bestFit="1" customWidth="1"/>
    <col min="3587" max="3588" width="12.88671875" bestFit="1" customWidth="1"/>
    <col min="3593" max="3593" width="4.109375" bestFit="1" customWidth="1"/>
    <col min="3595" max="3595" width="188.6640625" bestFit="1" customWidth="1"/>
    <col min="3841" max="3841" width="38.88671875" bestFit="1" customWidth="1"/>
    <col min="3842" max="3842" width="26.44140625" bestFit="1" customWidth="1"/>
    <col min="3843" max="3844" width="12.88671875" bestFit="1" customWidth="1"/>
    <col min="3849" max="3849" width="4.109375" bestFit="1" customWidth="1"/>
    <col min="3851" max="3851" width="188.6640625" bestFit="1" customWidth="1"/>
    <col min="4097" max="4097" width="38.88671875" bestFit="1" customWidth="1"/>
    <col min="4098" max="4098" width="26.44140625" bestFit="1" customWidth="1"/>
    <col min="4099" max="4100" width="12.88671875" bestFit="1" customWidth="1"/>
    <col min="4105" max="4105" width="4.109375" bestFit="1" customWidth="1"/>
    <col min="4107" max="4107" width="188.6640625" bestFit="1" customWidth="1"/>
    <col min="4353" max="4353" width="38.88671875" bestFit="1" customWidth="1"/>
    <col min="4354" max="4354" width="26.44140625" bestFit="1" customWidth="1"/>
    <col min="4355" max="4356" width="12.88671875" bestFit="1" customWidth="1"/>
    <col min="4361" max="4361" width="4.109375" bestFit="1" customWidth="1"/>
    <col min="4363" max="4363" width="188.6640625" bestFit="1" customWidth="1"/>
    <col min="4609" max="4609" width="38.88671875" bestFit="1" customWidth="1"/>
    <col min="4610" max="4610" width="26.44140625" bestFit="1" customWidth="1"/>
    <col min="4611" max="4612" width="12.88671875" bestFit="1" customWidth="1"/>
    <col min="4617" max="4617" width="4.109375" bestFit="1" customWidth="1"/>
    <col min="4619" max="4619" width="188.6640625" bestFit="1" customWidth="1"/>
    <col min="4865" max="4865" width="38.88671875" bestFit="1" customWidth="1"/>
    <col min="4866" max="4866" width="26.44140625" bestFit="1" customWidth="1"/>
    <col min="4867" max="4868" width="12.88671875" bestFit="1" customWidth="1"/>
    <col min="4873" max="4873" width="4.109375" bestFit="1" customWidth="1"/>
    <col min="4875" max="4875" width="188.6640625" bestFit="1" customWidth="1"/>
    <col min="5121" max="5121" width="38.88671875" bestFit="1" customWidth="1"/>
    <col min="5122" max="5122" width="26.44140625" bestFit="1" customWidth="1"/>
    <col min="5123" max="5124" width="12.88671875" bestFit="1" customWidth="1"/>
    <col min="5129" max="5129" width="4.109375" bestFit="1" customWidth="1"/>
    <col min="5131" max="5131" width="188.6640625" bestFit="1" customWidth="1"/>
    <col min="5377" max="5377" width="38.88671875" bestFit="1" customWidth="1"/>
    <col min="5378" max="5378" width="26.44140625" bestFit="1" customWidth="1"/>
    <col min="5379" max="5380" width="12.88671875" bestFit="1" customWidth="1"/>
    <col min="5385" max="5385" width="4.109375" bestFit="1" customWidth="1"/>
    <col min="5387" max="5387" width="188.6640625" bestFit="1" customWidth="1"/>
    <col min="5633" max="5633" width="38.88671875" bestFit="1" customWidth="1"/>
    <col min="5634" max="5634" width="26.44140625" bestFit="1" customWidth="1"/>
    <col min="5635" max="5636" width="12.88671875" bestFit="1" customWidth="1"/>
    <col min="5641" max="5641" width="4.109375" bestFit="1" customWidth="1"/>
    <col min="5643" max="5643" width="188.6640625" bestFit="1" customWidth="1"/>
    <col min="5889" max="5889" width="38.88671875" bestFit="1" customWidth="1"/>
    <col min="5890" max="5890" width="26.44140625" bestFit="1" customWidth="1"/>
    <col min="5891" max="5892" width="12.88671875" bestFit="1" customWidth="1"/>
    <col min="5897" max="5897" width="4.109375" bestFit="1" customWidth="1"/>
    <col min="5899" max="5899" width="188.6640625" bestFit="1" customWidth="1"/>
    <col min="6145" max="6145" width="38.88671875" bestFit="1" customWidth="1"/>
    <col min="6146" max="6146" width="26.44140625" bestFit="1" customWidth="1"/>
    <col min="6147" max="6148" width="12.88671875" bestFit="1" customWidth="1"/>
    <col min="6153" max="6153" width="4.109375" bestFit="1" customWidth="1"/>
    <col min="6155" max="6155" width="188.6640625" bestFit="1" customWidth="1"/>
    <col min="6401" max="6401" width="38.88671875" bestFit="1" customWidth="1"/>
    <col min="6402" max="6402" width="26.44140625" bestFit="1" customWidth="1"/>
    <col min="6403" max="6404" width="12.88671875" bestFit="1" customWidth="1"/>
    <col min="6409" max="6409" width="4.109375" bestFit="1" customWidth="1"/>
    <col min="6411" max="6411" width="188.6640625" bestFit="1" customWidth="1"/>
    <col min="6657" max="6657" width="38.88671875" bestFit="1" customWidth="1"/>
    <col min="6658" max="6658" width="26.44140625" bestFit="1" customWidth="1"/>
    <col min="6659" max="6660" width="12.88671875" bestFit="1" customWidth="1"/>
    <col min="6665" max="6665" width="4.109375" bestFit="1" customWidth="1"/>
    <col min="6667" max="6667" width="188.6640625" bestFit="1" customWidth="1"/>
    <col min="6913" max="6913" width="38.88671875" bestFit="1" customWidth="1"/>
    <col min="6914" max="6914" width="26.44140625" bestFit="1" customWidth="1"/>
    <col min="6915" max="6916" width="12.88671875" bestFit="1" customWidth="1"/>
    <col min="6921" max="6921" width="4.109375" bestFit="1" customWidth="1"/>
    <col min="6923" max="6923" width="188.6640625" bestFit="1" customWidth="1"/>
    <col min="7169" max="7169" width="38.88671875" bestFit="1" customWidth="1"/>
    <col min="7170" max="7170" width="26.44140625" bestFit="1" customWidth="1"/>
    <col min="7171" max="7172" width="12.88671875" bestFit="1" customWidth="1"/>
    <col min="7177" max="7177" width="4.109375" bestFit="1" customWidth="1"/>
    <col min="7179" max="7179" width="188.6640625" bestFit="1" customWidth="1"/>
    <col min="7425" max="7425" width="38.88671875" bestFit="1" customWidth="1"/>
    <col min="7426" max="7426" width="26.44140625" bestFit="1" customWidth="1"/>
    <col min="7427" max="7428" width="12.88671875" bestFit="1" customWidth="1"/>
    <col min="7433" max="7433" width="4.109375" bestFit="1" customWidth="1"/>
    <col min="7435" max="7435" width="188.6640625" bestFit="1" customWidth="1"/>
    <col min="7681" max="7681" width="38.88671875" bestFit="1" customWidth="1"/>
    <col min="7682" max="7682" width="26.44140625" bestFit="1" customWidth="1"/>
    <col min="7683" max="7684" width="12.88671875" bestFit="1" customWidth="1"/>
    <col min="7689" max="7689" width="4.109375" bestFit="1" customWidth="1"/>
    <col min="7691" max="7691" width="188.6640625" bestFit="1" customWidth="1"/>
    <col min="7937" max="7937" width="38.88671875" bestFit="1" customWidth="1"/>
    <col min="7938" max="7938" width="26.44140625" bestFit="1" customWidth="1"/>
    <col min="7939" max="7940" width="12.88671875" bestFit="1" customWidth="1"/>
    <col min="7945" max="7945" width="4.109375" bestFit="1" customWidth="1"/>
    <col min="7947" max="7947" width="188.6640625" bestFit="1" customWidth="1"/>
    <col min="8193" max="8193" width="38.88671875" bestFit="1" customWidth="1"/>
    <col min="8194" max="8194" width="26.44140625" bestFit="1" customWidth="1"/>
    <col min="8195" max="8196" width="12.88671875" bestFit="1" customWidth="1"/>
    <col min="8201" max="8201" width="4.109375" bestFit="1" customWidth="1"/>
    <col min="8203" max="8203" width="188.6640625" bestFit="1" customWidth="1"/>
    <col min="8449" max="8449" width="38.88671875" bestFit="1" customWidth="1"/>
    <col min="8450" max="8450" width="26.44140625" bestFit="1" customWidth="1"/>
    <col min="8451" max="8452" width="12.88671875" bestFit="1" customWidth="1"/>
    <col min="8457" max="8457" width="4.109375" bestFit="1" customWidth="1"/>
    <col min="8459" max="8459" width="188.6640625" bestFit="1" customWidth="1"/>
    <col min="8705" max="8705" width="38.88671875" bestFit="1" customWidth="1"/>
    <col min="8706" max="8706" width="26.44140625" bestFit="1" customWidth="1"/>
    <col min="8707" max="8708" width="12.88671875" bestFit="1" customWidth="1"/>
    <col min="8713" max="8713" width="4.109375" bestFit="1" customWidth="1"/>
    <col min="8715" max="8715" width="188.6640625" bestFit="1" customWidth="1"/>
    <col min="8961" max="8961" width="38.88671875" bestFit="1" customWidth="1"/>
    <col min="8962" max="8962" width="26.44140625" bestFit="1" customWidth="1"/>
    <col min="8963" max="8964" width="12.88671875" bestFit="1" customWidth="1"/>
    <col min="8969" max="8969" width="4.109375" bestFit="1" customWidth="1"/>
    <col min="8971" max="8971" width="188.6640625" bestFit="1" customWidth="1"/>
    <col min="9217" max="9217" width="38.88671875" bestFit="1" customWidth="1"/>
    <col min="9218" max="9218" width="26.44140625" bestFit="1" customWidth="1"/>
    <col min="9219" max="9220" width="12.88671875" bestFit="1" customWidth="1"/>
    <col min="9225" max="9225" width="4.109375" bestFit="1" customWidth="1"/>
    <col min="9227" max="9227" width="188.6640625" bestFit="1" customWidth="1"/>
    <col min="9473" max="9473" width="38.88671875" bestFit="1" customWidth="1"/>
    <col min="9474" max="9474" width="26.44140625" bestFit="1" customWidth="1"/>
    <col min="9475" max="9476" width="12.88671875" bestFit="1" customWidth="1"/>
    <col min="9481" max="9481" width="4.109375" bestFit="1" customWidth="1"/>
    <col min="9483" max="9483" width="188.6640625" bestFit="1" customWidth="1"/>
    <col min="9729" max="9729" width="38.88671875" bestFit="1" customWidth="1"/>
    <col min="9730" max="9730" width="26.44140625" bestFit="1" customWidth="1"/>
    <col min="9731" max="9732" width="12.88671875" bestFit="1" customWidth="1"/>
    <col min="9737" max="9737" width="4.109375" bestFit="1" customWidth="1"/>
    <col min="9739" max="9739" width="188.6640625" bestFit="1" customWidth="1"/>
    <col min="9985" max="9985" width="38.88671875" bestFit="1" customWidth="1"/>
    <col min="9986" max="9986" width="26.44140625" bestFit="1" customWidth="1"/>
    <col min="9987" max="9988" width="12.88671875" bestFit="1" customWidth="1"/>
    <col min="9993" max="9993" width="4.109375" bestFit="1" customWidth="1"/>
    <col min="9995" max="9995" width="188.6640625" bestFit="1" customWidth="1"/>
    <col min="10241" max="10241" width="38.88671875" bestFit="1" customWidth="1"/>
    <col min="10242" max="10242" width="26.44140625" bestFit="1" customWidth="1"/>
    <col min="10243" max="10244" width="12.88671875" bestFit="1" customWidth="1"/>
    <col min="10249" max="10249" width="4.109375" bestFit="1" customWidth="1"/>
    <col min="10251" max="10251" width="188.6640625" bestFit="1" customWidth="1"/>
    <col min="10497" max="10497" width="38.88671875" bestFit="1" customWidth="1"/>
    <col min="10498" max="10498" width="26.44140625" bestFit="1" customWidth="1"/>
    <col min="10499" max="10500" width="12.88671875" bestFit="1" customWidth="1"/>
    <col min="10505" max="10505" width="4.109375" bestFit="1" customWidth="1"/>
    <col min="10507" max="10507" width="188.6640625" bestFit="1" customWidth="1"/>
    <col min="10753" max="10753" width="38.88671875" bestFit="1" customWidth="1"/>
    <col min="10754" max="10754" width="26.44140625" bestFit="1" customWidth="1"/>
    <col min="10755" max="10756" width="12.88671875" bestFit="1" customWidth="1"/>
    <col min="10761" max="10761" width="4.109375" bestFit="1" customWidth="1"/>
    <col min="10763" max="10763" width="188.6640625" bestFit="1" customWidth="1"/>
    <col min="11009" max="11009" width="38.88671875" bestFit="1" customWidth="1"/>
    <col min="11010" max="11010" width="26.44140625" bestFit="1" customWidth="1"/>
    <col min="11011" max="11012" width="12.88671875" bestFit="1" customWidth="1"/>
    <col min="11017" max="11017" width="4.109375" bestFit="1" customWidth="1"/>
    <col min="11019" max="11019" width="188.6640625" bestFit="1" customWidth="1"/>
    <col min="11265" max="11265" width="38.88671875" bestFit="1" customWidth="1"/>
    <col min="11266" max="11266" width="26.44140625" bestFit="1" customWidth="1"/>
    <col min="11267" max="11268" width="12.88671875" bestFit="1" customWidth="1"/>
    <col min="11273" max="11273" width="4.109375" bestFit="1" customWidth="1"/>
    <col min="11275" max="11275" width="188.6640625" bestFit="1" customWidth="1"/>
    <col min="11521" max="11521" width="38.88671875" bestFit="1" customWidth="1"/>
    <col min="11522" max="11522" width="26.44140625" bestFit="1" customWidth="1"/>
    <col min="11523" max="11524" width="12.88671875" bestFit="1" customWidth="1"/>
    <col min="11529" max="11529" width="4.109375" bestFit="1" customWidth="1"/>
    <col min="11531" max="11531" width="188.6640625" bestFit="1" customWidth="1"/>
    <col min="11777" max="11777" width="38.88671875" bestFit="1" customWidth="1"/>
    <col min="11778" max="11778" width="26.44140625" bestFit="1" customWidth="1"/>
    <col min="11779" max="11780" width="12.88671875" bestFit="1" customWidth="1"/>
    <col min="11785" max="11785" width="4.109375" bestFit="1" customWidth="1"/>
    <col min="11787" max="11787" width="188.6640625" bestFit="1" customWidth="1"/>
    <col min="12033" max="12033" width="38.88671875" bestFit="1" customWidth="1"/>
    <col min="12034" max="12034" width="26.44140625" bestFit="1" customWidth="1"/>
    <col min="12035" max="12036" width="12.88671875" bestFit="1" customWidth="1"/>
    <col min="12041" max="12041" width="4.109375" bestFit="1" customWidth="1"/>
    <col min="12043" max="12043" width="188.6640625" bestFit="1" customWidth="1"/>
    <col min="12289" max="12289" width="38.88671875" bestFit="1" customWidth="1"/>
    <col min="12290" max="12290" width="26.44140625" bestFit="1" customWidth="1"/>
    <col min="12291" max="12292" width="12.88671875" bestFit="1" customWidth="1"/>
    <col min="12297" max="12297" width="4.109375" bestFit="1" customWidth="1"/>
    <col min="12299" max="12299" width="188.6640625" bestFit="1" customWidth="1"/>
    <col min="12545" max="12545" width="38.88671875" bestFit="1" customWidth="1"/>
    <col min="12546" max="12546" width="26.44140625" bestFit="1" customWidth="1"/>
    <col min="12547" max="12548" width="12.88671875" bestFit="1" customWidth="1"/>
    <col min="12553" max="12553" width="4.109375" bestFit="1" customWidth="1"/>
    <col min="12555" max="12555" width="188.6640625" bestFit="1" customWidth="1"/>
    <col min="12801" max="12801" width="38.88671875" bestFit="1" customWidth="1"/>
    <col min="12802" max="12802" width="26.44140625" bestFit="1" customWidth="1"/>
    <col min="12803" max="12804" width="12.88671875" bestFit="1" customWidth="1"/>
    <col min="12809" max="12809" width="4.109375" bestFit="1" customWidth="1"/>
    <col min="12811" max="12811" width="188.6640625" bestFit="1" customWidth="1"/>
    <col min="13057" max="13057" width="38.88671875" bestFit="1" customWidth="1"/>
    <col min="13058" max="13058" width="26.44140625" bestFit="1" customWidth="1"/>
    <col min="13059" max="13060" width="12.88671875" bestFit="1" customWidth="1"/>
    <col min="13065" max="13065" width="4.109375" bestFit="1" customWidth="1"/>
    <col min="13067" max="13067" width="188.6640625" bestFit="1" customWidth="1"/>
    <col min="13313" max="13313" width="38.88671875" bestFit="1" customWidth="1"/>
    <col min="13314" max="13314" width="26.44140625" bestFit="1" customWidth="1"/>
    <col min="13315" max="13316" width="12.88671875" bestFit="1" customWidth="1"/>
    <col min="13321" max="13321" width="4.109375" bestFit="1" customWidth="1"/>
    <col min="13323" max="13323" width="188.6640625" bestFit="1" customWidth="1"/>
    <col min="13569" max="13569" width="38.88671875" bestFit="1" customWidth="1"/>
    <col min="13570" max="13570" width="26.44140625" bestFit="1" customWidth="1"/>
    <col min="13571" max="13572" width="12.88671875" bestFit="1" customWidth="1"/>
    <col min="13577" max="13577" width="4.109375" bestFit="1" customWidth="1"/>
    <col min="13579" max="13579" width="188.6640625" bestFit="1" customWidth="1"/>
    <col min="13825" max="13825" width="38.88671875" bestFit="1" customWidth="1"/>
    <col min="13826" max="13826" width="26.44140625" bestFit="1" customWidth="1"/>
    <col min="13827" max="13828" width="12.88671875" bestFit="1" customWidth="1"/>
    <col min="13833" max="13833" width="4.109375" bestFit="1" customWidth="1"/>
    <col min="13835" max="13835" width="188.6640625" bestFit="1" customWidth="1"/>
    <col min="14081" max="14081" width="38.88671875" bestFit="1" customWidth="1"/>
    <col min="14082" max="14082" width="26.44140625" bestFit="1" customWidth="1"/>
    <col min="14083" max="14084" width="12.88671875" bestFit="1" customWidth="1"/>
    <col min="14089" max="14089" width="4.109375" bestFit="1" customWidth="1"/>
    <col min="14091" max="14091" width="188.6640625" bestFit="1" customWidth="1"/>
    <col min="14337" max="14337" width="38.88671875" bestFit="1" customWidth="1"/>
    <col min="14338" max="14338" width="26.44140625" bestFit="1" customWidth="1"/>
    <col min="14339" max="14340" width="12.88671875" bestFit="1" customWidth="1"/>
    <col min="14345" max="14345" width="4.109375" bestFit="1" customWidth="1"/>
    <col min="14347" max="14347" width="188.6640625" bestFit="1" customWidth="1"/>
    <col min="14593" max="14593" width="38.88671875" bestFit="1" customWidth="1"/>
    <col min="14594" max="14594" width="26.44140625" bestFit="1" customWidth="1"/>
    <col min="14595" max="14596" width="12.88671875" bestFit="1" customWidth="1"/>
    <col min="14601" max="14601" width="4.109375" bestFit="1" customWidth="1"/>
    <col min="14603" max="14603" width="188.6640625" bestFit="1" customWidth="1"/>
    <col min="14849" max="14849" width="38.88671875" bestFit="1" customWidth="1"/>
    <col min="14850" max="14850" width="26.44140625" bestFit="1" customWidth="1"/>
    <col min="14851" max="14852" width="12.88671875" bestFit="1" customWidth="1"/>
    <col min="14857" max="14857" width="4.109375" bestFit="1" customWidth="1"/>
    <col min="14859" max="14859" width="188.6640625" bestFit="1" customWidth="1"/>
    <col min="15105" max="15105" width="38.88671875" bestFit="1" customWidth="1"/>
    <col min="15106" max="15106" width="26.44140625" bestFit="1" customWidth="1"/>
    <col min="15107" max="15108" width="12.88671875" bestFit="1" customWidth="1"/>
    <col min="15113" max="15113" width="4.109375" bestFit="1" customWidth="1"/>
    <col min="15115" max="15115" width="188.6640625" bestFit="1" customWidth="1"/>
    <col min="15361" max="15361" width="38.88671875" bestFit="1" customWidth="1"/>
    <col min="15362" max="15362" width="26.44140625" bestFit="1" customWidth="1"/>
    <col min="15363" max="15364" width="12.88671875" bestFit="1" customWidth="1"/>
    <col min="15369" max="15369" width="4.109375" bestFit="1" customWidth="1"/>
    <col min="15371" max="15371" width="188.6640625" bestFit="1" customWidth="1"/>
    <col min="15617" max="15617" width="38.88671875" bestFit="1" customWidth="1"/>
    <col min="15618" max="15618" width="26.44140625" bestFit="1" customWidth="1"/>
    <col min="15619" max="15620" width="12.88671875" bestFit="1" customWidth="1"/>
    <col min="15625" max="15625" width="4.109375" bestFit="1" customWidth="1"/>
    <col min="15627" max="15627" width="188.6640625" bestFit="1" customWidth="1"/>
    <col min="15873" max="15873" width="38.88671875" bestFit="1" customWidth="1"/>
    <col min="15874" max="15874" width="26.44140625" bestFit="1" customWidth="1"/>
    <col min="15875" max="15876" width="12.88671875" bestFit="1" customWidth="1"/>
    <col min="15881" max="15881" width="4.109375" bestFit="1" customWidth="1"/>
    <col min="15883" max="15883" width="188.6640625" bestFit="1" customWidth="1"/>
    <col min="16129" max="16129" width="38.88671875" bestFit="1" customWidth="1"/>
    <col min="16130" max="16130" width="26.44140625" bestFit="1" customWidth="1"/>
    <col min="16131" max="16132" width="12.88671875" bestFit="1" customWidth="1"/>
    <col min="16137" max="16137" width="4.109375" bestFit="1" customWidth="1"/>
    <col min="16139" max="16139" width="188.6640625" bestFit="1" customWidth="1"/>
  </cols>
  <sheetData>
    <row r="1" spans="1:7" ht="28.8" x14ac:dyDescent="0.3">
      <c r="A1" s="23" t="s">
        <v>72</v>
      </c>
      <c r="B1" s="23" t="s">
        <v>52</v>
      </c>
      <c r="C1" s="23" t="s">
        <v>191</v>
      </c>
      <c r="D1" s="2" t="s">
        <v>153</v>
      </c>
    </row>
    <row r="2" spans="1:7" x14ac:dyDescent="0.3">
      <c r="A2" s="60">
        <v>2000</v>
      </c>
      <c r="B2" s="71">
        <v>98</v>
      </c>
      <c r="C2" s="3"/>
      <c r="D2" s="3"/>
    </row>
    <row r="3" spans="1:7" x14ac:dyDescent="0.3">
      <c r="A3" s="3">
        <v>2001</v>
      </c>
      <c r="B3" s="8">
        <v>122</v>
      </c>
      <c r="C3" s="8">
        <v>0.85</v>
      </c>
      <c r="D3" s="7"/>
    </row>
    <row r="4" spans="1:7" x14ac:dyDescent="0.3">
      <c r="A4" s="3">
        <v>2002</v>
      </c>
      <c r="B4" s="8">
        <v>115</v>
      </c>
      <c r="C4" s="8">
        <v>0.75</v>
      </c>
      <c r="D4" s="7"/>
    </row>
    <row r="5" spans="1:7" x14ac:dyDescent="0.3">
      <c r="A5" s="3">
        <v>2003</v>
      </c>
      <c r="B5" s="8">
        <v>120</v>
      </c>
      <c r="C5" s="8">
        <v>0.75</v>
      </c>
      <c r="D5" s="7"/>
    </row>
    <row r="6" spans="1:7" x14ac:dyDescent="0.3">
      <c r="A6" s="3">
        <v>2004</v>
      </c>
      <c r="B6" s="8">
        <v>149</v>
      </c>
      <c r="C6" s="8">
        <v>0.85</v>
      </c>
      <c r="D6" s="7"/>
    </row>
    <row r="7" spans="1:7" x14ac:dyDescent="0.3">
      <c r="A7" s="3">
        <v>2005</v>
      </c>
      <c r="B7" s="8">
        <v>175</v>
      </c>
      <c r="C7" s="8">
        <v>0.9</v>
      </c>
      <c r="D7" s="7"/>
    </row>
    <row r="8" spans="1:7" x14ac:dyDescent="0.3">
      <c r="A8" s="3">
        <v>2006</v>
      </c>
      <c r="B8" s="8">
        <v>178</v>
      </c>
      <c r="C8" s="8">
        <v>0.95</v>
      </c>
      <c r="D8" s="7"/>
    </row>
    <row r="9" spans="1:7" x14ac:dyDescent="0.3">
      <c r="A9" s="3">
        <v>2007</v>
      </c>
      <c r="B9" s="8">
        <v>200</v>
      </c>
      <c r="C9" s="8">
        <v>0.95</v>
      </c>
      <c r="D9" s="7"/>
    </row>
    <row r="10" spans="1:7" x14ac:dyDescent="0.3">
      <c r="A10" s="3">
        <v>2008</v>
      </c>
      <c r="B10" s="8">
        <v>189</v>
      </c>
      <c r="C10" s="8">
        <v>0.75</v>
      </c>
      <c r="D10" s="7"/>
    </row>
    <row r="12" spans="1:7" x14ac:dyDescent="0.3">
      <c r="B12" s="3" t="s">
        <v>11</v>
      </c>
      <c r="C12" s="7"/>
      <c r="F12" s="3" t="s">
        <v>155</v>
      </c>
      <c r="G12" s="57">
        <f>NPV(C13,C3,C4,C5,C6,C7,C8,C9,C10+B10)</f>
        <v>195.75</v>
      </c>
    </row>
    <row r="13" spans="1:7" x14ac:dyDescent="0.3">
      <c r="B13" s="3" t="s">
        <v>154</v>
      </c>
      <c r="C13" s="7"/>
    </row>
    <row r="15" spans="1:7" x14ac:dyDescent="0.3">
      <c r="B15" t="s">
        <v>156</v>
      </c>
    </row>
    <row r="16" spans="1:7" x14ac:dyDescent="0.3">
      <c r="B16" s="3" t="s">
        <v>0</v>
      </c>
      <c r="C16" s="3">
        <v>2015</v>
      </c>
    </row>
    <row r="17" spans="2:4" x14ac:dyDescent="0.3">
      <c r="B17" s="3" t="s">
        <v>192</v>
      </c>
      <c r="C17" s="57"/>
      <c r="D17" t="s">
        <v>158</v>
      </c>
    </row>
    <row r="18" spans="2:4" x14ac:dyDescent="0.3">
      <c r="B18" s="3" t="s">
        <v>192</v>
      </c>
      <c r="C18" s="57"/>
      <c r="D18" t="s">
        <v>157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I18"/>
  <sheetViews>
    <sheetView zoomScale="85" zoomScaleNormal="85" workbookViewId="0"/>
  </sheetViews>
  <sheetFormatPr defaultRowHeight="14.4" x14ac:dyDescent="0.3"/>
  <cols>
    <col min="1" max="1" width="5.5546875" bestFit="1" customWidth="1"/>
    <col min="2" max="2" width="14.77734375" bestFit="1" customWidth="1"/>
    <col min="3" max="3" width="13.109375" customWidth="1"/>
    <col min="4" max="4" width="14.5546875" customWidth="1"/>
    <col min="7" max="7" width="20.21875" customWidth="1"/>
    <col min="8" max="8" width="5.44140625" customWidth="1"/>
    <col min="9" max="9" width="13.109375" customWidth="1"/>
    <col min="11" max="11" width="188.6640625" bestFit="1" customWidth="1"/>
    <col min="257" max="257" width="38.88671875" bestFit="1" customWidth="1"/>
    <col min="258" max="258" width="26.44140625" bestFit="1" customWidth="1"/>
    <col min="259" max="260" width="12.88671875" bestFit="1" customWidth="1"/>
    <col min="265" max="265" width="4.109375" bestFit="1" customWidth="1"/>
    <col min="267" max="267" width="188.6640625" bestFit="1" customWidth="1"/>
    <col min="513" max="513" width="38.88671875" bestFit="1" customWidth="1"/>
    <col min="514" max="514" width="26.44140625" bestFit="1" customWidth="1"/>
    <col min="515" max="516" width="12.88671875" bestFit="1" customWidth="1"/>
    <col min="521" max="521" width="4.109375" bestFit="1" customWidth="1"/>
    <col min="523" max="523" width="188.6640625" bestFit="1" customWidth="1"/>
    <col min="769" max="769" width="38.88671875" bestFit="1" customWidth="1"/>
    <col min="770" max="770" width="26.44140625" bestFit="1" customWidth="1"/>
    <col min="771" max="772" width="12.88671875" bestFit="1" customWidth="1"/>
    <col min="777" max="777" width="4.109375" bestFit="1" customWidth="1"/>
    <col min="779" max="779" width="188.6640625" bestFit="1" customWidth="1"/>
    <col min="1025" max="1025" width="38.88671875" bestFit="1" customWidth="1"/>
    <col min="1026" max="1026" width="26.44140625" bestFit="1" customWidth="1"/>
    <col min="1027" max="1028" width="12.88671875" bestFit="1" customWidth="1"/>
    <col min="1033" max="1033" width="4.109375" bestFit="1" customWidth="1"/>
    <col min="1035" max="1035" width="188.6640625" bestFit="1" customWidth="1"/>
    <col min="1281" max="1281" width="38.88671875" bestFit="1" customWidth="1"/>
    <col min="1282" max="1282" width="26.44140625" bestFit="1" customWidth="1"/>
    <col min="1283" max="1284" width="12.88671875" bestFit="1" customWidth="1"/>
    <col min="1289" max="1289" width="4.109375" bestFit="1" customWidth="1"/>
    <col min="1291" max="1291" width="188.6640625" bestFit="1" customWidth="1"/>
    <col min="1537" max="1537" width="38.88671875" bestFit="1" customWidth="1"/>
    <col min="1538" max="1538" width="26.44140625" bestFit="1" customWidth="1"/>
    <col min="1539" max="1540" width="12.88671875" bestFit="1" customWidth="1"/>
    <col min="1545" max="1545" width="4.109375" bestFit="1" customWidth="1"/>
    <col min="1547" max="1547" width="188.6640625" bestFit="1" customWidth="1"/>
    <col min="1793" max="1793" width="38.88671875" bestFit="1" customWidth="1"/>
    <col min="1794" max="1794" width="26.44140625" bestFit="1" customWidth="1"/>
    <col min="1795" max="1796" width="12.88671875" bestFit="1" customWidth="1"/>
    <col min="1801" max="1801" width="4.109375" bestFit="1" customWidth="1"/>
    <col min="1803" max="1803" width="188.6640625" bestFit="1" customWidth="1"/>
    <col min="2049" max="2049" width="38.88671875" bestFit="1" customWidth="1"/>
    <col min="2050" max="2050" width="26.44140625" bestFit="1" customWidth="1"/>
    <col min="2051" max="2052" width="12.88671875" bestFit="1" customWidth="1"/>
    <col min="2057" max="2057" width="4.109375" bestFit="1" customWidth="1"/>
    <col min="2059" max="2059" width="188.6640625" bestFit="1" customWidth="1"/>
    <col min="2305" max="2305" width="38.88671875" bestFit="1" customWidth="1"/>
    <col min="2306" max="2306" width="26.44140625" bestFit="1" customWidth="1"/>
    <col min="2307" max="2308" width="12.88671875" bestFit="1" customWidth="1"/>
    <col min="2313" max="2313" width="4.109375" bestFit="1" customWidth="1"/>
    <col min="2315" max="2315" width="188.6640625" bestFit="1" customWidth="1"/>
    <col min="2561" max="2561" width="38.88671875" bestFit="1" customWidth="1"/>
    <col min="2562" max="2562" width="26.44140625" bestFit="1" customWidth="1"/>
    <col min="2563" max="2564" width="12.88671875" bestFit="1" customWidth="1"/>
    <col min="2569" max="2569" width="4.109375" bestFit="1" customWidth="1"/>
    <col min="2571" max="2571" width="188.6640625" bestFit="1" customWidth="1"/>
    <col min="2817" max="2817" width="38.88671875" bestFit="1" customWidth="1"/>
    <col min="2818" max="2818" width="26.44140625" bestFit="1" customWidth="1"/>
    <col min="2819" max="2820" width="12.88671875" bestFit="1" customWidth="1"/>
    <col min="2825" max="2825" width="4.109375" bestFit="1" customWidth="1"/>
    <col min="2827" max="2827" width="188.6640625" bestFit="1" customWidth="1"/>
    <col min="3073" max="3073" width="38.88671875" bestFit="1" customWidth="1"/>
    <col min="3074" max="3074" width="26.44140625" bestFit="1" customWidth="1"/>
    <col min="3075" max="3076" width="12.88671875" bestFit="1" customWidth="1"/>
    <col min="3081" max="3081" width="4.109375" bestFit="1" customWidth="1"/>
    <col min="3083" max="3083" width="188.6640625" bestFit="1" customWidth="1"/>
    <col min="3329" max="3329" width="38.88671875" bestFit="1" customWidth="1"/>
    <col min="3330" max="3330" width="26.44140625" bestFit="1" customWidth="1"/>
    <col min="3331" max="3332" width="12.88671875" bestFit="1" customWidth="1"/>
    <col min="3337" max="3337" width="4.109375" bestFit="1" customWidth="1"/>
    <col min="3339" max="3339" width="188.6640625" bestFit="1" customWidth="1"/>
    <col min="3585" max="3585" width="38.88671875" bestFit="1" customWidth="1"/>
    <col min="3586" max="3586" width="26.44140625" bestFit="1" customWidth="1"/>
    <col min="3587" max="3588" width="12.88671875" bestFit="1" customWidth="1"/>
    <col min="3593" max="3593" width="4.109375" bestFit="1" customWidth="1"/>
    <col min="3595" max="3595" width="188.6640625" bestFit="1" customWidth="1"/>
    <col min="3841" max="3841" width="38.88671875" bestFit="1" customWidth="1"/>
    <col min="3842" max="3842" width="26.44140625" bestFit="1" customWidth="1"/>
    <col min="3843" max="3844" width="12.88671875" bestFit="1" customWidth="1"/>
    <col min="3849" max="3849" width="4.109375" bestFit="1" customWidth="1"/>
    <col min="3851" max="3851" width="188.6640625" bestFit="1" customWidth="1"/>
    <col min="4097" max="4097" width="38.88671875" bestFit="1" customWidth="1"/>
    <col min="4098" max="4098" width="26.44140625" bestFit="1" customWidth="1"/>
    <col min="4099" max="4100" width="12.88671875" bestFit="1" customWidth="1"/>
    <col min="4105" max="4105" width="4.109375" bestFit="1" customWidth="1"/>
    <col min="4107" max="4107" width="188.6640625" bestFit="1" customWidth="1"/>
    <col min="4353" max="4353" width="38.88671875" bestFit="1" customWidth="1"/>
    <col min="4354" max="4354" width="26.44140625" bestFit="1" customWidth="1"/>
    <col min="4355" max="4356" width="12.88671875" bestFit="1" customWidth="1"/>
    <col min="4361" max="4361" width="4.109375" bestFit="1" customWidth="1"/>
    <col min="4363" max="4363" width="188.6640625" bestFit="1" customWidth="1"/>
    <col min="4609" max="4609" width="38.88671875" bestFit="1" customWidth="1"/>
    <col min="4610" max="4610" width="26.44140625" bestFit="1" customWidth="1"/>
    <col min="4611" max="4612" width="12.88671875" bestFit="1" customWidth="1"/>
    <col min="4617" max="4617" width="4.109375" bestFit="1" customWidth="1"/>
    <col min="4619" max="4619" width="188.6640625" bestFit="1" customWidth="1"/>
    <col min="4865" max="4865" width="38.88671875" bestFit="1" customWidth="1"/>
    <col min="4866" max="4866" width="26.44140625" bestFit="1" customWidth="1"/>
    <col min="4867" max="4868" width="12.88671875" bestFit="1" customWidth="1"/>
    <col min="4873" max="4873" width="4.109375" bestFit="1" customWidth="1"/>
    <col min="4875" max="4875" width="188.6640625" bestFit="1" customWidth="1"/>
    <col min="5121" max="5121" width="38.88671875" bestFit="1" customWidth="1"/>
    <col min="5122" max="5122" width="26.44140625" bestFit="1" customWidth="1"/>
    <col min="5123" max="5124" width="12.88671875" bestFit="1" customWidth="1"/>
    <col min="5129" max="5129" width="4.109375" bestFit="1" customWidth="1"/>
    <col min="5131" max="5131" width="188.6640625" bestFit="1" customWidth="1"/>
    <col min="5377" max="5377" width="38.88671875" bestFit="1" customWidth="1"/>
    <col min="5378" max="5378" width="26.44140625" bestFit="1" customWidth="1"/>
    <col min="5379" max="5380" width="12.88671875" bestFit="1" customWidth="1"/>
    <col min="5385" max="5385" width="4.109375" bestFit="1" customWidth="1"/>
    <col min="5387" max="5387" width="188.6640625" bestFit="1" customWidth="1"/>
    <col min="5633" max="5633" width="38.88671875" bestFit="1" customWidth="1"/>
    <col min="5634" max="5634" width="26.44140625" bestFit="1" customWidth="1"/>
    <col min="5635" max="5636" width="12.88671875" bestFit="1" customWidth="1"/>
    <col min="5641" max="5641" width="4.109375" bestFit="1" customWidth="1"/>
    <col min="5643" max="5643" width="188.6640625" bestFit="1" customWidth="1"/>
    <col min="5889" max="5889" width="38.88671875" bestFit="1" customWidth="1"/>
    <col min="5890" max="5890" width="26.44140625" bestFit="1" customWidth="1"/>
    <col min="5891" max="5892" width="12.88671875" bestFit="1" customWidth="1"/>
    <col min="5897" max="5897" width="4.109375" bestFit="1" customWidth="1"/>
    <col min="5899" max="5899" width="188.6640625" bestFit="1" customWidth="1"/>
    <col min="6145" max="6145" width="38.88671875" bestFit="1" customWidth="1"/>
    <col min="6146" max="6146" width="26.44140625" bestFit="1" customWidth="1"/>
    <col min="6147" max="6148" width="12.88671875" bestFit="1" customWidth="1"/>
    <col min="6153" max="6153" width="4.109375" bestFit="1" customWidth="1"/>
    <col min="6155" max="6155" width="188.6640625" bestFit="1" customWidth="1"/>
    <col min="6401" max="6401" width="38.88671875" bestFit="1" customWidth="1"/>
    <col min="6402" max="6402" width="26.44140625" bestFit="1" customWidth="1"/>
    <col min="6403" max="6404" width="12.88671875" bestFit="1" customWidth="1"/>
    <col min="6409" max="6409" width="4.109375" bestFit="1" customWidth="1"/>
    <col min="6411" max="6411" width="188.6640625" bestFit="1" customWidth="1"/>
    <col min="6657" max="6657" width="38.88671875" bestFit="1" customWidth="1"/>
    <col min="6658" max="6658" width="26.44140625" bestFit="1" customWidth="1"/>
    <col min="6659" max="6660" width="12.88671875" bestFit="1" customWidth="1"/>
    <col min="6665" max="6665" width="4.109375" bestFit="1" customWidth="1"/>
    <col min="6667" max="6667" width="188.6640625" bestFit="1" customWidth="1"/>
    <col min="6913" max="6913" width="38.88671875" bestFit="1" customWidth="1"/>
    <col min="6914" max="6914" width="26.44140625" bestFit="1" customWidth="1"/>
    <col min="6915" max="6916" width="12.88671875" bestFit="1" customWidth="1"/>
    <col min="6921" max="6921" width="4.109375" bestFit="1" customWidth="1"/>
    <col min="6923" max="6923" width="188.6640625" bestFit="1" customWidth="1"/>
    <col min="7169" max="7169" width="38.88671875" bestFit="1" customWidth="1"/>
    <col min="7170" max="7170" width="26.44140625" bestFit="1" customWidth="1"/>
    <col min="7171" max="7172" width="12.88671875" bestFit="1" customWidth="1"/>
    <col min="7177" max="7177" width="4.109375" bestFit="1" customWidth="1"/>
    <col min="7179" max="7179" width="188.6640625" bestFit="1" customWidth="1"/>
    <col min="7425" max="7425" width="38.88671875" bestFit="1" customWidth="1"/>
    <col min="7426" max="7426" width="26.44140625" bestFit="1" customWidth="1"/>
    <col min="7427" max="7428" width="12.88671875" bestFit="1" customWidth="1"/>
    <col min="7433" max="7433" width="4.109375" bestFit="1" customWidth="1"/>
    <col min="7435" max="7435" width="188.6640625" bestFit="1" customWidth="1"/>
    <col min="7681" max="7681" width="38.88671875" bestFit="1" customWidth="1"/>
    <col min="7682" max="7682" width="26.44140625" bestFit="1" customWidth="1"/>
    <col min="7683" max="7684" width="12.88671875" bestFit="1" customWidth="1"/>
    <col min="7689" max="7689" width="4.109375" bestFit="1" customWidth="1"/>
    <col min="7691" max="7691" width="188.6640625" bestFit="1" customWidth="1"/>
    <col min="7937" max="7937" width="38.88671875" bestFit="1" customWidth="1"/>
    <col min="7938" max="7938" width="26.44140625" bestFit="1" customWidth="1"/>
    <col min="7939" max="7940" width="12.88671875" bestFit="1" customWidth="1"/>
    <col min="7945" max="7945" width="4.109375" bestFit="1" customWidth="1"/>
    <col min="7947" max="7947" width="188.6640625" bestFit="1" customWidth="1"/>
    <col min="8193" max="8193" width="38.88671875" bestFit="1" customWidth="1"/>
    <col min="8194" max="8194" width="26.44140625" bestFit="1" customWidth="1"/>
    <col min="8195" max="8196" width="12.88671875" bestFit="1" customWidth="1"/>
    <col min="8201" max="8201" width="4.109375" bestFit="1" customWidth="1"/>
    <col min="8203" max="8203" width="188.6640625" bestFit="1" customWidth="1"/>
    <col min="8449" max="8449" width="38.88671875" bestFit="1" customWidth="1"/>
    <col min="8450" max="8450" width="26.44140625" bestFit="1" customWidth="1"/>
    <col min="8451" max="8452" width="12.88671875" bestFit="1" customWidth="1"/>
    <col min="8457" max="8457" width="4.109375" bestFit="1" customWidth="1"/>
    <col min="8459" max="8459" width="188.6640625" bestFit="1" customWidth="1"/>
    <col min="8705" max="8705" width="38.88671875" bestFit="1" customWidth="1"/>
    <col min="8706" max="8706" width="26.44140625" bestFit="1" customWidth="1"/>
    <col min="8707" max="8708" width="12.88671875" bestFit="1" customWidth="1"/>
    <col min="8713" max="8713" width="4.109375" bestFit="1" customWidth="1"/>
    <col min="8715" max="8715" width="188.6640625" bestFit="1" customWidth="1"/>
    <col min="8961" max="8961" width="38.88671875" bestFit="1" customWidth="1"/>
    <col min="8962" max="8962" width="26.44140625" bestFit="1" customWidth="1"/>
    <col min="8963" max="8964" width="12.88671875" bestFit="1" customWidth="1"/>
    <col min="8969" max="8969" width="4.109375" bestFit="1" customWidth="1"/>
    <col min="8971" max="8971" width="188.6640625" bestFit="1" customWidth="1"/>
    <col min="9217" max="9217" width="38.88671875" bestFit="1" customWidth="1"/>
    <col min="9218" max="9218" width="26.44140625" bestFit="1" customWidth="1"/>
    <col min="9219" max="9220" width="12.88671875" bestFit="1" customWidth="1"/>
    <col min="9225" max="9225" width="4.109375" bestFit="1" customWidth="1"/>
    <col min="9227" max="9227" width="188.6640625" bestFit="1" customWidth="1"/>
    <col min="9473" max="9473" width="38.88671875" bestFit="1" customWidth="1"/>
    <col min="9474" max="9474" width="26.44140625" bestFit="1" customWidth="1"/>
    <col min="9475" max="9476" width="12.88671875" bestFit="1" customWidth="1"/>
    <col min="9481" max="9481" width="4.109375" bestFit="1" customWidth="1"/>
    <col min="9483" max="9483" width="188.6640625" bestFit="1" customWidth="1"/>
    <col min="9729" max="9729" width="38.88671875" bestFit="1" customWidth="1"/>
    <col min="9730" max="9730" width="26.44140625" bestFit="1" customWidth="1"/>
    <col min="9731" max="9732" width="12.88671875" bestFit="1" customWidth="1"/>
    <col min="9737" max="9737" width="4.109375" bestFit="1" customWidth="1"/>
    <col min="9739" max="9739" width="188.6640625" bestFit="1" customWidth="1"/>
    <col min="9985" max="9985" width="38.88671875" bestFit="1" customWidth="1"/>
    <col min="9986" max="9986" width="26.44140625" bestFit="1" customWidth="1"/>
    <col min="9987" max="9988" width="12.88671875" bestFit="1" customWidth="1"/>
    <col min="9993" max="9993" width="4.109375" bestFit="1" customWidth="1"/>
    <col min="9995" max="9995" width="188.6640625" bestFit="1" customWidth="1"/>
    <col min="10241" max="10241" width="38.88671875" bestFit="1" customWidth="1"/>
    <col min="10242" max="10242" width="26.44140625" bestFit="1" customWidth="1"/>
    <col min="10243" max="10244" width="12.88671875" bestFit="1" customWidth="1"/>
    <col min="10249" max="10249" width="4.109375" bestFit="1" customWidth="1"/>
    <col min="10251" max="10251" width="188.6640625" bestFit="1" customWidth="1"/>
    <col min="10497" max="10497" width="38.88671875" bestFit="1" customWidth="1"/>
    <col min="10498" max="10498" width="26.44140625" bestFit="1" customWidth="1"/>
    <col min="10499" max="10500" width="12.88671875" bestFit="1" customWidth="1"/>
    <col min="10505" max="10505" width="4.109375" bestFit="1" customWidth="1"/>
    <col min="10507" max="10507" width="188.6640625" bestFit="1" customWidth="1"/>
    <col min="10753" max="10753" width="38.88671875" bestFit="1" customWidth="1"/>
    <col min="10754" max="10754" width="26.44140625" bestFit="1" customWidth="1"/>
    <col min="10755" max="10756" width="12.88671875" bestFit="1" customWidth="1"/>
    <col min="10761" max="10761" width="4.109375" bestFit="1" customWidth="1"/>
    <col min="10763" max="10763" width="188.6640625" bestFit="1" customWidth="1"/>
    <col min="11009" max="11009" width="38.88671875" bestFit="1" customWidth="1"/>
    <col min="11010" max="11010" width="26.44140625" bestFit="1" customWidth="1"/>
    <col min="11011" max="11012" width="12.88671875" bestFit="1" customWidth="1"/>
    <col min="11017" max="11017" width="4.109375" bestFit="1" customWidth="1"/>
    <col min="11019" max="11019" width="188.6640625" bestFit="1" customWidth="1"/>
    <col min="11265" max="11265" width="38.88671875" bestFit="1" customWidth="1"/>
    <col min="11266" max="11266" width="26.44140625" bestFit="1" customWidth="1"/>
    <col min="11267" max="11268" width="12.88671875" bestFit="1" customWidth="1"/>
    <col min="11273" max="11273" width="4.109375" bestFit="1" customWidth="1"/>
    <col min="11275" max="11275" width="188.6640625" bestFit="1" customWidth="1"/>
    <col min="11521" max="11521" width="38.88671875" bestFit="1" customWidth="1"/>
    <col min="11522" max="11522" width="26.44140625" bestFit="1" customWidth="1"/>
    <col min="11523" max="11524" width="12.88671875" bestFit="1" customWidth="1"/>
    <col min="11529" max="11529" width="4.109375" bestFit="1" customWidth="1"/>
    <col min="11531" max="11531" width="188.6640625" bestFit="1" customWidth="1"/>
    <col min="11777" max="11777" width="38.88671875" bestFit="1" customWidth="1"/>
    <col min="11778" max="11778" width="26.44140625" bestFit="1" customWidth="1"/>
    <col min="11779" max="11780" width="12.88671875" bestFit="1" customWidth="1"/>
    <col min="11785" max="11785" width="4.109375" bestFit="1" customWidth="1"/>
    <col min="11787" max="11787" width="188.6640625" bestFit="1" customWidth="1"/>
    <col min="12033" max="12033" width="38.88671875" bestFit="1" customWidth="1"/>
    <col min="12034" max="12034" width="26.44140625" bestFit="1" customWidth="1"/>
    <col min="12035" max="12036" width="12.88671875" bestFit="1" customWidth="1"/>
    <col min="12041" max="12041" width="4.109375" bestFit="1" customWidth="1"/>
    <col min="12043" max="12043" width="188.6640625" bestFit="1" customWidth="1"/>
    <col min="12289" max="12289" width="38.88671875" bestFit="1" customWidth="1"/>
    <col min="12290" max="12290" width="26.44140625" bestFit="1" customWidth="1"/>
    <col min="12291" max="12292" width="12.88671875" bestFit="1" customWidth="1"/>
    <col min="12297" max="12297" width="4.109375" bestFit="1" customWidth="1"/>
    <col min="12299" max="12299" width="188.6640625" bestFit="1" customWidth="1"/>
    <col min="12545" max="12545" width="38.88671875" bestFit="1" customWidth="1"/>
    <col min="12546" max="12546" width="26.44140625" bestFit="1" customWidth="1"/>
    <col min="12547" max="12548" width="12.88671875" bestFit="1" customWidth="1"/>
    <col min="12553" max="12553" width="4.109375" bestFit="1" customWidth="1"/>
    <col min="12555" max="12555" width="188.6640625" bestFit="1" customWidth="1"/>
    <col min="12801" max="12801" width="38.88671875" bestFit="1" customWidth="1"/>
    <col min="12802" max="12802" width="26.44140625" bestFit="1" customWidth="1"/>
    <col min="12803" max="12804" width="12.88671875" bestFit="1" customWidth="1"/>
    <col min="12809" max="12809" width="4.109375" bestFit="1" customWidth="1"/>
    <col min="12811" max="12811" width="188.6640625" bestFit="1" customWidth="1"/>
    <col min="13057" max="13057" width="38.88671875" bestFit="1" customWidth="1"/>
    <col min="13058" max="13058" width="26.44140625" bestFit="1" customWidth="1"/>
    <col min="13059" max="13060" width="12.88671875" bestFit="1" customWidth="1"/>
    <col min="13065" max="13065" width="4.109375" bestFit="1" customWidth="1"/>
    <col min="13067" max="13067" width="188.6640625" bestFit="1" customWidth="1"/>
    <col min="13313" max="13313" width="38.88671875" bestFit="1" customWidth="1"/>
    <col min="13314" max="13314" width="26.44140625" bestFit="1" customWidth="1"/>
    <col min="13315" max="13316" width="12.88671875" bestFit="1" customWidth="1"/>
    <col min="13321" max="13321" width="4.109375" bestFit="1" customWidth="1"/>
    <col min="13323" max="13323" width="188.6640625" bestFit="1" customWidth="1"/>
    <col min="13569" max="13569" width="38.88671875" bestFit="1" customWidth="1"/>
    <col min="13570" max="13570" width="26.44140625" bestFit="1" customWidth="1"/>
    <col min="13571" max="13572" width="12.88671875" bestFit="1" customWidth="1"/>
    <col min="13577" max="13577" width="4.109375" bestFit="1" customWidth="1"/>
    <col min="13579" max="13579" width="188.6640625" bestFit="1" customWidth="1"/>
    <col min="13825" max="13825" width="38.88671875" bestFit="1" customWidth="1"/>
    <col min="13826" max="13826" width="26.44140625" bestFit="1" customWidth="1"/>
    <col min="13827" max="13828" width="12.88671875" bestFit="1" customWidth="1"/>
    <col min="13833" max="13833" width="4.109375" bestFit="1" customWidth="1"/>
    <col min="13835" max="13835" width="188.6640625" bestFit="1" customWidth="1"/>
    <col min="14081" max="14081" width="38.88671875" bestFit="1" customWidth="1"/>
    <col min="14082" max="14082" width="26.44140625" bestFit="1" customWidth="1"/>
    <col min="14083" max="14084" width="12.88671875" bestFit="1" customWidth="1"/>
    <col min="14089" max="14089" width="4.109375" bestFit="1" customWidth="1"/>
    <col min="14091" max="14091" width="188.6640625" bestFit="1" customWidth="1"/>
    <col min="14337" max="14337" width="38.88671875" bestFit="1" customWidth="1"/>
    <col min="14338" max="14338" width="26.44140625" bestFit="1" customWidth="1"/>
    <col min="14339" max="14340" width="12.88671875" bestFit="1" customWidth="1"/>
    <col min="14345" max="14345" width="4.109375" bestFit="1" customWidth="1"/>
    <col min="14347" max="14347" width="188.6640625" bestFit="1" customWidth="1"/>
    <col min="14593" max="14593" width="38.88671875" bestFit="1" customWidth="1"/>
    <col min="14594" max="14594" width="26.44140625" bestFit="1" customWidth="1"/>
    <col min="14595" max="14596" width="12.88671875" bestFit="1" customWidth="1"/>
    <col min="14601" max="14601" width="4.109375" bestFit="1" customWidth="1"/>
    <col min="14603" max="14603" width="188.6640625" bestFit="1" customWidth="1"/>
    <col min="14849" max="14849" width="38.88671875" bestFit="1" customWidth="1"/>
    <col min="14850" max="14850" width="26.44140625" bestFit="1" customWidth="1"/>
    <col min="14851" max="14852" width="12.88671875" bestFit="1" customWidth="1"/>
    <col min="14857" max="14857" width="4.109375" bestFit="1" customWidth="1"/>
    <col min="14859" max="14859" width="188.6640625" bestFit="1" customWidth="1"/>
    <col min="15105" max="15105" width="38.88671875" bestFit="1" customWidth="1"/>
    <col min="15106" max="15106" width="26.44140625" bestFit="1" customWidth="1"/>
    <col min="15107" max="15108" width="12.88671875" bestFit="1" customWidth="1"/>
    <col min="15113" max="15113" width="4.109375" bestFit="1" customWidth="1"/>
    <col min="15115" max="15115" width="188.6640625" bestFit="1" customWidth="1"/>
    <col min="15361" max="15361" width="38.88671875" bestFit="1" customWidth="1"/>
    <col min="15362" max="15362" width="26.44140625" bestFit="1" customWidth="1"/>
    <col min="15363" max="15364" width="12.88671875" bestFit="1" customWidth="1"/>
    <col min="15369" max="15369" width="4.109375" bestFit="1" customWidth="1"/>
    <col min="15371" max="15371" width="188.6640625" bestFit="1" customWidth="1"/>
    <col min="15617" max="15617" width="38.88671875" bestFit="1" customWidth="1"/>
    <col min="15618" max="15618" width="26.44140625" bestFit="1" customWidth="1"/>
    <col min="15619" max="15620" width="12.88671875" bestFit="1" customWidth="1"/>
    <col min="15625" max="15625" width="4.109375" bestFit="1" customWidth="1"/>
    <col min="15627" max="15627" width="188.6640625" bestFit="1" customWidth="1"/>
    <col min="15873" max="15873" width="38.88671875" bestFit="1" customWidth="1"/>
    <col min="15874" max="15874" width="26.44140625" bestFit="1" customWidth="1"/>
    <col min="15875" max="15876" width="12.88671875" bestFit="1" customWidth="1"/>
    <col min="15881" max="15881" width="4.109375" bestFit="1" customWidth="1"/>
    <col min="15883" max="15883" width="188.6640625" bestFit="1" customWidth="1"/>
    <col min="16129" max="16129" width="38.88671875" bestFit="1" customWidth="1"/>
    <col min="16130" max="16130" width="26.44140625" bestFit="1" customWidth="1"/>
    <col min="16131" max="16132" width="12.88671875" bestFit="1" customWidth="1"/>
    <col min="16137" max="16137" width="4.109375" bestFit="1" customWidth="1"/>
    <col min="16139" max="16139" width="188.6640625" bestFit="1" customWidth="1"/>
  </cols>
  <sheetData>
    <row r="1" spans="1:9" ht="28.8" x14ac:dyDescent="0.3">
      <c r="A1" s="23" t="s">
        <v>72</v>
      </c>
      <c r="B1" s="23" t="s">
        <v>52</v>
      </c>
      <c r="C1" s="23" t="s">
        <v>191</v>
      </c>
      <c r="D1" s="2" t="s">
        <v>153</v>
      </c>
      <c r="G1" s="2" t="s">
        <v>201</v>
      </c>
    </row>
    <row r="2" spans="1:9" x14ac:dyDescent="0.3">
      <c r="A2" s="60">
        <v>2000</v>
      </c>
      <c r="B2" s="71">
        <v>98</v>
      </c>
      <c r="C2" s="3"/>
      <c r="D2" s="3"/>
      <c r="G2" s="3"/>
    </row>
    <row r="3" spans="1:9" x14ac:dyDescent="0.3">
      <c r="A3" s="3">
        <v>2001</v>
      </c>
      <c r="B3" s="8">
        <v>122</v>
      </c>
      <c r="C3" s="8">
        <v>0.85</v>
      </c>
      <c r="D3" s="7">
        <f>SUM(B3:C3)/B2-1</f>
        <v>0.25357142857142856</v>
      </c>
      <c r="G3" s="7" cm="1">
        <f t="array" ref="G3:G10">(B3:B10+C3:C10)/B2:B9-1</f>
        <v>0.25357142857142856</v>
      </c>
      <c r="H3" s="83" t="s">
        <v>202</v>
      </c>
      <c r="I3" s="7" cm="1">
        <f t="array" ref="I3:I10">(B3:B10-B2:B9+C3:C10)/B2:B9</f>
        <v>0.25357142857142856</v>
      </c>
    </row>
    <row r="4" spans="1:9" x14ac:dyDescent="0.3">
      <c r="A4" s="3">
        <v>2002</v>
      </c>
      <c r="B4" s="8">
        <v>115</v>
      </c>
      <c r="C4" s="8">
        <v>0.75</v>
      </c>
      <c r="D4" s="7">
        <f t="shared" ref="D4:D10" si="0">SUM(B4:C4)/B3-1</f>
        <v>-5.1229508196721341E-2</v>
      </c>
      <c r="G4" s="7">
        <v>-5.1229508196721341E-2</v>
      </c>
      <c r="I4" s="7">
        <v>-5.1229508196721313E-2</v>
      </c>
    </row>
    <row r="5" spans="1:9" x14ac:dyDescent="0.3">
      <c r="A5" s="3">
        <v>2003</v>
      </c>
      <c r="B5" s="8">
        <v>120</v>
      </c>
      <c r="C5" s="8">
        <v>0.75</v>
      </c>
      <c r="D5" s="7">
        <f t="shared" si="0"/>
        <v>5.0000000000000044E-2</v>
      </c>
      <c r="G5" s="7">
        <v>5.0000000000000044E-2</v>
      </c>
      <c r="I5" s="7">
        <v>0.05</v>
      </c>
    </row>
    <row r="6" spans="1:9" x14ac:dyDescent="0.3">
      <c r="A6" s="3">
        <v>2004</v>
      </c>
      <c r="B6" s="8">
        <v>149</v>
      </c>
      <c r="C6" s="8">
        <v>0.85</v>
      </c>
      <c r="D6" s="7">
        <f t="shared" si="0"/>
        <v>0.24875000000000003</v>
      </c>
      <c r="G6" s="7">
        <v>0.24875000000000003</v>
      </c>
      <c r="I6" s="7">
        <v>0.24875</v>
      </c>
    </row>
    <row r="7" spans="1:9" x14ac:dyDescent="0.3">
      <c r="A7" s="3">
        <v>2005</v>
      </c>
      <c r="B7" s="8">
        <v>175</v>
      </c>
      <c r="C7" s="8">
        <v>0.9</v>
      </c>
      <c r="D7" s="7">
        <f t="shared" si="0"/>
        <v>0.18053691275167782</v>
      </c>
      <c r="G7" s="7">
        <v>0.18053691275167782</v>
      </c>
      <c r="I7" s="7">
        <v>0.18053691275167785</v>
      </c>
    </row>
    <row r="8" spans="1:9" x14ac:dyDescent="0.3">
      <c r="A8" s="3">
        <v>2006</v>
      </c>
      <c r="B8" s="8">
        <v>178</v>
      </c>
      <c r="C8" s="8">
        <v>0.95</v>
      </c>
      <c r="D8" s="7">
        <f t="shared" si="0"/>
        <v>2.2571428571428465E-2</v>
      </c>
      <c r="G8" s="7">
        <v>2.2571428571428465E-2</v>
      </c>
      <c r="I8" s="7">
        <v>2.2571428571428572E-2</v>
      </c>
    </row>
    <row r="9" spans="1:9" x14ac:dyDescent="0.3">
      <c r="A9" s="3">
        <v>2007</v>
      </c>
      <c r="B9" s="8">
        <v>200</v>
      </c>
      <c r="C9" s="8">
        <v>0.95</v>
      </c>
      <c r="D9" s="7">
        <f t="shared" si="0"/>
        <v>0.12893258426966292</v>
      </c>
      <c r="G9" s="7">
        <v>0.12893258426966292</v>
      </c>
      <c r="I9" s="7">
        <v>0.12893258426966292</v>
      </c>
    </row>
    <row r="10" spans="1:9" x14ac:dyDescent="0.3">
      <c r="A10" s="3">
        <v>2008</v>
      </c>
      <c r="B10" s="8">
        <v>189</v>
      </c>
      <c r="C10" s="8">
        <v>0.75</v>
      </c>
      <c r="D10" s="7">
        <f t="shared" si="0"/>
        <v>-5.1250000000000018E-2</v>
      </c>
      <c r="G10" s="7">
        <v>-5.1250000000000018E-2</v>
      </c>
      <c r="I10" s="7">
        <v>-5.1249999999999997E-2</v>
      </c>
    </row>
    <row r="12" spans="1:9" x14ac:dyDescent="0.3">
      <c r="B12" s="3" t="s">
        <v>11</v>
      </c>
      <c r="C12" s="7">
        <f>AVERAGE(D3:D10)</f>
        <v>9.773535574593456E-2</v>
      </c>
      <c r="F12" s="3" t="s">
        <v>155</v>
      </c>
      <c r="G12" s="57">
        <f>NPV(C13,C3,C4,C5,C6,C7,C8,C9,C10+B10)</f>
        <v>98.344788570570756</v>
      </c>
    </row>
    <row r="13" spans="1:9" x14ac:dyDescent="0.3">
      <c r="B13" s="3" t="s">
        <v>154</v>
      </c>
      <c r="C13" s="7">
        <f>SUMPRODUCT(GEOMEAN(D3:D10+1))-1</f>
        <v>9.1618807649634926E-2</v>
      </c>
    </row>
    <row r="15" spans="1:9" x14ac:dyDescent="0.3">
      <c r="B15" t="s">
        <v>156</v>
      </c>
    </row>
    <row r="16" spans="1:9" x14ac:dyDescent="0.3">
      <c r="B16" s="3" t="s">
        <v>0</v>
      </c>
      <c r="C16" s="3">
        <v>2015</v>
      </c>
    </row>
    <row r="17" spans="2:4" x14ac:dyDescent="0.3">
      <c r="B17" s="3" t="s">
        <v>192</v>
      </c>
      <c r="C17" s="57">
        <f>B10*(1+C12)^(C16-A10)</f>
        <v>363.03238528221425</v>
      </c>
      <c r="D17" t="s">
        <v>158</v>
      </c>
    </row>
    <row r="18" spans="2:4" x14ac:dyDescent="0.3">
      <c r="B18" s="3" t="s">
        <v>192</v>
      </c>
      <c r="C18" s="57">
        <f>B10*(1+C13)^(C16-A10)</f>
        <v>349.10725259595262</v>
      </c>
      <c r="D18" t="s">
        <v>157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I21"/>
  <sheetViews>
    <sheetView zoomScale="85" zoomScaleNormal="85" workbookViewId="0"/>
  </sheetViews>
  <sheetFormatPr defaultRowHeight="14.4" x14ac:dyDescent="0.3"/>
  <cols>
    <col min="1" max="5" width="14.44140625" customWidth="1"/>
    <col min="7" max="7" width="11" customWidth="1"/>
    <col min="11" max="11" width="4.77734375" customWidth="1"/>
  </cols>
  <sheetData>
    <row r="1" spans="1:9" ht="36" x14ac:dyDescent="0.35">
      <c r="A1" s="73" t="s">
        <v>161</v>
      </c>
      <c r="B1" s="73"/>
      <c r="C1" s="73"/>
      <c r="D1" s="73"/>
      <c r="E1" s="73"/>
      <c r="F1" s="73"/>
      <c r="G1" s="73"/>
      <c r="H1" s="73"/>
      <c r="I1" s="73"/>
    </row>
    <row r="3" spans="1:9" x14ac:dyDescent="0.3">
      <c r="A3" s="3" t="s">
        <v>34</v>
      </c>
      <c r="B3" s="35">
        <f>AVERAGE(B5:B19)</f>
        <v>4.1333333333333347E-2</v>
      </c>
      <c r="C3" s="35">
        <f>AVERAGE(C5:C19)</f>
        <v>4.1200000000000007E-2</v>
      </c>
    </row>
    <row r="4" spans="1:9" x14ac:dyDescent="0.3">
      <c r="A4" s="23" t="s">
        <v>0</v>
      </c>
      <c r="B4" s="23" t="s">
        <v>159</v>
      </c>
      <c r="C4" s="23" t="s">
        <v>160</v>
      </c>
    </row>
    <row r="5" spans="1:9" x14ac:dyDescent="0.3">
      <c r="A5" s="3">
        <v>1995</v>
      </c>
      <c r="B5" s="36">
        <v>0.05</v>
      </c>
      <c r="C5" s="36">
        <v>0.02</v>
      </c>
    </row>
    <row r="6" spans="1:9" x14ac:dyDescent="0.3">
      <c r="A6" s="3">
        <v>1996</v>
      </c>
      <c r="B6" s="36">
        <v>0.1</v>
      </c>
      <c r="C6" s="36">
        <v>0.04</v>
      </c>
    </row>
    <row r="7" spans="1:9" x14ac:dyDescent="0.3">
      <c r="A7" s="3">
        <v>1997</v>
      </c>
      <c r="B7" s="36">
        <v>0.12</v>
      </c>
      <c r="C7" s="36">
        <v>3.5000000000000003E-2</v>
      </c>
    </row>
    <row r="8" spans="1:9" x14ac:dyDescent="0.3">
      <c r="A8" s="3">
        <v>1998</v>
      </c>
      <c r="B8" s="36">
        <v>0.17</v>
      </c>
      <c r="C8" s="36">
        <v>5.5E-2</v>
      </c>
    </row>
    <row r="9" spans="1:9" x14ac:dyDescent="0.3">
      <c r="A9" s="3">
        <v>1999</v>
      </c>
      <c r="B9" s="36">
        <v>0.19</v>
      </c>
      <c r="C9" s="36">
        <v>0.04</v>
      </c>
    </row>
    <row r="10" spans="1:9" x14ac:dyDescent="0.3">
      <c r="A10" s="3">
        <v>2000</v>
      </c>
      <c r="B10" s="36">
        <v>0.01</v>
      </c>
      <c r="C10" s="36">
        <v>4.2000000000000003E-2</v>
      </c>
    </row>
    <row r="11" spans="1:9" x14ac:dyDescent="0.3">
      <c r="A11" s="3">
        <v>2001</v>
      </c>
      <c r="B11" s="36">
        <v>-0.15</v>
      </c>
      <c r="C11" s="36">
        <v>4.2999999999999997E-2</v>
      </c>
    </row>
    <row r="12" spans="1:9" x14ac:dyDescent="0.3">
      <c r="A12" s="3">
        <v>2002</v>
      </c>
      <c r="B12" s="36">
        <v>-0.03</v>
      </c>
      <c r="C12" s="36">
        <v>4.7E-2</v>
      </c>
    </row>
    <row r="13" spans="1:9" x14ac:dyDescent="0.3">
      <c r="A13" s="3">
        <v>2003</v>
      </c>
      <c r="B13" s="36">
        <v>0.03</v>
      </c>
      <c r="C13" s="36">
        <v>0.05</v>
      </c>
    </row>
    <row r="14" spans="1:9" x14ac:dyDescent="0.3">
      <c r="A14" s="3">
        <v>2004</v>
      </c>
      <c r="B14" s="36">
        <v>5.5E-2</v>
      </c>
      <c r="C14" s="36">
        <v>5.0999999999999997E-2</v>
      </c>
    </row>
    <row r="15" spans="1:9" x14ac:dyDescent="0.3">
      <c r="A15" s="3">
        <v>2005</v>
      </c>
      <c r="B15" s="36">
        <v>0.1</v>
      </c>
      <c r="C15" s="36">
        <v>0.03</v>
      </c>
    </row>
    <row r="16" spans="1:9" x14ac:dyDescent="0.3">
      <c r="A16" s="3">
        <v>2006</v>
      </c>
      <c r="B16" s="36">
        <v>6.5000000000000002E-2</v>
      </c>
      <c r="C16" s="36">
        <v>2.9000000000000001E-2</v>
      </c>
    </row>
    <row r="17" spans="1:4" x14ac:dyDescent="0.3">
      <c r="A17" s="3">
        <v>2007</v>
      </c>
      <c r="B17" s="36">
        <v>-0.02</v>
      </c>
      <c r="C17" s="36">
        <v>4.5999999999999999E-2</v>
      </c>
    </row>
    <row r="18" spans="1:4" x14ac:dyDescent="0.3">
      <c r="A18" s="3">
        <v>2008</v>
      </c>
      <c r="B18" s="36">
        <v>-0.22</v>
      </c>
      <c r="C18" s="36">
        <v>4.9000000000000002E-2</v>
      </c>
    </row>
    <row r="19" spans="1:4" x14ac:dyDescent="0.3">
      <c r="A19" s="3">
        <v>2009</v>
      </c>
      <c r="B19" s="36">
        <v>0.15</v>
      </c>
      <c r="C19" s="36">
        <v>4.1000000000000002E-2</v>
      </c>
    </row>
    <row r="20" spans="1:4" x14ac:dyDescent="0.3">
      <c r="B20" s="37" t="s">
        <v>40</v>
      </c>
      <c r="D20" t="s">
        <v>193</v>
      </c>
    </row>
    <row r="21" spans="1:4" x14ac:dyDescent="0.3">
      <c r="D21" s="78" t="s">
        <v>194</v>
      </c>
    </row>
  </sheetData>
  <hyperlinks>
    <hyperlink ref="D21" r:id="rId1" xr:uid="{00000000-0004-0000-1100-000000000000}"/>
  </hyperlinks>
  <pageMargins left="0.7" right="0.7" top="0.75" bottom="0.75" header="0.3" footer="0.3"/>
  <pageSetup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A1:I24"/>
  <sheetViews>
    <sheetView zoomScale="70" zoomScaleNormal="70" workbookViewId="0"/>
  </sheetViews>
  <sheetFormatPr defaultRowHeight="14.4" x14ac:dyDescent="0.3"/>
  <cols>
    <col min="1" max="5" width="14.44140625" customWidth="1"/>
    <col min="7" max="7" width="11" customWidth="1"/>
  </cols>
  <sheetData>
    <row r="1" spans="1:9" ht="36" x14ac:dyDescent="0.35">
      <c r="A1" s="73" t="s">
        <v>161</v>
      </c>
      <c r="B1" s="73"/>
      <c r="C1" s="73"/>
      <c r="D1" s="73"/>
      <c r="E1" s="73"/>
      <c r="F1" s="73"/>
      <c r="G1" s="73"/>
      <c r="H1" s="73"/>
      <c r="I1" s="73"/>
    </row>
    <row r="2" spans="1:9" x14ac:dyDescent="0.3">
      <c r="A2" s="3" t="s">
        <v>41</v>
      </c>
      <c r="B2" s="7"/>
      <c r="E2" s="7"/>
    </row>
    <row r="3" spans="1:9" x14ac:dyDescent="0.3">
      <c r="A3" s="3" t="s">
        <v>34</v>
      </c>
      <c r="B3" s="35"/>
      <c r="E3" s="35"/>
    </row>
    <row r="4" spans="1:9" x14ac:dyDescent="0.3">
      <c r="A4" s="23" t="s">
        <v>0</v>
      </c>
      <c r="B4" s="23" t="s">
        <v>159</v>
      </c>
      <c r="C4" s="23" t="s">
        <v>162</v>
      </c>
      <c r="D4" s="23" t="s">
        <v>163</v>
      </c>
      <c r="E4" s="23" t="s">
        <v>160</v>
      </c>
      <c r="F4" s="23" t="s">
        <v>162</v>
      </c>
      <c r="G4" s="23" t="s">
        <v>163</v>
      </c>
    </row>
    <row r="5" spans="1:9" x14ac:dyDescent="0.3">
      <c r="A5" s="3">
        <v>1995</v>
      </c>
      <c r="B5" s="36">
        <v>0.05</v>
      </c>
      <c r="C5" s="14"/>
      <c r="D5" s="72"/>
      <c r="E5" s="36">
        <v>0.02</v>
      </c>
      <c r="F5" s="14"/>
      <c r="G5" s="72"/>
    </row>
    <row r="6" spans="1:9" x14ac:dyDescent="0.3">
      <c r="A6" s="3">
        <v>1996</v>
      </c>
      <c r="B6" s="36">
        <v>0.1</v>
      </c>
      <c r="C6" s="14"/>
      <c r="D6" s="72"/>
      <c r="E6" s="36">
        <v>0.04</v>
      </c>
      <c r="F6" s="14"/>
      <c r="G6" s="72"/>
    </row>
    <row r="7" spans="1:9" x14ac:dyDescent="0.3">
      <c r="A7" s="3">
        <v>1997</v>
      </c>
      <c r="B7" s="36">
        <v>0.12</v>
      </c>
      <c r="C7" s="14"/>
      <c r="D7" s="72"/>
      <c r="E7" s="36">
        <v>3.5000000000000003E-2</v>
      </c>
      <c r="F7" s="14"/>
      <c r="G7" s="72"/>
    </row>
    <row r="8" spans="1:9" x14ac:dyDescent="0.3">
      <c r="A8" s="3">
        <v>1998</v>
      </c>
      <c r="B8" s="36">
        <v>0.17</v>
      </c>
      <c r="C8" s="14"/>
      <c r="D8" s="72"/>
      <c r="E8" s="36">
        <v>5.5E-2</v>
      </c>
      <c r="F8" s="14"/>
      <c r="G8" s="72"/>
    </row>
    <row r="9" spans="1:9" x14ac:dyDescent="0.3">
      <c r="A9" s="3">
        <v>1999</v>
      </c>
      <c r="B9" s="36">
        <v>0.19</v>
      </c>
      <c r="C9" s="14"/>
      <c r="D9" s="72"/>
      <c r="E9" s="36">
        <v>0.04</v>
      </c>
      <c r="F9" s="14"/>
      <c r="G9" s="72"/>
    </row>
    <row r="10" spans="1:9" x14ac:dyDescent="0.3">
      <c r="A10" s="3">
        <v>2000</v>
      </c>
      <c r="B10" s="36">
        <v>0.01</v>
      </c>
      <c r="C10" s="14"/>
      <c r="D10" s="72"/>
      <c r="E10" s="36">
        <v>4.2000000000000003E-2</v>
      </c>
      <c r="F10" s="14"/>
      <c r="G10" s="72"/>
    </row>
    <row r="11" spans="1:9" x14ac:dyDescent="0.3">
      <c r="A11" s="3">
        <v>2001</v>
      </c>
      <c r="B11" s="36">
        <v>-0.15</v>
      </c>
      <c r="C11" s="14"/>
      <c r="D11" s="72"/>
      <c r="E11" s="36">
        <v>4.2999999999999997E-2</v>
      </c>
      <c r="F11" s="14"/>
      <c r="G11" s="72"/>
    </row>
    <row r="12" spans="1:9" x14ac:dyDescent="0.3">
      <c r="A12" s="3">
        <v>2002</v>
      </c>
      <c r="B12" s="36">
        <v>-0.03</v>
      </c>
      <c r="C12" s="14"/>
      <c r="D12" s="72"/>
      <c r="E12" s="36">
        <v>4.7E-2</v>
      </c>
      <c r="F12" s="14"/>
      <c r="G12" s="72"/>
    </row>
    <row r="13" spans="1:9" x14ac:dyDescent="0.3">
      <c r="A13" s="3">
        <v>2003</v>
      </c>
      <c r="B13" s="36">
        <v>0.03</v>
      </c>
      <c r="C13" s="14"/>
      <c r="D13" s="72"/>
      <c r="E13" s="36">
        <v>0.05</v>
      </c>
      <c r="F13" s="14"/>
      <c r="G13" s="72"/>
    </row>
    <row r="14" spans="1:9" x14ac:dyDescent="0.3">
      <c r="A14" s="3">
        <v>2004</v>
      </c>
      <c r="B14" s="36">
        <v>5.5E-2</v>
      </c>
      <c r="C14" s="14"/>
      <c r="D14" s="72"/>
      <c r="E14" s="36">
        <v>5.0999999999999997E-2</v>
      </c>
      <c r="F14" s="14"/>
      <c r="G14" s="72"/>
    </row>
    <row r="15" spans="1:9" x14ac:dyDescent="0.3">
      <c r="A15" s="3">
        <v>2005</v>
      </c>
      <c r="B15" s="36">
        <v>0.1</v>
      </c>
      <c r="C15" s="14"/>
      <c r="D15" s="72"/>
      <c r="E15" s="36">
        <v>0.03</v>
      </c>
      <c r="F15" s="14"/>
      <c r="G15" s="72"/>
    </row>
    <row r="16" spans="1:9" x14ac:dyDescent="0.3">
      <c r="A16" s="3">
        <v>2006</v>
      </c>
      <c r="B16" s="36">
        <v>6.5000000000000002E-2</v>
      </c>
      <c r="C16" s="14"/>
      <c r="D16" s="72"/>
      <c r="E16" s="36">
        <v>2.9000000000000001E-2</v>
      </c>
      <c r="F16" s="14"/>
      <c r="G16" s="72"/>
    </row>
    <row r="17" spans="1:8" x14ac:dyDescent="0.3">
      <c r="A17" s="3">
        <v>2007</v>
      </c>
      <c r="B17" s="36">
        <v>-0.02</v>
      </c>
      <c r="C17" s="14"/>
      <c r="D17" s="72"/>
      <c r="E17" s="36">
        <v>4.5999999999999999E-2</v>
      </c>
      <c r="F17" s="14"/>
      <c r="G17" s="72"/>
    </row>
    <row r="18" spans="1:8" x14ac:dyDescent="0.3">
      <c r="A18" s="3">
        <v>2008</v>
      </c>
      <c r="B18" s="36">
        <v>-0.22</v>
      </c>
      <c r="C18" s="14"/>
      <c r="D18" s="72"/>
      <c r="E18" s="36">
        <v>4.9000000000000002E-2</v>
      </c>
      <c r="F18" s="14"/>
      <c r="G18" s="72"/>
    </row>
    <row r="19" spans="1:8" x14ac:dyDescent="0.3">
      <c r="A19" s="3">
        <v>2009</v>
      </c>
      <c r="B19" s="36">
        <v>0.15</v>
      </c>
      <c r="C19" s="14"/>
      <c r="D19" s="72"/>
      <c r="E19" s="36">
        <v>4.1000000000000002E-2</v>
      </c>
      <c r="F19" s="14"/>
      <c r="G19" s="72"/>
    </row>
    <row r="20" spans="1:8" x14ac:dyDescent="0.3">
      <c r="B20" s="37" t="s">
        <v>40</v>
      </c>
      <c r="C20" s="79"/>
      <c r="D20" s="72"/>
      <c r="F20" s="14"/>
      <c r="G20" s="72"/>
    </row>
    <row r="22" spans="1:8" x14ac:dyDescent="0.3">
      <c r="D22" s="7"/>
      <c r="G22" s="7"/>
      <c r="H22" t="s">
        <v>165</v>
      </c>
    </row>
    <row r="23" spans="1:8" x14ac:dyDescent="0.3">
      <c r="A23" t="s">
        <v>164</v>
      </c>
      <c r="D23" s="7"/>
      <c r="G23" s="7"/>
      <c r="H23" t="s">
        <v>166</v>
      </c>
    </row>
    <row r="24" spans="1:8" x14ac:dyDescent="0.3">
      <c r="D24" s="7"/>
      <c r="G24" s="7">
        <f>STDEV(E5:E19)</f>
        <v>9.4506235621933891E-3</v>
      </c>
      <c r="H24" t="s">
        <v>167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O44"/>
  <sheetViews>
    <sheetView zoomScale="60" zoomScaleNormal="60" workbookViewId="0"/>
  </sheetViews>
  <sheetFormatPr defaultRowHeight="14.4" x14ac:dyDescent="0.3"/>
  <cols>
    <col min="1" max="5" width="14.44140625" customWidth="1"/>
    <col min="7" max="7" width="11" customWidth="1"/>
    <col min="12" max="12" width="18.21875" bestFit="1" customWidth="1"/>
    <col min="13" max="13" width="12.88671875" bestFit="1" customWidth="1"/>
    <col min="14" max="14" width="6" bestFit="1" customWidth="1"/>
    <col min="15" max="15" width="12.88671875" bestFit="1" customWidth="1"/>
  </cols>
  <sheetData>
    <row r="1" spans="1:15" ht="36" x14ac:dyDescent="0.35">
      <c r="A1" s="73" t="s">
        <v>161</v>
      </c>
      <c r="B1" s="73"/>
      <c r="C1" s="73"/>
      <c r="D1" s="73"/>
      <c r="E1" s="73"/>
      <c r="F1" s="73"/>
      <c r="G1" s="73"/>
      <c r="H1" s="73"/>
      <c r="I1" s="73"/>
      <c r="L1" s="23" t="str">
        <f>"Mean "&amp;M4</f>
        <v>Mean Stock Return A</v>
      </c>
      <c r="M1" s="7">
        <f>AVERAGE(L5:L19)</f>
        <v>4.1333333333333347E-2</v>
      </c>
      <c r="N1" s="7">
        <f>M5-0.01</f>
        <v>0.99</v>
      </c>
    </row>
    <row r="2" spans="1:15" x14ac:dyDescent="0.3">
      <c r="A2" s="3" t="s">
        <v>41</v>
      </c>
      <c r="B2" s="7">
        <f>COUNT(B5:B19)</f>
        <v>15</v>
      </c>
      <c r="E2" s="7">
        <f>COUNT(E5:E19)</f>
        <v>15</v>
      </c>
      <c r="L2" s="23" t="str">
        <f>"Mean "&amp;O4</f>
        <v>Mean Stock Return B</v>
      </c>
      <c r="M2" s="7">
        <f>AVERAGE(N5:N19)</f>
        <v>4.1200000000000007E-2</v>
      </c>
      <c r="N2" s="7">
        <f>O5-0.01</f>
        <v>0.97</v>
      </c>
    </row>
    <row r="3" spans="1:15" x14ac:dyDescent="0.3">
      <c r="A3" s="3" t="s">
        <v>34</v>
      </c>
      <c r="B3" s="35">
        <f>AVERAGE(B5:B19)</f>
        <v>4.1333333333333347E-2</v>
      </c>
      <c r="E3" s="35">
        <f>AVERAGE(E5:E19)</f>
        <v>4.1200000000000007E-2</v>
      </c>
    </row>
    <row r="4" spans="1:15" x14ac:dyDescent="0.3">
      <c r="A4" s="23" t="s">
        <v>0</v>
      </c>
      <c r="B4" s="23" t="s">
        <v>159</v>
      </c>
      <c r="C4" s="23" t="s">
        <v>162</v>
      </c>
      <c r="D4" s="23" t="s">
        <v>163</v>
      </c>
      <c r="E4" s="23" t="s">
        <v>160</v>
      </c>
      <c r="F4" s="23" t="s">
        <v>162</v>
      </c>
      <c r="G4" s="23" t="s">
        <v>163</v>
      </c>
      <c r="L4" s="23" t="s">
        <v>168</v>
      </c>
      <c r="M4" s="23" t="str">
        <f>B4</f>
        <v>Stock Return A</v>
      </c>
      <c r="N4" s="23" t="s">
        <v>169</v>
      </c>
      <c r="O4" s="23" t="str">
        <f>E4</f>
        <v>Stock Return B</v>
      </c>
    </row>
    <row r="5" spans="1:15" x14ac:dyDescent="0.3">
      <c r="A5" s="3">
        <v>1995</v>
      </c>
      <c r="B5" s="36">
        <v>0.05</v>
      </c>
      <c r="C5" s="14">
        <f>B5-$B$3</f>
        <v>8.6666666666666559E-3</v>
      </c>
      <c r="D5" s="72">
        <f>C5^2</f>
        <v>7.5111111111110919E-5</v>
      </c>
      <c r="E5" s="36">
        <v>0.02</v>
      </c>
      <c r="F5" s="14">
        <f>E5-$E$3</f>
        <v>-2.1200000000000007E-2</v>
      </c>
      <c r="G5" s="72">
        <f>F5^2</f>
        <v>4.4944000000000028E-4</v>
      </c>
      <c r="L5" s="3">
        <f t="shared" ref="L5:L19" si="0">B5</f>
        <v>0.05</v>
      </c>
      <c r="M5" s="3">
        <v>1</v>
      </c>
      <c r="N5" s="3">
        <f t="shared" ref="N5:N19" si="1">E5</f>
        <v>0.02</v>
      </c>
      <c r="O5" s="3">
        <v>0.98</v>
      </c>
    </row>
    <row r="6" spans="1:15" x14ac:dyDescent="0.3">
      <c r="A6" s="3">
        <v>1996</v>
      </c>
      <c r="B6" s="36">
        <v>0.1</v>
      </c>
      <c r="C6" s="14">
        <f t="shared" ref="C6:C19" si="2">B6-$B$3</f>
        <v>5.8666666666666659E-2</v>
      </c>
      <c r="D6" s="72">
        <f t="shared" ref="D6:D19" si="3">C6^2</f>
        <v>3.4417777777777767E-3</v>
      </c>
      <c r="E6" s="36">
        <v>0.04</v>
      </c>
      <c r="F6" s="14">
        <f t="shared" ref="F6:F19" si="4">E6-$E$3</f>
        <v>-1.2000000000000066E-3</v>
      </c>
      <c r="G6" s="72">
        <f t="shared" ref="G6:G19" si="5">F6^2</f>
        <v>1.4400000000000159E-6</v>
      </c>
      <c r="L6" s="3">
        <f t="shared" si="0"/>
        <v>0.1</v>
      </c>
      <c r="M6" s="3">
        <v>1</v>
      </c>
      <c r="N6" s="3">
        <f t="shared" si="1"/>
        <v>0.04</v>
      </c>
      <c r="O6" s="3">
        <v>0.98</v>
      </c>
    </row>
    <row r="7" spans="1:15" x14ac:dyDescent="0.3">
      <c r="A7" s="3">
        <v>1997</v>
      </c>
      <c r="B7" s="36">
        <v>0.12</v>
      </c>
      <c r="C7" s="14">
        <f t="shared" si="2"/>
        <v>7.8666666666666649E-2</v>
      </c>
      <c r="D7" s="72">
        <f t="shared" si="3"/>
        <v>6.1884444444444417E-3</v>
      </c>
      <c r="E7" s="36">
        <v>3.5000000000000003E-2</v>
      </c>
      <c r="F7" s="14">
        <f t="shared" si="4"/>
        <v>-6.2000000000000041E-3</v>
      </c>
      <c r="G7" s="72">
        <f t="shared" si="5"/>
        <v>3.8440000000000052E-5</v>
      </c>
      <c r="L7" s="3">
        <f t="shared" si="0"/>
        <v>0.12</v>
      </c>
      <c r="M7" s="3">
        <v>1</v>
      </c>
      <c r="N7" s="3">
        <f t="shared" si="1"/>
        <v>3.5000000000000003E-2</v>
      </c>
      <c r="O7" s="3">
        <v>0.98</v>
      </c>
    </row>
    <row r="8" spans="1:15" x14ac:dyDescent="0.3">
      <c r="A8" s="3">
        <v>1998</v>
      </c>
      <c r="B8" s="36">
        <v>0.17</v>
      </c>
      <c r="C8" s="14">
        <f t="shared" si="2"/>
        <v>0.12866666666666665</v>
      </c>
      <c r="D8" s="72">
        <f t="shared" si="3"/>
        <v>1.6555111111111107E-2</v>
      </c>
      <c r="E8" s="36">
        <v>5.5E-2</v>
      </c>
      <c r="F8" s="14">
        <f t="shared" si="4"/>
        <v>1.3799999999999993E-2</v>
      </c>
      <c r="G8" s="72">
        <f t="shared" si="5"/>
        <v>1.9043999999999981E-4</v>
      </c>
      <c r="L8" s="3">
        <f t="shared" si="0"/>
        <v>0.17</v>
      </c>
      <c r="M8" s="3">
        <v>1</v>
      </c>
      <c r="N8" s="3">
        <f t="shared" si="1"/>
        <v>5.5E-2</v>
      </c>
      <c r="O8" s="3">
        <v>0.98</v>
      </c>
    </row>
    <row r="9" spans="1:15" x14ac:dyDescent="0.3">
      <c r="A9" s="3">
        <v>1999</v>
      </c>
      <c r="B9" s="36">
        <v>0.19</v>
      </c>
      <c r="C9" s="14">
        <f t="shared" si="2"/>
        <v>0.14866666666666667</v>
      </c>
      <c r="D9" s="72">
        <f t="shared" si="3"/>
        <v>2.2101777777777779E-2</v>
      </c>
      <c r="E9" s="36">
        <v>0.04</v>
      </c>
      <c r="F9" s="14">
        <f t="shared" si="4"/>
        <v>-1.2000000000000066E-3</v>
      </c>
      <c r="G9" s="72">
        <f t="shared" si="5"/>
        <v>1.4400000000000159E-6</v>
      </c>
      <c r="L9" s="3">
        <f t="shared" si="0"/>
        <v>0.19</v>
      </c>
      <c r="M9" s="3">
        <v>1</v>
      </c>
      <c r="N9" s="3">
        <f t="shared" si="1"/>
        <v>0.04</v>
      </c>
      <c r="O9" s="3">
        <v>0.98</v>
      </c>
    </row>
    <row r="10" spans="1:15" x14ac:dyDescent="0.3">
      <c r="A10" s="3">
        <v>2000</v>
      </c>
      <c r="B10" s="36">
        <v>0.01</v>
      </c>
      <c r="C10" s="14">
        <f t="shared" si="2"/>
        <v>-3.1333333333333345E-2</v>
      </c>
      <c r="D10" s="72">
        <f t="shared" si="3"/>
        <v>9.8177777777777846E-4</v>
      </c>
      <c r="E10" s="36">
        <v>4.2000000000000003E-2</v>
      </c>
      <c r="F10" s="14">
        <f t="shared" si="4"/>
        <v>7.9999999999999516E-4</v>
      </c>
      <c r="G10" s="72">
        <f t="shared" si="5"/>
        <v>6.3999999999999228E-7</v>
      </c>
      <c r="L10" s="3">
        <f t="shared" si="0"/>
        <v>0.01</v>
      </c>
      <c r="M10" s="3">
        <v>1</v>
      </c>
      <c r="N10" s="3">
        <f t="shared" si="1"/>
        <v>4.2000000000000003E-2</v>
      </c>
      <c r="O10" s="3">
        <v>0.98</v>
      </c>
    </row>
    <row r="11" spans="1:15" x14ac:dyDescent="0.3">
      <c r="A11" s="3">
        <v>2001</v>
      </c>
      <c r="B11" s="36">
        <v>-0.15</v>
      </c>
      <c r="C11" s="14">
        <f t="shared" si="2"/>
        <v>-0.19133333333333336</v>
      </c>
      <c r="D11" s="72">
        <f t="shared" si="3"/>
        <v>3.660844444444445E-2</v>
      </c>
      <c r="E11" s="36">
        <v>4.2999999999999997E-2</v>
      </c>
      <c r="F11" s="14">
        <f t="shared" si="4"/>
        <v>1.7999999999999891E-3</v>
      </c>
      <c r="G11" s="72">
        <f t="shared" si="5"/>
        <v>3.2399999999999609E-6</v>
      </c>
      <c r="L11" s="3">
        <f t="shared" si="0"/>
        <v>-0.15</v>
      </c>
      <c r="M11" s="3">
        <v>1</v>
      </c>
      <c r="N11" s="3">
        <f t="shared" si="1"/>
        <v>4.2999999999999997E-2</v>
      </c>
      <c r="O11" s="3">
        <v>0.98</v>
      </c>
    </row>
    <row r="12" spans="1:15" x14ac:dyDescent="0.3">
      <c r="A12" s="3">
        <v>2002</v>
      </c>
      <c r="B12" s="36">
        <v>-0.03</v>
      </c>
      <c r="C12" s="14">
        <f t="shared" si="2"/>
        <v>-7.1333333333333346E-2</v>
      </c>
      <c r="D12" s="72">
        <f t="shared" si="3"/>
        <v>5.0884444444444467E-3</v>
      </c>
      <c r="E12" s="36">
        <v>4.7E-2</v>
      </c>
      <c r="F12" s="14">
        <f t="shared" si="4"/>
        <v>5.7999999999999927E-3</v>
      </c>
      <c r="G12" s="72">
        <f t="shared" si="5"/>
        <v>3.3639999999999915E-5</v>
      </c>
      <c r="L12" s="3">
        <f t="shared" si="0"/>
        <v>-0.03</v>
      </c>
      <c r="M12" s="3">
        <v>1</v>
      </c>
      <c r="N12" s="3">
        <f t="shared" si="1"/>
        <v>4.7E-2</v>
      </c>
      <c r="O12" s="3">
        <v>0.98</v>
      </c>
    </row>
    <row r="13" spans="1:15" x14ac:dyDescent="0.3">
      <c r="A13" s="3">
        <v>2003</v>
      </c>
      <c r="B13" s="36">
        <v>0.03</v>
      </c>
      <c r="C13" s="14">
        <f t="shared" si="2"/>
        <v>-1.1333333333333348E-2</v>
      </c>
      <c r="D13" s="72">
        <f t="shared" si="3"/>
        <v>1.2844444444444478E-4</v>
      </c>
      <c r="E13" s="36">
        <v>0.05</v>
      </c>
      <c r="F13" s="14">
        <f t="shared" si="4"/>
        <v>8.7999999999999953E-3</v>
      </c>
      <c r="G13" s="72">
        <f t="shared" si="5"/>
        <v>7.7439999999999923E-5</v>
      </c>
      <c r="L13" s="3">
        <f t="shared" si="0"/>
        <v>0.03</v>
      </c>
      <c r="M13" s="3">
        <v>1</v>
      </c>
      <c r="N13" s="3">
        <f t="shared" si="1"/>
        <v>0.05</v>
      </c>
      <c r="O13" s="3">
        <v>0.98</v>
      </c>
    </row>
    <row r="14" spans="1:15" x14ac:dyDescent="0.3">
      <c r="A14" s="3">
        <v>2004</v>
      </c>
      <c r="B14" s="36">
        <v>5.5E-2</v>
      </c>
      <c r="C14" s="14">
        <f t="shared" si="2"/>
        <v>1.3666666666666653E-2</v>
      </c>
      <c r="D14" s="72">
        <f t="shared" si="3"/>
        <v>1.8677777777777741E-4</v>
      </c>
      <c r="E14" s="36">
        <v>5.0999999999999997E-2</v>
      </c>
      <c r="F14" s="14">
        <f t="shared" si="4"/>
        <v>9.7999999999999893E-3</v>
      </c>
      <c r="G14" s="72">
        <f t="shared" si="5"/>
        <v>9.6039999999999792E-5</v>
      </c>
      <c r="L14" s="3">
        <f t="shared" si="0"/>
        <v>5.5E-2</v>
      </c>
      <c r="M14" s="3">
        <v>1</v>
      </c>
      <c r="N14" s="3">
        <f t="shared" si="1"/>
        <v>5.0999999999999997E-2</v>
      </c>
      <c r="O14" s="3">
        <v>0.98</v>
      </c>
    </row>
    <row r="15" spans="1:15" x14ac:dyDescent="0.3">
      <c r="A15" s="3">
        <v>2005</v>
      </c>
      <c r="B15" s="36">
        <v>0.1</v>
      </c>
      <c r="C15" s="14">
        <f t="shared" si="2"/>
        <v>5.8666666666666659E-2</v>
      </c>
      <c r="D15" s="72">
        <f t="shared" si="3"/>
        <v>3.4417777777777767E-3</v>
      </c>
      <c r="E15" s="36">
        <v>0.03</v>
      </c>
      <c r="F15" s="14">
        <f t="shared" si="4"/>
        <v>-1.1200000000000009E-2</v>
      </c>
      <c r="G15" s="72">
        <f t="shared" si="5"/>
        <v>1.2544000000000018E-4</v>
      </c>
      <c r="L15" s="3">
        <f t="shared" si="0"/>
        <v>0.1</v>
      </c>
      <c r="M15" s="3">
        <v>1</v>
      </c>
      <c r="N15" s="3">
        <f t="shared" si="1"/>
        <v>0.03</v>
      </c>
      <c r="O15" s="3">
        <v>0.98</v>
      </c>
    </row>
    <row r="16" spans="1:15" x14ac:dyDescent="0.3">
      <c r="A16" s="3">
        <v>2006</v>
      </c>
      <c r="B16" s="36">
        <v>6.5000000000000002E-2</v>
      </c>
      <c r="C16" s="14">
        <f t="shared" si="2"/>
        <v>2.3666666666666655E-2</v>
      </c>
      <c r="D16" s="72">
        <f t="shared" si="3"/>
        <v>5.6011111111111062E-4</v>
      </c>
      <c r="E16" s="36">
        <v>2.9000000000000001E-2</v>
      </c>
      <c r="F16" s="14">
        <f t="shared" si="4"/>
        <v>-1.2200000000000006E-2</v>
      </c>
      <c r="G16" s="72">
        <f t="shared" si="5"/>
        <v>1.4884000000000015E-4</v>
      </c>
      <c r="L16" s="3">
        <f t="shared" si="0"/>
        <v>6.5000000000000002E-2</v>
      </c>
      <c r="M16" s="3">
        <v>1</v>
      </c>
      <c r="N16" s="3">
        <f t="shared" si="1"/>
        <v>2.9000000000000001E-2</v>
      </c>
      <c r="O16" s="3">
        <v>0.98</v>
      </c>
    </row>
    <row r="17" spans="1:15" x14ac:dyDescent="0.3">
      <c r="A17" s="3">
        <v>2007</v>
      </c>
      <c r="B17" s="36">
        <v>-0.02</v>
      </c>
      <c r="C17" s="14">
        <f t="shared" si="2"/>
        <v>-6.1333333333333351E-2</v>
      </c>
      <c r="D17" s="72">
        <f t="shared" si="3"/>
        <v>3.7617777777777801E-3</v>
      </c>
      <c r="E17" s="36">
        <v>4.5999999999999999E-2</v>
      </c>
      <c r="F17" s="14">
        <f t="shared" si="4"/>
        <v>4.7999999999999918E-3</v>
      </c>
      <c r="G17" s="72">
        <f t="shared" si="5"/>
        <v>2.3039999999999922E-5</v>
      </c>
      <c r="L17" s="3">
        <f t="shared" si="0"/>
        <v>-0.02</v>
      </c>
      <c r="M17" s="3">
        <v>1</v>
      </c>
      <c r="N17" s="3">
        <f t="shared" si="1"/>
        <v>4.5999999999999999E-2</v>
      </c>
      <c r="O17" s="3">
        <v>0.98</v>
      </c>
    </row>
    <row r="18" spans="1:15" x14ac:dyDescent="0.3">
      <c r="A18" s="3">
        <v>2008</v>
      </c>
      <c r="B18" s="36">
        <v>-0.22</v>
      </c>
      <c r="C18" s="14">
        <f t="shared" si="2"/>
        <v>-0.26133333333333336</v>
      </c>
      <c r="D18" s="72">
        <f t="shared" si="3"/>
        <v>6.8295111111111126E-2</v>
      </c>
      <c r="E18" s="36">
        <v>4.9000000000000002E-2</v>
      </c>
      <c r="F18" s="14">
        <f t="shared" si="4"/>
        <v>7.7999999999999944E-3</v>
      </c>
      <c r="G18" s="72">
        <f t="shared" si="5"/>
        <v>6.0839999999999912E-5</v>
      </c>
      <c r="L18" s="3">
        <f t="shared" si="0"/>
        <v>-0.22</v>
      </c>
      <c r="M18" s="3">
        <v>1</v>
      </c>
      <c r="N18" s="3">
        <f t="shared" si="1"/>
        <v>4.9000000000000002E-2</v>
      </c>
      <c r="O18" s="3">
        <v>0.98</v>
      </c>
    </row>
    <row r="19" spans="1:15" x14ac:dyDescent="0.3">
      <c r="A19" s="3">
        <v>2009</v>
      </c>
      <c r="B19" s="36">
        <v>0.15</v>
      </c>
      <c r="C19" s="14">
        <f t="shared" si="2"/>
        <v>0.10866666666666665</v>
      </c>
      <c r="D19" s="72">
        <f t="shared" si="3"/>
        <v>1.1808444444444441E-2</v>
      </c>
      <c r="E19" s="36">
        <v>4.1000000000000002E-2</v>
      </c>
      <c r="F19" s="14">
        <f t="shared" si="4"/>
        <v>-2.0000000000000573E-4</v>
      </c>
      <c r="G19" s="72">
        <f t="shared" si="5"/>
        <v>4.000000000000229E-8</v>
      </c>
      <c r="L19" s="3">
        <f t="shared" si="0"/>
        <v>0.15</v>
      </c>
      <c r="M19" s="3">
        <v>1</v>
      </c>
      <c r="N19" s="3">
        <f t="shared" si="1"/>
        <v>4.1000000000000002E-2</v>
      </c>
      <c r="O19" s="3">
        <v>0.98</v>
      </c>
    </row>
    <row r="20" spans="1:15" x14ac:dyDescent="0.3">
      <c r="B20" s="37" t="s">
        <v>40</v>
      </c>
      <c r="C20" s="14">
        <f>SUM(C5:C19)</f>
        <v>-2.0816681711721685E-16</v>
      </c>
      <c r="D20" s="72">
        <f>SUM(D5:D19)</f>
        <v>0.17922333333333335</v>
      </c>
      <c r="F20" s="14">
        <f>SUM(F5:F19)</f>
        <v>-1.0408340855860843E-16</v>
      </c>
      <c r="G20" s="72">
        <f>SUM(G5:G19)</f>
        <v>1.2504E-3</v>
      </c>
    </row>
    <row r="22" spans="1:15" x14ac:dyDescent="0.3">
      <c r="A22" t="s">
        <v>164</v>
      </c>
      <c r="D22" s="7">
        <f>D20/(B2-1)</f>
        <v>1.2801666666666668E-2</v>
      </c>
      <c r="G22" s="7">
        <f>G20/(E2-1)</f>
        <v>8.9314285714285719E-5</v>
      </c>
      <c r="H22" t="s">
        <v>165</v>
      </c>
    </row>
    <row r="23" spans="1:15" x14ac:dyDescent="0.3">
      <c r="D23" s="7">
        <f>SQRT(D22)</f>
        <v>0.11314445044573183</v>
      </c>
      <c r="G23" s="7">
        <f>SQRT(G22)</f>
        <v>9.4506235621934342E-3</v>
      </c>
      <c r="H23" t="s">
        <v>166</v>
      </c>
    </row>
    <row r="24" spans="1:15" x14ac:dyDescent="0.3">
      <c r="D24" s="7">
        <f>_xlfn.STDEV.S(B5:B19)</f>
        <v>0.11314445044573183</v>
      </c>
      <c r="G24" s="7">
        <f>_xlfn.STDEV.S(E5:E19)</f>
        <v>9.4506235621933891E-3</v>
      </c>
      <c r="H24" t="s">
        <v>204</v>
      </c>
    </row>
    <row r="26" spans="1:15" x14ac:dyDescent="0.3">
      <c r="C26" s="81" t="s">
        <v>203</v>
      </c>
    </row>
    <row r="28" spans="1:15" x14ac:dyDescent="0.3">
      <c r="A28" s="23" t="s">
        <v>0</v>
      </c>
      <c r="B28" s="23" t="s">
        <v>159</v>
      </c>
      <c r="C28" s="23" t="s">
        <v>162</v>
      </c>
      <c r="D28" s="23" t="s">
        <v>163</v>
      </c>
      <c r="E28" s="23" t="s">
        <v>160</v>
      </c>
      <c r="F28" s="23" t="s">
        <v>162</v>
      </c>
      <c r="G28" s="23" t="s">
        <v>163</v>
      </c>
    </row>
    <row r="29" spans="1:15" x14ac:dyDescent="0.3">
      <c r="A29" s="3">
        <v>1995</v>
      </c>
      <c r="B29" s="36">
        <v>0.05</v>
      </c>
      <c r="C29" s="14" cm="1">
        <f t="array" ref="C29:C43">B29:B43-B3</f>
        <v>8.6666666666666559E-3</v>
      </c>
      <c r="D29" s="72" cm="1">
        <f t="array" ref="D29:D43">_xlfn.ANCHORARRAY(C29)^2</f>
        <v>7.5111111111110919E-5</v>
      </c>
      <c r="E29" s="36">
        <v>0.02</v>
      </c>
      <c r="F29" s="14" cm="1">
        <f t="array" ref="F29:F43">E29:E43-E3</f>
        <v>-2.1200000000000007E-2</v>
      </c>
      <c r="G29" s="72" cm="1">
        <f t="array" ref="G29:G43">_xlfn.ANCHORARRAY(F29)^2</f>
        <v>4.4944000000000028E-4</v>
      </c>
    </row>
    <row r="30" spans="1:15" x14ac:dyDescent="0.3">
      <c r="A30" s="3">
        <v>1996</v>
      </c>
      <c r="B30" s="36">
        <v>0.1</v>
      </c>
      <c r="C30" s="14">
        <v>5.8666666666666659E-2</v>
      </c>
      <c r="D30" s="72">
        <v>3.4417777777777767E-3</v>
      </c>
      <c r="E30" s="36">
        <v>0.04</v>
      </c>
      <c r="F30" s="14">
        <v>-1.2000000000000066E-3</v>
      </c>
      <c r="G30" s="72">
        <v>1.4400000000000159E-6</v>
      </c>
    </row>
    <row r="31" spans="1:15" x14ac:dyDescent="0.3">
      <c r="A31" s="3">
        <v>1997</v>
      </c>
      <c r="B31" s="36">
        <v>0.12</v>
      </c>
      <c r="C31" s="14">
        <v>7.8666666666666649E-2</v>
      </c>
      <c r="D31" s="72">
        <v>6.1884444444444417E-3</v>
      </c>
      <c r="E31" s="36">
        <v>3.5000000000000003E-2</v>
      </c>
      <c r="F31" s="14">
        <v>-6.2000000000000041E-3</v>
      </c>
      <c r="G31" s="72">
        <v>3.8440000000000052E-5</v>
      </c>
    </row>
    <row r="32" spans="1:15" x14ac:dyDescent="0.3">
      <c r="A32" s="3">
        <v>1998</v>
      </c>
      <c r="B32" s="36">
        <v>0.17</v>
      </c>
      <c r="C32" s="14">
        <v>0.12866666666666665</v>
      </c>
      <c r="D32" s="72">
        <v>1.6555111111111107E-2</v>
      </c>
      <c r="E32" s="36">
        <v>5.5E-2</v>
      </c>
      <c r="F32" s="14">
        <v>1.3799999999999993E-2</v>
      </c>
      <c r="G32" s="72">
        <v>1.9043999999999981E-4</v>
      </c>
    </row>
    <row r="33" spans="1:7" x14ac:dyDescent="0.3">
      <c r="A33" s="3">
        <v>1999</v>
      </c>
      <c r="B33" s="36">
        <v>0.19</v>
      </c>
      <c r="C33" s="14">
        <v>0.14866666666666667</v>
      </c>
      <c r="D33" s="72">
        <v>2.2101777777777779E-2</v>
      </c>
      <c r="E33" s="36">
        <v>0.04</v>
      </c>
      <c r="F33" s="14">
        <v>-1.2000000000000066E-3</v>
      </c>
      <c r="G33" s="72">
        <v>1.4400000000000159E-6</v>
      </c>
    </row>
    <row r="34" spans="1:7" x14ac:dyDescent="0.3">
      <c r="A34" s="3">
        <v>2000</v>
      </c>
      <c r="B34" s="36">
        <v>0.01</v>
      </c>
      <c r="C34" s="14">
        <v>-3.1333333333333345E-2</v>
      </c>
      <c r="D34" s="72">
        <v>9.8177777777777846E-4</v>
      </c>
      <c r="E34" s="36">
        <v>4.2000000000000003E-2</v>
      </c>
      <c r="F34" s="14">
        <v>7.9999999999999516E-4</v>
      </c>
      <c r="G34" s="72">
        <v>6.3999999999999228E-7</v>
      </c>
    </row>
    <row r="35" spans="1:7" x14ac:dyDescent="0.3">
      <c r="A35" s="3">
        <v>2001</v>
      </c>
      <c r="B35" s="36">
        <v>-0.15</v>
      </c>
      <c r="C35" s="14">
        <v>-0.19133333333333336</v>
      </c>
      <c r="D35" s="72">
        <v>3.660844444444445E-2</v>
      </c>
      <c r="E35" s="36">
        <v>4.2999999999999997E-2</v>
      </c>
      <c r="F35" s="14">
        <v>1.7999999999999891E-3</v>
      </c>
      <c r="G35" s="72">
        <v>3.2399999999999609E-6</v>
      </c>
    </row>
    <row r="36" spans="1:7" x14ac:dyDescent="0.3">
      <c r="A36" s="3">
        <v>2002</v>
      </c>
      <c r="B36" s="36">
        <v>-0.03</v>
      </c>
      <c r="C36" s="14">
        <v>-7.1333333333333346E-2</v>
      </c>
      <c r="D36" s="72">
        <v>5.0884444444444467E-3</v>
      </c>
      <c r="E36" s="36">
        <v>4.7E-2</v>
      </c>
      <c r="F36" s="14">
        <v>5.7999999999999927E-3</v>
      </c>
      <c r="G36" s="72">
        <v>3.3639999999999915E-5</v>
      </c>
    </row>
    <row r="37" spans="1:7" x14ac:dyDescent="0.3">
      <c r="A37" s="3">
        <v>2003</v>
      </c>
      <c r="B37" s="36">
        <v>0.03</v>
      </c>
      <c r="C37" s="14">
        <v>-1.1333333333333348E-2</v>
      </c>
      <c r="D37" s="72">
        <v>1.2844444444444478E-4</v>
      </c>
      <c r="E37" s="36">
        <v>0.05</v>
      </c>
      <c r="F37" s="14">
        <v>8.7999999999999953E-3</v>
      </c>
      <c r="G37" s="72">
        <v>7.7439999999999923E-5</v>
      </c>
    </row>
    <row r="38" spans="1:7" x14ac:dyDescent="0.3">
      <c r="A38" s="3">
        <v>2004</v>
      </c>
      <c r="B38" s="36">
        <v>5.5E-2</v>
      </c>
      <c r="C38" s="14">
        <v>1.3666666666666653E-2</v>
      </c>
      <c r="D38" s="72">
        <v>1.8677777777777741E-4</v>
      </c>
      <c r="E38" s="36">
        <v>5.0999999999999997E-2</v>
      </c>
      <c r="F38" s="14">
        <v>9.7999999999999893E-3</v>
      </c>
      <c r="G38" s="72">
        <v>9.6039999999999792E-5</v>
      </c>
    </row>
    <row r="39" spans="1:7" x14ac:dyDescent="0.3">
      <c r="A39" s="3">
        <v>2005</v>
      </c>
      <c r="B39" s="36">
        <v>0.1</v>
      </c>
      <c r="C39" s="14">
        <v>5.8666666666666659E-2</v>
      </c>
      <c r="D39" s="72">
        <v>3.4417777777777767E-3</v>
      </c>
      <c r="E39" s="36">
        <v>0.03</v>
      </c>
      <c r="F39" s="14">
        <v>-1.1200000000000009E-2</v>
      </c>
      <c r="G39" s="72">
        <v>1.2544000000000018E-4</v>
      </c>
    </row>
    <row r="40" spans="1:7" x14ac:dyDescent="0.3">
      <c r="A40" s="3">
        <v>2006</v>
      </c>
      <c r="B40" s="36">
        <v>6.5000000000000002E-2</v>
      </c>
      <c r="C40" s="14">
        <v>2.3666666666666655E-2</v>
      </c>
      <c r="D40" s="72">
        <v>5.6011111111111062E-4</v>
      </c>
      <c r="E40" s="36">
        <v>2.9000000000000001E-2</v>
      </c>
      <c r="F40" s="14">
        <v>-1.2200000000000006E-2</v>
      </c>
      <c r="G40" s="72">
        <v>1.4884000000000015E-4</v>
      </c>
    </row>
    <row r="41" spans="1:7" x14ac:dyDescent="0.3">
      <c r="A41" s="3">
        <v>2007</v>
      </c>
      <c r="B41" s="36">
        <v>-0.02</v>
      </c>
      <c r="C41" s="14">
        <v>-6.1333333333333351E-2</v>
      </c>
      <c r="D41" s="72">
        <v>3.7617777777777801E-3</v>
      </c>
      <c r="E41" s="36">
        <v>4.5999999999999999E-2</v>
      </c>
      <c r="F41" s="14">
        <v>4.7999999999999918E-3</v>
      </c>
      <c r="G41" s="72">
        <v>2.3039999999999922E-5</v>
      </c>
    </row>
    <row r="42" spans="1:7" x14ac:dyDescent="0.3">
      <c r="A42" s="3">
        <v>2008</v>
      </c>
      <c r="B42" s="36">
        <v>-0.22</v>
      </c>
      <c r="C42" s="14">
        <v>-0.26133333333333336</v>
      </c>
      <c r="D42" s="72">
        <v>6.8295111111111126E-2</v>
      </c>
      <c r="E42" s="36">
        <v>4.9000000000000002E-2</v>
      </c>
      <c r="F42" s="14">
        <v>7.7999999999999944E-3</v>
      </c>
      <c r="G42" s="72">
        <v>6.0839999999999912E-5</v>
      </c>
    </row>
    <row r="43" spans="1:7" x14ac:dyDescent="0.3">
      <c r="A43" s="3">
        <v>2009</v>
      </c>
      <c r="B43" s="36">
        <v>0.15</v>
      </c>
      <c r="C43" s="14">
        <v>0.10866666666666665</v>
      </c>
      <c r="D43" s="72">
        <v>1.1808444444444441E-2</v>
      </c>
      <c r="E43" s="36">
        <v>4.1000000000000002E-2</v>
      </c>
      <c r="F43" s="14">
        <v>-2.0000000000000573E-4</v>
      </c>
      <c r="G43" s="72">
        <v>4.000000000000229E-8</v>
      </c>
    </row>
    <row r="44" spans="1:7" x14ac:dyDescent="0.3">
      <c r="B44" s="37" t="s">
        <v>40</v>
      </c>
      <c r="C44" s="14">
        <f>SUM(C29:C43)</f>
        <v>-2.0816681711721685E-16</v>
      </c>
      <c r="D44" s="72">
        <f>SUM(D29:D43)</f>
        <v>0.17922333333333335</v>
      </c>
      <c r="F44" s="14">
        <f>SUM(F29:F43)</f>
        <v>-1.0408340855860843E-16</v>
      </c>
      <c r="G44" s="72">
        <f>SUM(G29:G43)</f>
        <v>1.2504E-3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FF"/>
  </sheetPr>
  <dimension ref="A103:H190"/>
  <sheetViews>
    <sheetView topLeftCell="A100" zoomScale="70" zoomScaleNormal="70" workbookViewId="0">
      <selection activeCell="N76" sqref="N76"/>
    </sheetView>
  </sheetViews>
  <sheetFormatPr defaultRowHeight="14.4" x14ac:dyDescent="0.3"/>
  <cols>
    <col min="1" max="8" width="16" customWidth="1"/>
  </cols>
  <sheetData>
    <row r="103" spans="1:8" x14ac:dyDescent="0.3">
      <c r="A103" t="s">
        <v>11</v>
      </c>
      <c r="B103" s="4">
        <f>AVERAGE(B108:B190)</f>
        <v>0.11566626506024097</v>
      </c>
      <c r="C103" s="4"/>
      <c r="D103" s="4">
        <f t="shared" ref="D103:G103" si="0">AVERAGE(D108:D190)</f>
        <v>6.2471084337349381E-2</v>
      </c>
      <c r="E103" s="4"/>
      <c r="F103" s="4">
        <f t="shared" si="0"/>
        <v>3.856746987951807E-2</v>
      </c>
      <c r="G103" s="4">
        <f t="shared" si="0"/>
        <v>3.0978313253012039E-2</v>
      </c>
    </row>
    <row r="104" spans="1:8" x14ac:dyDescent="0.3">
      <c r="B104" s="5" t="str">
        <f>"Year-to-year total return on "&amp;B107</f>
        <v>Year-to-year total return on Large Company Stocks</v>
      </c>
      <c r="D104" s="5" t="str">
        <f>"Year-to-year total return on "&amp;D107</f>
        <v>Year-to-year total return on Long Term Government Bonds</v>
      </c>
      <c r="E104" s="5"/>
      <c r="F104" s="5" t="str">
        <f>"Year-to-year total return on "&amp;F107</f>
        <v>Year-to-year total return on US Treasury Bills</v>
      </c>
      <c r="H104" s="5" t="str">
        <f>"Year-to-year total return on "&amp;H107</f>
        <v>Year-to-year total return on Small Company Stocks</v>
      </c>
    </row>
    <row r="105" spans="1:8" ht="43.2" x14ac:dyDescent="0.3">
      <c r="A105" s="2"/>
      <c r="B105" s="2" t="s">
        <v>5</v>
      </c>
      <c r="C105" s="2"/>
      <c r="D105" s="2" t="s">
        <v>9</v>
      </c>
      <c r="E105" s="2"/>
      <c r="F105" s="2" t="s">
        <v>8</v>
      </c>
      <c r="G105" s="2" t="s">
        <v>10</v>
      </c>
      <c r="H105" s="2" t="s">
        <v>7</v>
      </c>
    </row>
    <row r="106" spans="1:8" ht="21" x14ac:dyDescent="0.4">
      <c r="A106" s="16" t="s">
        <v>23</v>
      </c>
      <c r="B106" s="16"/>
      <c r="C106" s="16"/>
      <c r="D106" s="16"/>
      <c r="E106" s="16"/>
      <c r="F106" s="16"/>
      <c r="G106" s="16"/>
    </row>
    <row r="107" spans="1:8" ht="43.2" x14ac:dyDescent="0.3">
      <c r="A107" s="17" t="s">
        <v>0</v>
      </c>
      <c r="B107" s="17" t="s">
        <v>1</v>
      </c>
      <c r="C107" s="17" t="str">
        <f>"Down "&amp;B107</f>
        <v>Down Large Company Stocks</v>
      </c>
      <c r="D107" s="17" t="s">
        <v>2</v>
      </c>
      <c r="E107" s="17" t="str">
        <f>"Down "&amp;D107</f>
        <v>Down Long Term Government Bonds</v>
      </c>
      <c r="F107" s="17" t="s">
        <v>3</v>
      </c>
      <c r="G107" s="17" t="s">
        <v>4</v>
      </c>
      <c r="H107" s="17" t="s">
        <v>6</v>
      </c>
    </row>
    <row r="108" spans="1:8" x14ac:dyDescent="0.3">
      <c r="A108" s="3">
        <v>1926</v>
      </c>
      <c r="B108" s="1">
        <v>0.1114</v>
      </c>
      <c r="C108" s="1" t="str">
        <f>IF(B108&lt;0,B108,"")</f>
        <v/>
      </c>
      <c r="D108" s="1">
        <v>7.9000000000000001E-2</v>
      </c>
      <c r="E108" s="1" t="str">
        <f>IF(D108&lt;0,D108,"")</f>
        <v/>
      </c>
      <c r="F108" s="1">
        <v>3.3000000000000002E-2</v>
      </c>
      <c r="G108" s="1">
        <v>-1.12E-2</v>
      </c>
      <c r="H108" s="1"/>
    </row>
    <row r="109" spans="1:8" x14ac:dyDescent="0.3">
      <c r="A109" s="3">
        <v>1927</v>
      </c>
      <c r="B109" s="1">
        <v>0.37130000000000002</v>
      </c>
      <c r="C109" s="1" t="str">
        <f t="shared" ref="C109:C172" si="1">IF(B109&lt;0,B109,"")</f>
        <v/>
      </c>
      <c r="D109" s="1">
        <v>0.1036</v>
      </c>
      <c r="E109" s="1" t="str">
        <f t="shared" ref="E109:E172" si="2">IF(D109&lt;0,D109,"")</f>
        <v/>
      </c>
      <c r="F109" s="1">
        <v>3.15E-2</v>
      </c>
      <c r="G109" s="1">
        <v>-2.2599999999999999E-2</v>
      </c>
      <c r="H109" s="1"/>
    </row>
    <row r="110" spans="1:8" x14ac:dyDescent="0.3">
      <c r="A110" s="3">
        <v>1928</v>
      </c>
      <c r="B110" s="1">
        <v>0.43309999999999998</v>
      </c>
      <c r="C110" s="1" t="str">
        <f t="shared" si="1"/>
        <v/>
      </c>
      <c r="D110" s="1">
        <v>-1.37E-2</v>
      </c>
      <c r="E110" s="1">
        <f t="shared" si="2"/>
        <v>-1.37E-2</v>
      </c>
      <c r="F110" s="1">
        <v>4.0500000000000001E-2</v>
      </c>
      <c r="G110" s="1">
        <v>-1.1599999999999999E-2</v>
      </c>
      <c r="H110" s="1"/>
    </row>
    <row r="111" spans="1:8" x14ac:dyDescent="0.3">
      <c r="A111" s="3">
        <v>1929</v>
      </c>
      <c r="B111" s="1">
        <v>-8.9099999999999999E-2</v>
      </c>
      <c r="C111" s="1">
        <f t="shared" si="1"/>
        <v>-8.9099999999999999E-2</v>
      </c>
      <c r="D111" s="1">
        <v>5.2299999999999999E-2</v>
      </c>
      <c r="E111" s="1" t="str">
        <f t="shared" si="2"/>
        <v/>
      </c>
      <c r="F111" s="1">
        <v>4.4699999999999997E-2</v>
      </c>
      <c r="G111" s="1">
        <v>5.7999999999999996E-3</v>
      </c>
      <c r="H111" s="1"/>
    </row>
    <row r="112" spans="1:8" x14ac:dyDescent="0.3">
      <c r="A112" s="3">
        <v>1930</v>
      </c>
      <c r="B112" s="1">
        <v>-0.25259999999999999</v>
      </c>
      <c r="C112" s="1">
        <f t="shared" si="1"/>
        <v>-0.25259999999999999</v>
      </c>
      <c r="D112" s="1">
        <v>5.8000000000000003E-2</v>
      </c>
      <c r="E112" s="1" t="str">
        <f t="shared" si="2"/>
        <v/>
      </c>
      <c r="F112" s="1">
        <v>2.2700000000000001E-2</v>
      </c>
      <c r="G112" s="1">
        <v>-6.4000000000000001E-2</v>
      </c>
      <c r="H112" s="1"/>
    </row>
    <row r="113" spans="1:8" x14ac:dyDescent="0.3">
      <c r="A113" s="3">
        <v>1931</v>
      </c>
      <c r="B113" s="1">
        <v>-0.43859999999999999</v>
      </c>
      <c r="C113" s="1">
        <f t="shared" si="1"/>
        <v>-0.43859999999999999</v>
      </c>
      <c r="D113" s="1">
        <v>-8.0399999999999999E-2</v>
      </c>
      <c r="E113" s="1">
        <f t="shared" si="2"/>
        <v>-8.0399999999999999E-2</v>
      </c>
      <c r="F113" s="1">
        <v>1.15E-2</v>
      </c>
      <c r="G113" s="1">
        <v>-9.3200000000000005E-2</v>
      </c>
      <c r="H113" s="1"/>
    </row>
    <row r="114" spans="1:8" x14ac:dyDescent="0.3">
      <c r="A114" s="3">
        <v>1932</v>
      </c>
      <c r="B114" s="1">
        <v>-8.8499999999999995E-2</v>
      </c>
      <c r="C114" s="1">
        <f t="shared" si="1"/>
        <v>-8.8499999999999995E-2</v>
      </c>
      <c r="D114" s="1">
        <v>0.1411</v>
      </c>
      <c r="E114" s="1" t="str">
        <f t="shared" si="2"/>
        <v/>
      </c>
      <c r="F114" s="1">
        <v>8.8000000000000005E-3</v>
      </c>
      <c r="G114" s="1">
        <v>-0.1027</v>
      </c>
      <c r="H114" s="1"/>
    </row>
    <row r="115" spans="1:8" x14ac:dyDescent="0.3">
      <c r="A115" s="3">
        <v>1933</v>
      </c>
      <c r="B115" s="1">
        <v>0.52880000000000005</v>
      </c>
      <c r="C115" s="1" t="str">
        <f t="shared" si="1"/>
        <v/>
      </c>
      <c r="D115" s="1">
        <v>3.0999999999999999E-3</v>
      </c>
      <c r="E115" s="1" t="str">
        <f t="shared" si="2"/>
        <v/>
      </c>
      <c r="F115" s="1">
        <v>5.1999999999999998E-3</v>
      </c>
      <c r="G115" s="1">
        <v>7.6E-3</v>
      </c>
      <c r="H115" s="1"/>
    </row>
    <row r="116" spans="1:8" x14ac:dyDescent="0.3">
      <c r="A116" s="3">
        <v>1934</v>
      </c>
      <c r="B116" s="1">
        <v>-2.3400000000000001E-2</v>
      </c>
      <c r="C116" s="1">
        <f t="shared" si="1"/>
        <v>-2.3400000000000001E-2</v>
      </c>
      <c r="D116" s="1">
        <v>0.1298</v>
      </c>
      <c r="E116" s="1" t="str">
        <f t="shared" si="2"/>
        <v/>
      </c>
      <c r="F116" s="1">
        <v>2.7000000000000001E-3</v>
      </c>
      <c r="G116" s="1">
        <v>1.52E-2</v>
      </c>
      <c r="H116" s="1"/>
    </row>
    <row r="117" spans="1:8" x14ac:dyDescent="0.3">
      <c r="A117" s="3">
        <v>1935</v>
      </c>
      <c r="B117" s="1">
        <v>0.47220000000000001</v>
      </c>
      <c r="C117" s="1" t="str">
        <f t="shared" si="1"/>
        <v/>
      </c>
      <c r="D117" s="1">
        <v>5.8799999999999998E-2</v>
      </c>
      <c r="E117" s="1" t="str">
        <f t="shared" si="2"/>
        <v/>
      </c>
      <c r="F117" s="1">
        <v>1.6999999999999999E-3</v>
      </c>
      <c r="G117" s="1">
        <v>2.9899999999999999E-2</v>
      </c>
      <c r="H117" s="1"/>
    </row>
    <row r="118" spans="1:8" x14ac:dyDescent="0.3">
      <c r="A118" s="3">
        <v>1936</v>
      </c>
      <c r="B118" s="1">
        <v>0.32800000000000001</v>
      </c>
      <c r="C118" s="1" t="str">
        <f t="shared" si="1"/>
        <v/>
      </c>
      <c r="D118" s="1">
        <v>8.2199999999999995E-2</v>
      </c>
      <c r="E118" s="1" t="str">
        <f t="shared" si="2"/>
        <v/>
      </c>
      <c r="F118" s="1">
        <v>1.6999999999999999E-3</v>
      </c>
      <c r="G118" s="1">
        <v>1.4500000000000001E-2</v>
      </c>
      <c r="H118" s="1"/>
    </row>
    <row r="119" spans="1:8" x14ac:dyDescent="0.3">
      <c r="A119" s="3">
        <v>1937</v>
      </c>
      <c r="B119" s="1">
        <v>-0.35260000000000002</v>
      </c>
      <c r="C119" s="1">
        <f t="shared" si="1"/>
        <v>-0.35260000000000002</v>
      </c>
      <c r="D119" s="1">
        <v>-1.2999999999999999E-3</v>
      </c>
      <c r="E119" s="1">
        <f t="shared" si="2"/>
        <v>-1.2999999999999999E-3</v>
      </c>
      <c r="F119" s="1">
        <v>2.7000000000000001E-3</v>
      </c>
      <c r="G119" s="1">
        <v>2.86E-2</v>
      </c>
      <c r="H119" s="1"/>
    </row>
    <row r="120" spans="1:8" x14ac:dyDescent="0.3">
      <c r="A120" s="3">
        <v>1938</v>
      </c>
      <c r="B120" s="1">
        <v>0.33200000000000002</v>
      </c>
      <c r="C120" s="1" t="str">
        <f t="shared" si="1"/>
        <v/>
      </c>
      <c r="D120" s="1">
        <v>6.2600000000000003E-2</v>
      </c>
      <c r="E120" s="1" t="str">
        <f t="shared" si="2"/>
        <v/>
      </c>
      <c r="F120" s="1">
        <v>5.9999999999999995E-4</v>
      </c>
      <c r="G120" s="1">
        <v>-2.7799999999999998E-2</v>
      </c>
      <c r="H120" s="1"/>
    </row>
    <row r="121" spans="1:8" x14ac:dyDescent="0.3">
      <c r="A121" s="3">
        <v>1939</v>
      </c>
      <c r="B121" s="1">
        <v>-9.1000000000000004E-3</v>
      </c>
      <c r="C121" s="1">
        <f t="shared" si="1"/>
        <v>-9.1000000000000004E-3</v>
      </c>
      <c r="D121" s="1">
        <v>5.7099999999999998E-2</v>
      </c>
      <c r="E121" s="1" t="str">
        <f t="shared" si="2"/>
        <v/>
      </c>
      <c r="F121" s="1">
        <v>4.0000000000000002E-4</v>
      </c>
      <c r="G121" s="1">
        <v>0</v>
      </c>
      <c r="H121" s="1"/>
    </row>
    <row r="122" spans="1:8" x14ac:dyDescent="0.3">
      <c r="A122" s="3">
        <v>1940</v>
      </c>
      <c r="B122" s="1">
        <v>-0.1008</v>
      </c>
      <c r="C122" s="1">
        <f t="shared" si="1"/>
        <v>-0.1008</v>
      </c>
      <c r="D122" s="1">
        <v>0.10340000000000001</v>
      </c>
      <c r="E122" s="1" t="str">
        <f t="shared" si="2"/>
        <v/>
      </c>
      <c r="F122" s="1">
        <v>4.0000000000000002E-4</v>
      </c>
      <c r="G122" s="1">
        <v>7.1000000000000004E-3</v>
      </c>
      <c r="H122" s="1"/>
    </row>
    <row r="123" spans="1:8" x14ac:dyDescent="0.3">
      <c r="A123" s="3">
        <v>1941</v>
      </c>
      <c r="B123" s="1">
        <v>-0.1177</v>
      </c>
      <c r="C123" s="1">
        <f t="shared" si="1"/>
        <v>-0.1177</v>
      </c>
      <c r="D123" s="1">
        <v>-8.6599999999999996E-2</v>
      </c>
      <c r="E123" s="1">
        <f t="shared" si="2"/>
        <v>-8.6599999999999996E-2</v>
      </c>
      <c r="F123" s="1">
        <v>1.4E-3</v>
      </c>
      <c r="G123" s="1">
        <v>9.9299999999999999E-2</v>
      </c>
      <c r="H123" s="1"/>
    </row>
    <row r="124" spans="1:8" x14ac:dyDescent="0.3">
      <c r="A124" s="3">
        <v>1942</v>
      </c>
      <c r="B124" s="1">
        <v>0.2107</v>
      </c>
      <c r="C124" s="1" t="str">
        <f t="shared" si="1"/>
        <v/>
      </c>
      <c r="D124" s="1">
        <v>2.6700000000000002E-2</v>
      </c>
      <c r="E124" s="1" t="str">
        <f t="shared" si="2"/>
        <v/>
      </c>
      <c r="F124" s="1">
        <v>3.3999999999999998E-3</v>
      </c>
      <c r="G124" s="1">
        <v>9.0300000000000005E-2</v>
      </c>
      <c r="H124" s="1"/>
    </row>
    <row r="125" spans="1:8" x14ac:dyDescent="0.3">
      <c r="A125" s="3">
        <v>1943</v>
      </c>
      <c r="B125" s="1">
        <v>0.2576</v>
      </c>
      <c r="C125" s="1" t="str">
        <f t="shared" si="1"/>
        <v/>
      </c>
      <c r="D125" s="1">
        <v>2.5000000000000001E-2</v>
      </c>
      <c r="E125" s="1" t="str">
        <f t="shared" si="2"/>
        <v/>
      </c>
      <c r="F125" s="1">
        <v>3.8E-3</v>
      </c>
      <c r="G125" s="1">
        <v>2.9600000000000001E-2</v>
      </c>
      <c r="H125" s="1"/>
    </row>
    <row r="126" spans="1:8" x14ac:dyDescent="0.3">
      <c r="A126" s="3">
        <v>1944</v>
      </c>
      <c r="B126" s="1">
        <v>0.19689999999999999</v>
      </c>
      <c r="C126" s="1" t="str">
        <f t="shared" si="1"/>
        <v/>
      </c>
      <c r="D126" s="1">
        <v>2.8799999999999999E-2</v>
      </c>
      <c r="E126" s="1" t="str">
        <f t="shared" si="2"/>
        <v/>
      </c>
      <c r="F126" s="1">
        <v>3.8E-3</v>
      </c>
      <c r="G126" s="1">
        <v>2.3E-2</v>
      </c>
      <c r="H126" s="1"/>
    </row>
    <row r="127" spans="1:8" x14ac:dyDescent="0.3">
      <c r="A127" s="3">
        <v>1945</v>
      </c>
      <c r="B127" s="1">
        <v>0.36459999999999998</v>
      </c>
      <c r="C127" s="1" t="str">
        <f t="shared" si="1"/>
        <v/>
      </c>
      <c r="D127" s="1">
        <v>5.1700000000000003E-2</v>
      </c>
      <c r="E127" s="1" t="str">
        <f t="shared" si="2"/>
        <v/>
      </c>
      <c r="F127" s="1">
        <v>3.8E-3</v>
      </c>
      <c r="G127" s="1">
        <v>2.2499999999999999E-2</v>
      </c>
      <c r="H127" s="1"/>
    </row>
    <row r="128" spans="1:8" x14ac:dyDescent="0.3">
      <c r="A128" s="3">
        <v>1946</v>
      </c>
      <c r="B128" s="1">
        <v>-8.1799999999999998E-2</v>
      </c>
      <c r="C128" s="1">
        <f t="shared" si="1"/>
        <v>-8.1799999999999998E-2</v>
      </c>
      <c r="D128" s="1">
        <v>4.07E-2</v>
      </c>
      <c r="E128" s="1" t="str">
        <f t="shared" si="2"/>
        <v/>
      </c>
      <c r="F128" s="1">
        <v>3.8E-3</v>
      </c>
      <c r="G128" s="1">
        <v>0.18129999999999999</v>
      </c>
      <c r="H128" s="1"/>
    </row>
    <row r="129" spans="1:8" x14ac:dyDescent="0.3">
      <c r="A129" s="3">
        <v>1947</v>
      </c>
      <c r="B129" s="1">
        <v>5.2400000000000002E-2</v>
      </c>
      <c r="C129" s="1" t="str">
        <f t="shared" si="1"/>
        <v/>
      </c>
      <c r="D129" s="1">
        <v>-1.15E-2</v>
      </c>
      <c r="E129" s="1">
        <f t="shared" si="2"/>
        <v>-1.15E-2</v>
      </c>
      <c r="F129" s="1">
        <v>6.1999999999999998E-3</v>
      </c>
      <c r="G129" s="1">
        <v>8.8400000000000006E-2</v>
      </c>
      <c r="H129" s="1"/>
    </row>
    <row r="130" spans="1:8" x14ac:dyDescent="0.3">
      <c r="A130" s="3">
        <v>1948</v>
      </c>
      <c r="B130" s="1">
        <v>5.0999999999999997E-2</v>
      </c>
      <c r="C130" s="1" t="str">
        <f t="shared" si="1"/>
        <v/>
      </c>
      <c r="D130" s="1">
        <v>2.1000000000000001E-2</v>
      </c>
      <c r="E130" s="1" t="str">
        <f t="shared" si="2"/>
        <v/>
      </c>
      <c r="F130" s="1">
        <v>1.06E-2</v>
      </c>
      <c r="G130" s="1">
        <v>2.9899999999999999E-2</v>
      </c>
      <c r="H130" s="1"/>
    </row>
    <row r="131" spans="1:8" x14ac:dyDescent="0.3">
      <c r="A131" s="3">
        <v>1949</v>
      </c>
      <c r="B131" s="1">
        <v>0.18060000000000001</v>
      </c>
      <c r="C131" s="1" t="str">
        <f t="shared" si="1"/>
        <v/>
      </c>
      <c r="D131" s="1">
        <v>7.0199999999999999E-2</v>
      </c>
      <c r="E131" s="1" t="str">
        <f t="shared" si="2"/>
        <v/>
      </c>
      <c r="F131" s="1">
        <v>1.12E-2</v>
      </c>
      <c r="G131" s="1">
        <v>-2.07E-2</v>
      </c>
      <c r="H131" s="1"/>
    </row>
    <row r="132" spans="1:8" x14ac:dyDescent="0.3">
      <c r="A132" s="3">
        <v>1950</v>
      </c>
      <c r="B132" s="1">
        <v>0.30580000000000002</v>
      </c>
      <c r="C132" s="1" t="str">
        <f t="shared" si="1"/>
        <v/>
      </c>
      <c r="D132" s="1">
        <v>-1.44E-2</v>
      </c>
      <c r="E132" s="1">
        <f t="shared" si="2"/>
        <v>-1.44E-2</v>
      </c>
      <c r="F132" s="1">
        <v>1.2200000000000001E-2</v>
      </c>
      <c r="G132" s="1">
        <v>5.9299999999999999E-2</v>
      </c>
      <c r="H132" s="1"/>
    </row>
    <row r="133" spans="1:8" x14ac:dyDescent="0.3">
      <c r="A133" s="3">
        <v>1951</v>
      </c>
      <c r="B133" s="1">
        <v>0.2455</v>
      </c>
      <c r="C133" s="1" t="str">
        <f t="shared" si="1"/>
        <v/>
      </c>
      <c r="D133" s="1">
        <v>-3.5299999999999998E-2</v>
      </c>
      <c r="E133" s="1">
        <f t="shared" si="2"/>
        <v>-3.5299999999999998E-2</v>
      </c>
      <c r="F133" s="1">
        <v>1.5599999999999999E-2</v>
      </c>
      <c r="G133" s="1">
        <v>0.06</v>
      </c>
      <c r="H133" s="1"/>
    </row>
    <row r="134" spans="1:8" x14ac:dyDescent="0.3">
      <c r="A134" s="3">
        <v>1952</v>
      </c>
      <c r="B134" s="1">
        <v>0.185</v>
      </c>
      <c r="C134" s="1" t="str">
        <f t="shared" si="1"/>
        <v/>
      </c>
      <c r="D134" s="1">
        <v>1.8200000000000001E-2</v>
      </c>
      <c r="E134" s="1" t="str">
        <f t="shared" si="2"/>
        <v/>
      </c>
      <c r="F134" s="1">
        <v>1.7500000000000002E-2</v>
      </c>
      <c r="G134" s="1">
        <v>7.4999999999999997E-3</v>
      </c>
      <c r="H134" s="1"/>
    </row>
    <row r="135" spans="1:8" x14ac:dyDescent="0.3">
      <c r="A135" s="3">
        <v>1953</v>
      </c>
      <c r="B135" s="1">
        <v>-1.0999999999999999E-2</v>
      </c>
      <c r="C135" s="1">
        <f t="shared" si="1"/>
        <v>-1.0999999999999999E-2</v>
      </c>
      <c r="D135" s="1">
        <v>-8.8000000000000005E-3</v>
      </c>
      <c r="E135" s="1">
        <f t="shared" si="2"/>
        <v>-8.8000000000000005E-3</v>
      </c>
      <c r="F135" s="1">
        <v>1.8700000000000001E-2</v>
      </c>
      <c r="G135" s="1">
        <v>7.4999999999999997E-3</v>
      </c>
      <c r="H135" s="1"/>
    </row>
    <row r="136" spans="1:8" x14ac:dyDescent="0.3">
      <c r="A136" s="3">
        <v>1954</v>
      </c>
      <c r="B136" s="1">
        <v>0.52400000000000002</v>
      </c>
      <c r="C136" s="1" t="str">
        <f t="shared" si="1"/>
        <v/>
      </c>
      <c r="D136" s="1">
        <v>7.8899999999999998E-2</v>
      </c>
      <c r="E136" s="1" t="str">
        <f t="shared" si="2"/>
        <v/>
      </c>
      <c r="F136" s="1">
        <v>9.2999999999999992E-3</v>
      </c>
      <c r="G136" s="1">
        <v>-7.4000000000000003E-3</v>
      </c>
      <c r="H136" s="1"/>
    </row>
    <row r="137" spans="1:8" x14ac:dyDescent="0.3">
      <c r="A137" s="3">
        <v>1955</v>
      </c>
      <c r="B137" s="1">
        <v>0.31430000000000002</v>
      </c>
      <c r="C137" s="1" t="str">
        <f t="shared" si="1"/>
        <v/>
      </c>
      <c r="D137" s="1">
        <v>-1.03E-2</v>
      </c>
      <c r="E137" s="1">
        <f t="shared" si="2"/>
        <v>-1.03E-2</v>
      </c>
      <c r="F137" s="1">
        <v>1.7999999999999999E-2</v>
      </c>
      <c r="G137" s="1">
        <v>3.7000000000000002E-3</v>
      </c>
      <c r="H137" s="1"/>
    </row>
    <row r="138" spans="1:8" x14ac:dyDescent="0.3">
      <c r="A138" s="3">
        <v>1956</v>
      </c>
      <c r="B138" s="1">
        <v>6.6299999999999998E-2</v>
      </c>
      <c r="C138" s="1" t="str">
        <f t="shared" si="1"/>
        <v/>
      </c>
      <c r="D138" s="1">
        <v>-3.1399999999999997E-2</v>
      </c>
      <c r="E138" s="1">
        <f t="shared" si="2"/>
        <v>-3.1399999999999997E-2</v>
      </c>
      <c r="F138" s="1">
        <v>2.6599999999999999E-2</v>
      </c>
      <c r="G138" s="1">
        <v>2.9899999999999999E-2</v>
      </c>
      <c r="H138" s="1"/>
    </row>
    <row r="139" spans="1:8" x14ac:dyDescent="0.3">
      <c r="A139" s="3">
        <v>1957</v>
      </c>
      <c r="B139" s="1">
        <v>-0.1085</v>
      </c>
      <c r="C139" s="1">
        <f t="shared" si="1"/>
        <v>-0.1085</v>
      </c>
      <c r="D139" s="1">
        <v>5.2499999999999998E-2</v>
      </c>
      <c r="E139" s="1" t="str">
        <f t="shared" si="2"/>
        <v/>
      </c>
      <c r="F139" s="1">
        <v>3.2800000000000003E-2</v>
      </c>
      <c r="G139" s="1">
        <v>2.9000000000000001E-2</v>
      </c>
      <c r="H139" s="1"/>
    </row>
    <row r="140" spans="1:8" x14ac:dyDescent="0.3">
      <c r="A140" s="3">
        <v>1958</v>
      </c>
      <c r="B140" s="1">
        <v>0.43340000000000001</v>
      </c>
      <c r="C140" s="1" t="str">
        <f t="shared" si="1"/>
        <v/>
      </c>
      <c r="D140" s="1">
        <v>-6.7000000000000004E-2</v>
      </c>
      <c r="E140" s="1">
        <f t="shared" si="2"/>
        <v>-6.7000000000000004E-2</v>
      </c>
      <c r="F140" s="1">
        <v>1.7100000000000001E-2</v>
      </c>
      <c r="G140" s="1">
        <v>1.7600000000000001E-2</v>
      </c>
      <c r="H140" s="1"/>
    </row>
    <row r="141" spans="1:8" x14ac:dyDescent="0.3">
      <c r="A141" s="3">
        <v>1959</v>
      </c>
      <c r="B141" s="1">
        <v>0.11899999999999999</v>
      </c>
      <c r="C141" s="1" t="str">
        <f t="shared" si="1"/>
        <v/>
      </c>
      <c r="D141" s="1">
        <v>-1.35E-2</v>
      </c>
      <c r="E141" s="1">
        <f t="shared" si="2"/>
        <v>-1.35E-2</v>
      </c>
      <c r="F141" s="1">
        <v>3.4799999999999998E-2</v>
      </c>
      <c r="G141" s="1">
        <v>1.7299999999999999E-2</v>
      </c>
      <c r="H141" s="1"/>
    </row>
    <row r="142" spans="1:8" x14ac:dyDescent="0.3">
      <c r="A142" s="3">
        <v>1960</v>
      </c>
      <c r="B142" s="1">
        <v>4.7999999999999996E-3</v>
      </c>
      <c r="C142" s="1" t="str">
        <f t="shared" si="1"/>
        <v/>
      </c>
      <c r="D142" s="1">
        <v>7.7399999999999997E-2</v>
      </c>
      <c r="E142" s="1" t="str">
        <f t="shared" si="2"/>
        <v/>
      </c>
      <c r="F142" s="1">
        <v>2.81E-2</v>
      </c>
      <c r="G142" s="1">
        <v>1.3599999999999999E-2</v>
      </c>
      <c r="H142" s="1"/>
    </row>
    <row r="143" spans="1:8" x14ac:dyDescent="0.3">
      <c r="A143" s="3">
        <v>1961</v>
      </c>
      <c r="B143" s="1">
        <v>0.2681</v>
      </c>
      <c r="C143" s="1" t="str">
        <f t="shared" si="1"/>
        <v/>
      </c>
      <c r="D143" s="1">
        <v>3.0200000000000001E-2</v>
      </c>
      <c r="E143" s="1" t="str">
        <f t="shared" si="2"/>
        <v/>
      </c>
      <c r="F143" s="1">
        <v>2.4E-2</v>
      </c>
      <c r="G143" s="1">
        <v>6.7000000000000002E-3</v>
      </c>
      <c r="H143" s="1"/>
    </row>
    <row r="144" spans="1:8" x14ac:dyDescent="0.3">
      <c r="A144" s="3">
        <v>1962</v>
      </c>
      <c r="B144" s="1">
        <v>-8.7800000000000003E-2</v>
      </c>
      <c r="C144" s="1">
        <f t="shared" si="1"/>
        <v>-8.7800000000000003E-2</v>
      </c>
      <c r="D144" s="1">
        <v>4.6300000000000001E-2</v>
      </c>
      <c r="E144" s="1" t="str">
        <f t="shared" si="2"/>
        <v/>
      </c>
      <c r="F144" s="1">
        <v>2.8199999999999999E-2</v>
      </c>
      <c r="G144" s="1">
        <v>1.3299999999999999E-2</v>
      </c>
      <c r="H144" s="1"/>
    </row>
    <row r="145" spans="1:8" x14ac:dyDescent="0.3">
      <c r="A145" s="3">
        <v>1963</v>
      </c>
      <c r="B145" s="1">
        <v>0.22689999999999999</v>
      </c>
      <c r="C145" s="1" t="str">
        <f t="shared" si="1"/>
        <v/>
      </c>
      <c r="D145" s="1">
        <v>1.37E-2</v>
      </c>
      <c r="E145" s="1" t="str">
        <f t="shared" si="2"/>
        <v/>
      </c>
      <c r="F145" s="1">
        <v>3.2300000000000002E-2</v>
      </c>
      <c r="G145" s="1">
        <v>1.6400000000000001E-2</v>
      </c>
      <c r="H145" s="1"/>
    </row>
    <row r="146" spans="1:8" x14ac:dyDescent="0.3">
      <c r="A146" s="3">
        <v>1964</v>
      </c>
      <c r="B146" s="1">
        <v>0.1636</v>
      </c>
      <c r="C146" s="1" t="str">
        <f t="shared" si="1"/>
        <v/>
      </c>
      <c r="D146" s="1">
        <v>4.4299999999999999E-2</v>
      </c>
      <c r="E146" s="1" t="str">
        <f t="shared" si="2"/>
        <v/>
      </c>
      <c r="F146" s="1">
        <v>3.6200000000000003E-2</v>
      </c>
      <c r="G146" s="1">
        <v>9.7000000000000003E-3</v>
      </c>
      <c r="H146" s="1"/>
    </row>
    <row r="147" spans="1:8" x14ac:dyDescent="0.3">
      <c r="A147" s="3">
        <v>1965</v>
      </c>
      <c r="B147" s="1">
        <v>0.1236</v>
      </c>
      <c r="C147" s="1" t="str">
        <f t="shared" si="1"/>
        <v/>
      </c>
      <c r="D147" s="1">
        <v>1.4E-2</v>
      </c>
      <c r="E147" s="1" t="str">
        <f t="shared" si="2"/>
        <v/>
      </c>
      <c r="F147" s="1">
        <v>4.0599999999999997E-2</v>
      </c>
      <c r="G147" s="1">
        <v>1.9199999999999998E-2</v>
      </c>
      <c r="H147" s="1"/>
    </row>
    <row r="148" spans="1:8" x14ac:dyDescent="0.3">
      <c r="A148" s="3">
        <v>1966</v>
      </c>
      <c r="B148" s="1">
        <v>-0.10100000000000001</v>
      </c>
      <c r="C148" s="1">
        <f t="shared" si="1"/>
        <v>-0.10100000000000001</v>
      </c>
      <c r="D148" s="1">
        <v>-1.61E-2</v>
      </c>
      <c r="E148" s="1">
        <f t="shared" si="2"/>
        <v>-1.61E-2</v>
      </c>
      <c r="F148" s="1">
        <v>4.9399999999999999E-2</v>
      </c>
      <c r="G148" s="1">
        <v>3.4599999999999999E-2</v>
      </c>
      <c r="H148" s="1"/>
    </row>
    <row r="149" spans="1:8" x14ac:dyDescent="0.3">
      <c r="A149" s="3">
        <v>1967</v>
      </c>
      <c r="B149" s="1">
        <v>0.2394</v>
      </c>
      <c r="C149" s="1" t="str">
        <f t="shared" si="1"/>
        <v/>
      </c>
      <c r="D149" s="1">
        <v>-6.3799999999999996E-2</v>
      </c>
      <c r="E149" s="1">
        <f t="shared" si="2"/>
        <v>-6.3799999999999996E-2</v>
      </c>
      <c r="F149" s="1">
        <v>4.3900000000000002E-2</v>
      </c>
      <c r="G149" s="1">
        <v>3.04E-2</v>
      </c>
      <c r="H149" s="1"/>
    </row>
    <row r="150" spans="1:8" x14ac:dyDescent="0.3">
      <c r="A150" s="3">
        <v>1968</v>
      </c>
      <c r="B150" s="1">
        <v>0.11</v>
      </c>
      <c r="C150" s="1" t="str">
        <f t="shared" si="1"/>
        <v/>
      </c>
      <c r="D150" s="1">
        <v>5.33E-2</v>
      </c>
      <c r="E150" s="1" t="str">
        <f t="shared" si="2"/>
        <v/>
      </c>
      <c r="F150" s="1">
        <v>5.4899999999999997E-2</v>
      </c>
      <c r="G150" s="1">
        <v>4.7199999999999999E-2</v>
      </c>
      <c r="H150" s="1"/>
    </row>
    <row r="151" spans="1:8" x14ac:dyDescent="0.3">
      <c r="A151" s="3">
        <v>1969</v>
      </c>
      <c r="B151" s="1">
        <v>-8.4699999999999998E-2</v>
      </c>
      <c r="C151" s="1">
        <f t="shared" si="1"/>
        <v>-8.4699999999999998E-2</v>
      </c>
      <c r="D151" s="1">
        <v>-7.4499999999999997E-2</v>
      </c>
      <c r="E151" s="1">
        <f t="shared" si="2"/>
        <v>-7.4499999999999997E-2</v>
      </c>
      <c r="F151" s="1">
        <v>6.9000000000000006E-2</v>
      </c>
      <c r="G151" s="1">
        <v>6.2E-2</v>
      </c>
      <c r="H151" s="1"/>
    </row>
    <row r="152" spans="1:8" x14ac:dyDescent="0.3">
      <c r="A152" s="3">
        <v>1970</v>
      </c>
      <c r="B152" s="1">
        <v>3.9399999999999998E-2</v>
      </c>
      <c r="C152" s="1" t="str">
        <f t="shared" si="1"/>
        <v/>
      </c>
      <c r="D152" s="1">
        <v>0.12239999999999999</v>
      </c>
      <c r="E152" s="1" t="str">
        <f t="shared" si="2"/>
        <v/>
      </c>
      <c r="F152" s="1">
        <v>6.5000000000000002E-2</v>
      </c>
      <c r="G152" s="1">
        <v>5.57E-2</v>
      </c>
      <c r="H152" s="1"/>
    </row>
    <row r="153" spans="1:8" x14ac:dyDescent="0.3">
      <c r="A153" s="3">
        <v>1971</v>
      </c>
      <c r="B153" s="1">
        <v>0.14299999999999999</v>
      </c>
      <c r="C153" s="1" t="str">
        <f t="shared" si="1"/>
        <v/>
      </c>
      <c r="D153" s="1">
        <v>0.12670000000000001</v>
      </c>
      <c r="E153" s="1" t="str">
        <f t="shared" si="2"/>
        <v/>
      </c>
      <c r="F153" s="1">
        <v>4.36E-2</v>
      </c>
      <c r="G153" s="1">
        <v>3.27E-2</v>
      </c>
      <c r="H153" s="1"/>
    </row>
    <row r="154" spans="1:8" x14ac:dyDescent="0.3">
      <c r="A154" s="3">
        <v>1972</v>
      </c>
      <c r="B154" s="1">
        <v>0.18990000000000001</v>
      </c>
      <c r="C154" s="1" t="str">
        <f t="shared" si="1"/>
        <v/>
      </c>
      <c r="D154" s="1">
        <v>9.1499999999999998E-2</v>
      </c>
      <c r="E154" s="1" t="str">
        <f t="shared" si="2"/>
        <v/>
      </c>
      <c r="F154" s="1">
        <v>4.2299999999999997E-2</v>
      </c>
      <c r="G154" s="1">
        <v>3.4099999999999998E-2</v>
      </c>
      <c r="H154" s="1"/>
    </row>
    <row r="155" spans="1:8" x14ac:dyDescent="0.3">
      <c r="A155" s="3">
        <v>1973</v>
      </c>
      <c r="B155" s="1">
        <v>-0.1469</v>
      </c>
      <c r="C155" s="1">
        <f t="shared" si="1"/>
        <v>-0.1469</v>
      </c>
      <c r="D155" s="1">
        <v>-0.12659999999999999</v>
      </c>
      <c r="E155" s="1">
        <f t="shared" si="2"/>
        <v>-0.12659999999999999</v>
      </c>
      <c r="F155" s="1">
        <v>7.2900000000000006E-2</v>
      </c>
      <c r="G155" s="1">
        <v>8.7099999999999997E-2</v>
      </c>
      <c r="H155" s="1"/>
    </row>
    <row r="156" spans="1:8" x14ac:dyDescent="0.3">
      <c r="A156" s="3">
        <v>1974</v>
      </c>
      <c r="B156" s="1">
        <v>-0.26469999999999999</v>
      </c>
      <c r="C156" s="1">
        <f t="shared" si="1"/>
        <v>-0.26469999999999999</v>
      </c>
      <c r="D156" s="1">
        <v>-3.2800000000000003E-2</v>
      </c>
      <c r="E156" s="1">
        <f t="shared" si="2"/>
        <v>-3.2800000000000003E-2</v>
      </c>
      <c r="F156" s="1">
        <v>7.9899999999999999E-2</v>
      </c>
      <c r="G156" s="1">
        <v>0.1234</v>
      </c>
      <c r="H156" s="1"/>
    </row>
    <row r="157" spans="1:8" x14ac:dyDescent="0.3">
      <c r="A157" s="3">
        <v>1975</v>
      </c>
      <c r="B157" s="1">
        <v>0.37230000000000002</v>
      </c>
      <c r="C157" s="1" t="str">
        <f t="shared" si="1"/>
        <v/>
      </c>
      <c r="D157" s="1">
        <v>4.6699999999999998E-2</v>
      </c>
      <c r="E157" s="1" t="str">
        <f t="shared" si="2"/>
        <v/>
      </c>
      <c r="F157" s="1">
        <v>5.8700000000000002E-2</v>
      </c>
      <c r="G157" s="1">
        <v>6.9400000000000003E-2</v>
      </c>
      <c r="H157" s="1"/>
    </row>
    <row r="158" spans="1:8" x14ac:dyDescent="0.3">
      <c r="A158" s="3">
        <v>1976</v>
      </c>
      <c r="B158" s="1">
        <v>0.23930000000000001</v>
      </c>
      <c r="C158" s="1" t="str">
        <f t="shared" si="1"/>
        <v/>
      </c>
      <c r="D158" s="1">
        <v>0.18340000000000001</v>
      </c>
      <c r="E158" s="1" t="str">
        <f t="shared" si="2"/>
        <v/>
      </c>
      <c r="F158" s="1">
        <v>5.0700000000000002E-2</v>
      </c>
      <c r="G158" s="1">
        <v>4.8599999999999997E-2</v>
      </c>
      <c r="H158" s="1"/>
    </row>
    <row r="159" spans="1:8" x14ac:dyDescent="0.3">
      <c r="A159" s="3">
        <v>1977</v>
      </c>
      <c r="B159" s="1">
        <v>-7.1599999999999997E-2</v>
      </c>
      <c r="C159" s="1">
        <f t="shared" si="1"/>
        <v>-7.1599999999999997E-2</v>
      </c>
      <c r="D159" s="1">
        <v>2.3099999999999999E-2</v>
      </c>
      <c r="E159" s="1" t="str">
        <f t="shared" si="2"/>
        <v/>
      </c>
      <c r="F159" s="1">
        <v>5.45E-2</v>
      </c>
      <c r="G159" s="1">
        <v>6.7000000000000004E-2</v>
      </c>
      <c r="H159" s="1"/>
    </row>
    <row r="160" spans="1:8" x14ac:dyDescent="0.3">
      <c r="A160" s="3">
        <v>1978</v>
      </c>
      <c r="B160" s="1">
        <v>6.5699999999999995E-2</v>
      </c>
      <c r="C160" s="1" t="str">
        <f t="shared" si="1"/>
        <v/>
      </c>
      <c r="D160" s="1">
        <v>-2.07E-2</v>
      </c>
      <c r="E160" s="1">
        <f t="shared" si="2"/>
        <v>-2.07E-2</v>
      </c>
      <c r="F160" s="1">
        <v>7.6399999999999996E-2</v>
      </c>
      <c r="G160" s="1">
        <v>9.0200000000000002E-2</v>
      </c>
      <c r="H160" s="1"/>
    </row>
    <row r="161" spans="1:8" x14ac:dyDescent="0.3">
      <c r="A161" s="3">
        <v>1979</v>
      </c>
      <c r="B161" s="1">
        <v>0.18609999999999999</v>
      </c>
      <c r="C161" s="1" t="str">
        <f t="shared" si="1"/>
        <v/>
      </c>
      <c r="D161" s="1">
        <v>-2.76E-2</v>
      </c>
      <c r="E161" s="1">
        <f t="shared" si="2"/>
        <v>-2.76E-2</v>
      </c>
      <c r="F161" s="1">
        <v>0.1056</v>
      </c>
      <c r="G161" s="1">
        <v>0.13289999999999999</v>
      </c>
      <c r="H161" s="1"/>
    </row>
    <row r="162" spans="1:8" x14ac:dyDescent="0.3">
      <c r="A162" s="3">
        <v>1980</v>
      </c>
      <c r="B162" s="1">
        <v>0.32500000000000001</v>
      </c>
      <c r="C162" s="1" t="str">
        <f t="shared" si="1"/>
        <v/>
      </c>
      <c r="D162" s="1">
        <v>-5.91E-2</v>
      </c>
      <c r="E162" s="1">
        <f t="shared" si="2"/>
        <v>-5.91E-2</v>
      </c>
      <c r="F162" s="1">
        <v>0.121</v>
      </c>
      <c r="G162" s="1">
        <v>0.12520000000000001</v>
      </c>
      <c r="H162" s="1"/>
    </row>
    <row r="163" spans="1:8" x14ac:dyDescent="0.3">
      <c r="A163" s="3">
        <v>1981</v>
      </c>
      <c r="B163" s="1">
        <v>-4.9200000000000001E-2</v>
      </c>
      <c r="C163" s="1">
        <f t="shared" si="1"/>
        <v>-4.9200000000000001E-2</v>
      </c>
      <c r="D163" s="1">
        <v>-1.6000000000000001E-3</v>
      </c>
      <c r="E163" s="1">
        <f t="shared" si="2"/>
        <v>-1.6000000000000001E-3</v>
      </c>
      <c r="F163" s="1">
        <v>0.14599999999999999</v>
      </c>
      <c r="G163" s="1">
        <v>8.9200000000000002E-2</v>
      </c>
      <c r="H163" s="1"/>
    </row>
    <row r="164" spans="1:8" x14ac:dyDescent="0.3">
      <c r="A164" s="3">
        <v>1982</v>
      </c>
      <c r="B164" s="1">
        <v>0.2155</v>
      </c>
      <c r="C164" s="1" t="str">
        <f t="shared" si="1"/>
        <v/>
      </c>
      <c r="D164" s="1">
        <v>0.49990000000000001</v>
      </c>
      <c r="E164" s="1" t="str">
        <f t="shared" si="2"/>
        <v/>
      </c>
      <c r="F164" s="1">
        <v>0.1094</v>
      </c>
      <c r="G164" s="1">
        <v>3.8300000000000001E-2</v>
      </c>
      <c r="H164" s="1"/>
    </row>
    <row r="165" spans="1:8" x14ac:dyDescent="0.3">
      <c r="A165" s="3">
        <v>1983</v>
      </c>
      <c r="B165" s="1">
        <v>0.22559999999999999</v>
      </c>
      <c r="C165" s="1" t="str">
        <f t="shared" si="1"/>
        <v/>
      </c>
      <c r="D165" s="1">
        <v>-2.1100000000000001E-2</v>
      </c>
      <c r="E165" s="1">
        <f t="shared" si="2"/>
        <v>-2.1100000000000001E-2</v>
      </c>
      <c r="F165" s="1">
        <v>8.9899999999999994E-2</v>
      </c>
      <c r="G165" s="1">
        <v>3.7900000000000003E-2</v>
      </c>
      <c r="H165" s="1"/>
    </row>
    <row r="166" spans="1:8" x14ac:dyDescent="0.3">
      <c r="A166" s="3">
        <v>1984</v>
      </c>
      <c r="B166" s="1">
        <v>6.2700000000000006E-2</v>
      </c>
      <c r="C166" s="1" t="str">
        <f t="shared" si="1"/>
        <v/>
      </c>
      <c r="D166" s="1">
        <v>0.1653</v>
      </c>
      <c r="E166" s="1" t="str">
        <f t="shared" si="2"/>
        <v/>
      </c>
      <c r="F166" s="1">
        <v>9.9000000000000005E-2</v>
      </c>
      <c r="G166" s="1">
        <v>3.95E-2</v>
      </c>
      <c r="H166" s="1"/>
    </row>
    <row r="167" spans="1:8" x14ac:dyDescent="0.3">
      <c r="A167" s="3">
        <v>1985</v>
      </c>
      <c r="B167" s="1">
        <v>0.31730000000000003</v>
      </c>
      <c r="C167" s="1" t="str">
        <f t="shared" si="1"/>
        <v/>
      </c>
      <c r="D167" s="1">
        <v>0.39029999999999998</v>
      </c>
      <c r="E167" s="1" t="str">
        <f t="shared" si="2"/>
        <v/>
      </c>
      <c r="F167" s="1">
        <v>7.7100000000000002E-2</v>
      </c>
      <c r="G167" s="1">
        <v>3.7999999999999999E-2</v>
      </c>
      <c r="H167" s="1"/>
    </row>
    <row r="168" spans="1:8" x14ac:dyDescent="0.3">
      <c r="A168" s="3">
        <v>1986</v>
      </c>
      <c r="B168" s="1">
        <v>0.1867</v>
      </c>
      <c r="C168" s="1" t="str">
        <f t="shared" si="1"/>
        <v/>
      </c>
      <c r="D168" s="1">
        <v>0.3251</v>
      </c>
      <c r="E168" s="1" t="str">
        <f t="shared" si="2"/>
        <v/>
      </c>
      <c r="F168" s="1">
        <v>6.0900000000000003E-2</v>
      </c>
      <c r="G168" s="1">
        <v>1.0999999999999999E-2</v>
      </c>
      <c r="H168" s="1"/>
    </row>
    <row r="169" spans="1:8" x14ac:dyDescent="0.3">
      <c r="A169" s="3">
        <v>1987</v>
      </c>
      <c r="B169" s="1">
        <v>5.2499999999999998E-2</v>
      </c>
      <c r="C169" s="1" t="str">
        <f t="shared" si="1"/>
        <v/>
      </c>
      <c r="D169" s="1">
        <v>-8.09E-2</v>
      </c>
      <c r="E169" s="1">
        <f t="shared" si="2"/>
        <v>-8.09E-2</v>
      </c>
      <c r="F169" s="1">
        <v>5.8799999999999998E-2</v>
      </c>
      <c r="G169" s="1">
        <v>4.4299999999999999E-2</v>
      </c>
      <c r="H169" s="1"/>
    </row>
    <row r="170" spans="1:8" x14ac:dyDescent="0.3">
      <c r="A170" s="3">
        <v>1988</v>
      </c>
      <c r="B170" s="1">
        <v>0.1661</v>
      </c>
      <c r="C170" s="1" t="str">
        <f t="shared" si="1"/>
        <v/>
      </c>
      <c r="D170" s="1">
        <v>8.7099999999999997E-2</v>
      </c>
      <c r="E170" s="1" t="str">
        <f t="shared" si="2"/>
        <v/>
      </c>
      <c r="F170" s="1">
        <v>6.9400000000000003E-2</v>
      </c>
      <c r="G170" s="1">
        <v>4.4200000000000003E-2</v>
      </c>
      <c r="H170" s="1"/>
    </row>
    <row r="171" spans="1:8" x14ac:dyDescent="0.3">
      <c r="A171" s="3">
        <v>1989</v>
      </c>
      <c r="B171" s="1">
        <v>0.31690000000000002</v>
      </c>
      <c r="C171" s="1" t="str">
        <f t="shared" si="1"/>
        <v/>
      </c>
      <c r="D171" s="1">
        <v>0.2215</v>
      </c>
      <c r="E171" s="1" t="str">
        <f t="shared" si="2"/>
        <v/>
      </c>
      <c r="F171" s="1">
        <v>8.4400000000000003E-2</v>
      </c>
      <c r="G171" s="1">
        <v>4.65E-2</v>
      </c>
      <c r="H171" s="1"/>
    </row>
    <row r="172" spans="1:8" x14ac:dyDescent="0.3">
      <c r="A172" s="3">
        <v>1990</v>
      </c>
      <c r="B172" s="1">
        <v>-3.1E-2</v>
      </c>
      <c r="C172" s="1">
        <f t="shared" si="1"/>
        <v>-3.1E-2</v>
      </c>
      <c r="D172" s="1">
        <v>5.4399999999999997E-2</v>
      </c>
      <c r="E172" s="1" t="str">
        <f t="shared" si="2"/>
        <v/>
      </c>
      <c r="F172" s="1">
        <v>7.6899999999999996E-2</v>
      </c>
      <c r="G172" s="1">
        <v>6.1100000000000002E-2</v>
      </c>
      <c r="H172" s="1"/>
    </row>
    <row r="173" spans="1:8" x14ac:dyDescent="0.3">
      <c r="A173" s="3">
        <v>1991</v>
      </c>
      <c r="B173" s="1">
        <v>0.30459999999999998</v>
      </c>
      <c r="C173" s="1" t="str">
        <f t="shared" ref="C173:C190" si="3">IF(B173&lt;0,B173,"")</f>
        <v/>
      </c>
      <c r="D173" s="1">
        <v>0.20039999999999999</v>
      </c>
      <c r="E173" s="1" t="str">
        <f t="shared" ref="E173:E190" si="4">IF(D173&lt;0,D173,"")</f>
        <v/>
      </c>
      <c r="F173" s="1">
        <v>5.4300000000000001E-2</v>
      </c>
      <c r="G173" s="1">
        <v>3.0599999999999999E-2</v>
      </c>
      <c r="H173" s="1"/>
    </row>
    <row r="174" spans="1:8" x14ac:dyDescent="0.3">
      <c r="A174" s="3">
        <v>1992</v>
      </c>
      <c r="B174" s="1">
        <v>7.6200000000000004E-2</v>
      </c>
      <c r="C174" s="1" t="str">
        <f t="shared" si="3"/>
        <v/>
      </c>
      <c r="D174" s="1">
        <v>8.09E-2</v>
      </c>
      <c r="E174" s="1" t="str">
        <f t="shared" si="4"/>
        <v/>
      </c>
      <c r="F174" s="1">
        <v>3.4799999999999998E-2</v>
      </c>
      <c r="G174" s="1">
        <v>2.9000000000000001E-2</v>
      </c>
      <c r="H174" s="1"/>
    </row>
    <row r="175" spans="1:8" x14ac:dyDescent="0.3">
      <c r="A175" s="3">
        <v>1993</v>
      </c>
      <c r="B175" s="1">
        <v>0.1008</v>
      </c>
      <c r="C175" s="1" t="str">
        <f t="shared" si="3"/>
        <v/>
      </c>
      <c r="D175" s="1">
        <v>0.22320000000000001</v>
      </c>
      <c r="E175" s="1" t="str">
        <f t="shared" si="4"/>
        <v/>
      </c>
      <c r="F175" s="1">
        <v>3.0300000000000001E-2</v>
      </c>
      <c r="G175" s="1">
        <v>2.75E-2</v>
      </c>
      <c r="H175" s="1"/>
    </row>
    <row r="176" spans="1:8" x14ac:dyDescent="0.3">
      <c r="A176" s="3">
        <v>1994</v>
      </c>
      <c r="B176" s="1">
        <v>1.32E-2</v>
      </c>
      <c r="C176" s="1" t="str">
        <f t="shared" si="3"/>
        <v/>
      </c>
      <c r="D176" s="1">
        <v>-0.11459999999999999</v>
      </c>
      <c r="E176" s="1">
        <f t="shared" si="4"/>
        <v>-0.11459999999999999</v>
      </c>
      <c r="F176" s="1">
        <v>4.3900000000000002E-2</v>
      </c>
      <c r="G176" s="1">
        <v>2.6700000000000002E-2</v>
      </c>
      <c r="H176" s="1"/>
    </row>
    <row r="177" spans="1:8" x14ac:dyDescent="0.3">
      <c r="A177" s="3">
        <v>1995</v>
      </c>
      <c r="B177" s="1">
        <v>0.37580000000000002</v>
      </c>
      <c r="C177" s="1" t="str">
        <f t="shared" si="3"/>
        <v/>
      </c>
      <c r="D177" s="1">
        <v>0.37280000000000002</v>
      </c>
      <c r="E177" s="1" t="str">
        <f t="shared" si="4"/>
        <v/>
      </c>
      <c r="F177" s="1">
        <v>5.6099999999999997E-2</v>
      </c>
      <c r="G177" s="1">
        <v>2.5399999999999999E-2</v>
      </c>
      <c r="H177" s="1"/>
    </row>
    <row r="178" spans="1:8" x14ac:dyDescent="0.3">
      <c r="A178" s="3">
        <v>1996</v>
      </c>
      <c r="B178" s="1">
        <v>0.2296</v>
      </c>
      <c r="C178" s="1" t="str">
        <f t="shared" si="3"/>
        <v/>
      </c>
      <c r="D178" s="1">
        <v>-2.5899999999999999E-2</v>
      </c>
      <c r="E178" s="1">
        <f t="shared" si="4"/>
        <v>-2.5899999999999999E-2</v>
      </c>
      <c r="F178" s="1">
        <v>5.1400000000000001E-2</v>
      </c>
      <c r="G178" s="1">
        <v>3.32E-2</v>
      </c>
      <c r="H178" s="1"/>
    </row>
    <row r="179" spans="1:8" x14ac:dyDescent="0.3">
      <c r="A179" s="3">
        <v>1997</v>
      </c>
      <c r="B179" s="1">
        <v>0.33360000000000001</v>
      </c>
      <c r="C179" s="1" t="str">
        <f t="shared" si="3"/>
        <v/>
      </c>
      <c r="D179" s="1">
        <v>0.17699999999999999</v>
      </c>
      <c r="E179" s="1" t="str">
        <f t="shared" si="4"/>
        <v/>
      </c>
      <c r="F179" s="1">
        <v>5.1900000000000002E-2</v>
      </c>
      <c r="G179" s="1">
        <v>1.7000000000000001E-2</v>
      </c>
      <c r="H179" s="1"/>
    </row>
    <row r="180" spans="1:8" x14ac:dyDescent="0.3">
      <c r="A180" s="3">
        <v>1998</v>
      </c>
      <c r="B180" s="1">
        <v>0.2858</v>
      </c>
      <c r="C180" s="1" t="str">
        <f t="shared" si="3"/>
        <v/>
      </c>
      <c r="D180" s="1">
        <v>0.19220000000000001</v>
      </c>
      <c r="E180" s="1" t="str">
        <f t="shared" si="4"/>
        <v/>
      </c>
      <c r="F180" s="1">
        <v>4.8599999999999997E-2</v>
      </c>
      <c r="G180" s="1">
        <v>1.61E-2</v>
      </c>
      <c r="H180" s="1"/>
    </row>
    <row r="181" spans="1:8" x14ac:dyDescent="0.3">
      <c r="A181" s="3">
        <v>1999</v>
      </c>
      <c r="B181" s="1">
        <v>0.2104</v>
      </c>
      <c r="C181" s="1" t="str">
        <f t="shared" si="3"/>
        <v/>
      </c>
      <c r="D181" s="1">
        <v>-0.12759999999999999</v>
      </c>
      <c r="E181" s="1">
        <f t="shared" si="4"/>
        <v>-0.12759999999999999</v>
      </c>
      <c r="F181" s="1">
        <v>4.8000000000000001E-2</v>
      </c>
      <c r="G181" s="1">
        <v>2.6800000000000001E-2</v>
      </c>
      <c r="H181" s="1"/>
    </row>
    <row r="182" spans="1:8" x14ac:dyDescent="0.3">
      <c r="A182" s="3">
        <v>2000</v>
      </c>
      <c r="B182" s="1">
        <v>-9.0999999999999998E-2</v>
      </c>
      <c r="C182" s="1">
        <f t="shared" si="3"/>
        <v>-9.0999999999999998E-2</v>
      </c>
      <c r="D182" s="1">
        <v>0.22159999999999999</v>
      </c>
      <c r="E182" s="1" t="str">
        <f t="shared" si="4"/>
        <v/>
      </c>
      <c r="F182" s="1">
        <v>5.9799999999999999E-2</v>
      </c>
      <c r="G182" s="1">
        <v>3.39E-2</v>
      </c>
      <c r="H182" s="1"/>
    </row>
    <row r="183" spans="1:8" x14ac:dyDescent="0.3">
      <c r="A183" s="3">
        <v>2001</v>
      </c>
      <c r="B183" s="1">
        <v>-0.11890000000000001</v>
      </c>
      <c r="C183" s="1">
        <f t="shared" si="3"/>
        <v>-0.11890000000000001</v>
      </c>
      <c r="D183" s="1">
        <v>5.2999999999999999E-2</v>
      </c>
      <c r="E183" s="1" t="str">
        <f t="shared" si="4"/>
        <v/>
      </c>
      <c r="F183" s="1">
        <v>3.3300000000000003E-2</v>
      </c>
      <c r="G183" s="1">
        <v>1.55E-2</v>
      </c>
      <c r="H183" s="1"/>
    </row>
    <row r="184" spans="1:8" x14ac:dyDescent="0.3">
      <c r="A184" s="3">
        <v>2002</v>
      </c>
      <c r="B184" s="1">
        <v>-0.221</v>
      </c>
      <c r="C184" s="1">
        <f t="shared" si="3"/>
        <v>-0.221</v>
      </c>
      <c r="D184" s="1">
        <v>0.14080000000000001</v>
      </c>
      <c r="E184" s="1" t="str">
        <f t="shared" si="4"/>
        <v/>
      </c>
      <c r="F184" s="1">
        <v>1.61E-2</v>
      </c>
      <c r="G184" s="1">
        <v>2.3800000000000002E-2</v>
      </c>
      <c r="H184" s="1"/>
    </row>
    <row r="185" spans="1:8" x14ac:dyDescent="0.3">
      <c r="A185" s="3">
        <v>2003</v>
      </c>
      <c r="B185" s="1">
        <v>0.2868</v>
      </c>
      <c r="C185" s="1" t="str">
        <f t="shared" si="3"/>
        <v/>
      </c>
      <c r="D185" s="1">
        <v>1.6199999999999999E-2</v>
      </c>
      <c r="E185" s="1" t="str">
        <f t="shared" si="4"/>
        <v/>
      </c>
      <c r="F185" s="1">
        <v>1.03E-2</v>
      </c>
      <c r="G185" s="1">
        <v>1.8800000000000001E-2</v>
      </c>
      <c r="H185" s="1"/>
    </row>
    <row r="186" spans="1:8" x14ac:dyDescent="0.3">
      <c r="A186" s="3">
        <v>2004</v>
      </c>
      <c r="B186" s="1">
        <v>0.10879999999999999</v>
      </c>
      <c r="C186" s="1" t="str">
        <f t="shared" si="3"/>
        <v/>
      </c>
      <c r="D186" s="1">
        <v>0.10340000000000001</v>
      </c>
      <c r="E186" s="1" t="str">
        <f t="shared" si="4"/>
        <v/>
      </c>
      <c r="F186" s="1">
        <v>1.43E-2</v>
      </c>
      <c r="G186" s="1">
        <v>3.2599999999999997E-2</v>
      </c>
      <c r="H186" s="1"/>
    </row>
    <row r="187" spans="1:8" x14ac:dyDescent="0.3">
      <c r="A187" s="3">
        <v>2005</v>
      </c>
      <c r="B187" s="1">
        <v>4.9099999999999998E-2</v>
      </c>
      <c r="C187" s="1" t="str">
        <f t="shared" si="3"/>
        <v/>
      </c>
      <c r="D187" s="1">
        <v>0.10349999999999999</v>
      </c>
      <c r="E187" s="1" t="str">
        <f t="shared" si="4"/>
        <v/>
      </c>
      <c r="F187" s="1">
        <v>3.3000000000000002E-2</v>
      </c>
      <c r="G187" s="1">
        <v>3.4200000000000001E-2</v>
      </c>
      <c r="H187" s="1"/>
    </row>
    <row r="188" spans="1:8" x14ac:dyDescent="0.3">
      <c r="A188" s="3">
        <v>2006</v>
      </c>
      <c r="B188" s="1">
        <v>0.15790000000000001</v>
      </c>
      <c r="C188" s="1" t="str">
        <f t="shared" si="3"/>
        <v/>
      </c>
      <c r="D188" s="1">
        <v>2.8E-3</v>
      </c>
      <c r="E188" s="1" t="str">
        <f t="shared" si="4"/>
        <v/>
      </c>
      <c r="F188" s="1">
        <v>4.9700000000000001E-2</v>
      </c>
      <c r="G188" s="1">
        <v>2.5399999999999999E-2</v>
      </c>
      <c r="H188" s="1"/>
    </row>
    <row r="189" spans="1:8" x14ac:dyDescent="0.3">
      <c r="A189" s="3">
        <v>2007</v>
      </c>
      <c r="B189" s="1">
        <v>5.4899999999999997E-2</v>
      </c>
      <c r="C189" s="1" t="str">
        <f t="shared" si="3"/>
        <v/>
      </c>
      <c r="D189" s="1">
        <v>0.1085</v>
      </c>
      <c r="E189" s="1" t="str">
        <f t="shared" si="4"/>
        <v/>
      </c>
      <c r="F189" s="1">
        <v>4.5199999999999997E-2</v>
      </c>
      <c r="G189" s="1">
        <v>4.0800000000000003E-2</v>
      </c>
      <c r="H189" s="1"/>
    </row>
    <row r="190" spans="1:8" x14ac:dyDescent="0.3">
      <c r="A190" s="3">
        <v>2008</v>
      </c>
      <c r="B190" s="1">
        <v>-0.37</v>
      </c>
      <c r="C190" s="1">
        <f t="shared" si="3"/>
        <v>-0.37</v>
      </c>
      <c r="D190" s="1">
        <v>0.39460000000000001</v>
      </c>
      <c r="E190" s="1" t="str">
        <f t="shared" si="4"/>
        <v/>
      </c>
      <c r="F190" s="1">
        <v>1.24E-2</v>
      </c>
      <c r="G190" s="1">
        <v>8.9999999999999998E-4</v>
      </c>
      <c r="H190" s="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FF"/>
  </sheetPr>
  <dimension ref="A1:G21"/>
  <sheetViews>
    <sheetView zoomScaleNormal="100" workbookViewId="0"/>
  </sheetViews>
  <sheetFormatPr defaultRowHeight="14.4" x14ac:dyDescent="0.3"/>
  <cols>
    <col min="1" max="1" width="25.88671875" bestFit="1" customWidth="1"/>
    <col min="2" max="2" width="18.109375" customWidth="1"/>
    <col min="3" max="3" width="16.33203125" customWidth="1"/>
    <col min="4" max="4" width="13.21875" customWidth="1"/>
  </cols>
  <sheetData>
    <row r="1" spans="1:7" x14ac:dyDescent="0.3">
      <c r="A1" s="58" t="s">
        <v>170</v>
      </c>
      <c r="B1" s="58"/>
      <c r="C1" s="58"/>
      <c r="D1" s="58"/>
      <c r="E1" s="58"/>
    </row>
    <row r="2" spans="1:7" ht="30.6" x14ac:dyDescent="0.35">
      <c r="A2" s="2" t="s">
        <v>24</v>
      </c>
      <c r="B2" s="2" t="s">
        <v>30</v>
      </c>
      <c r="C2" s="2" t="s">
        <v>31</v>
      </c>
      <c r="D2" s="2" t="s">
        <v>195</v>
      </c>
      <c r="E2" t="s">
        <v>196</v>
      </c>
    </row>
    <row r="3" spans="1:7" x14ac:dyDescent="0.3">
      <c r="A3" s="3" t="s">
        <v>25</v>
      </c>
      <c r="B3" s="1">
        <v>0.11700000000000001</v>
      </c>
      <c r="C3" s="19"/>
      <c r="D3" s="19"/>
      <c r="F3" s="4"/>
    </row>
    <row r="4" spans="1:7" x14ac:dyDescent="0.3">
      <c r="A4" s="3" t="s">
        <v>26</v>
      </c>
      <c r="B4" s="1">
        <v>0.16400000000000001</v>
      </c>
      <c r="C4" s="19"/>
      <c r="D4" s="19"/>
      <c r="F4" s="4"/>
    </row>
    <row r="5" spans="1:7" x14ac:dyDescent="0.3">
      <c r="A5" s="3" t="s">
        <v>27</v>
      </c>
      <c r="B5" s="1">
        <v>6.2E-2</v>
      </c>
      <c r="C5" s="19"/>
      <c r="D5" s="19"/>
      <c r="F5" s="4"/>
    </row>
    <row r="6" spans="1:7" x14ac:dyDescent="0.3">
      <c r="A6" s="3" t="s">
        <v>28</v>
      </c>
      <c r="B6" s="1">
        <v>6.0999999999999999E-2</v>
      </c>
      <c r="C6" s="19"/>
      <c r="D6" s="19"/>
      <c r="F6" s="4"/>
    </row>
    <row r="7" spans="1:7" ht="15.6" x14ac:dyDescent="0.35">
      <c r="A7" s="3" t="s">
        <v>32</v>
      </c>
      <c r="B7" s="1">
        <v>3.7999999999999999E-2</v>
      </c>
      <c r="C7" s="19"/>
      <c r="D7" s="19"/>
      <c r="F7" s="4"/>
    </row>
    <row r="8" spans="1:7" x14ac:dyDescent="0.3">
      <c r="A8" s="3" t="s">
        <v>33</v>
      </c>
      <c r="B8" s="1">
        <v>3.1E-2</v>
      </c>
      <c r="C8" s="3"/>
      <c r="D8" s="19"/>
      <c r="F8" s="4"/>
    </row>
    <row r="10" spans="1:7" ht="28.8" x14ac:dyDescent="0.3">
      <c r="A10" s="59" t="s">
        <v>81</v>
      </c>
      <c r="B10" s="59"/>
      <c r="C10" s="59"/>
      <c r="D10" s="59"/>
      <c r="E10" s="59"/>
    </row>
    <row r="12" spans="1:7" ht="59.4" x14ac:dyDescent="0.45">
      <c r="A12" s="39" t="s">
        <v>171</v>
      </c>
      <c r="D12" s="42" t="s">
        <v>43</v>
      </c>
      <c r="E12" s="42"/>
      <c r="F12" s="42" t="s">
        <v>141</v>
      </c>
      <c r="G12" s="42"/>
    </row>
    <row r="13" spans="1:7" ht="30" x14ac:dyDescent="0.35">
      <c r="A13" s="2" t="s">
        <v>24</v>
      </c>
      <c r="B13" s="2" t="s">
        <v>30</v>
      </c>
      <c r="C13" s="40" t="s">
        <v>98</v>
      </c>
      <c r="D13" s="40" t="s">
        <v>44</v>
      </c>
      <c r="E13" s="40" t="s">
        <v>45</v>
      </c>
      <c r="F13" s="40" t="s">
        <v>44</v>
      </c>
      <c r="G13" s="40" t="s">
        <v>45</v>
      </c>
    </row>
    <row r="14" spans="1:7" x14ac:dyDescent="0.3">
      <c r="A14" s="3" t="s">
        <v>25</v>
      </c>
      <c r="B14" s="1">
        <v>0.11700000000000001</v>
      </c>
      <c r="C14" s="41">
        <v>0.20599999999999999</v>
      </c>
      <c r="D14" s="19"/>
      <c r="E14" s="19"/>
      <c r="F14" s="67"/>
      <c r="G14" s="67"/>
    </row>
    <row r="15" spans="1:7" x14ac:dyDescent="0.3">
      <c r="A15" s="3" t="s">
        <v>26</v>
      </c>
      <c r="B15" s="1">
        <v>0.16400000000000001</v>
      </c>
      <c r="C15" s="41">
        <v>0.33</v>
      </c>
      <c r="D15" s="19"/>
      <c r="E15" s="19"/>
      <c r="F15" s="67"/>
      <c r="G15" s="67"/>
    </row>
    <row r="16" spans="1:7" x14ac:dyDescent="0.3">
      <c r="A16" s="3" t="s">
        <v>27</v>
      </c>
      <c r="B16" s="1">
        <v>6.2E-2</v>
      </c>
      <c r="C16" s="41">
        <v>8.4000000000000005E-2</v>
      </c>
      <c r="D16" s="19"/>
      <c r="E16" s="19"/>
      <c r="F16" s="67"/>
      <c r="G16" s="67"/>
    </row>
    <row r="17" spans="1:7" x14ac:dyDescent="0.3">
      <c r="A17" s="3" t="s">
        <v>28</v>
      </c>
      <c r="B17" s="1">
        <v>6.0999999999999999E-2</v>
      </c>
      <c r="C17" s="41">
        <v>9.4E-2</v>
      </c>
      <c r="D17" s="19"/>
      <c r="E17" s="19"/>
      <c r="F17" s="67"/>
      <c r="G17" s="67"/>
    </row>
    <row r="18" spans="1:7" ht="15.6" x14ac:dyDescent="0.35">
      <c r="A18" s="3" t="s">
        <v>32</v>
      </c>
      <c r="B18" s="1">
        <v>3.7999999999999999E-2</v>
      </c>
      <c r="C18" s="41">
        <v>3.1E-2</v>
      </c>
      <c r="D18" s="19"/>
      <c r="E18" s="19"/>
      <c r="F18" s="67"/>
      <c r="G18" s="67"/>
    </row>
    <row r="19" spans="1:7" x14ac:dyDescent="0.3">
      <c r="A19" s="3" t="s">
        <v>33</v>
      </c>
      <c r="B19" s="1">
        <v>3.1E-2</v>
      </c>
      <c r="C19" s="41">
        <v>4.2000000000000003E-2</v>
      </c>
      <c r="D19" s="19"/>
      <c r="E19" s="19"/>
      <c r="F19" s="67"/>
      <c r="G19" s="67"/>
    </row>
    <row r="21" spans="1:7" ht="28.8" x14ac:dyDescent="0.3">
      <c r="A21" s="59" t="s">
        <v>82</v>
      </c>
      <c r="B21" s="59"/>
      <c r="C21" s="59"/>
      <c r="D21" s="59"/>
      <c r="E21" s="5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FF"/>
  </sheetPr>
  <dimension ref="A1:AG84"/>
  <sheetViews>
    <sheetView showGridLines="0" zoomScale="40" zoomScaleNormal="40" workbookViewId="0">
      <selection activeCell="D1" sqref="D1"/>
    </sheetView>
  </sheetViews>
  <sheetFormatPr defaultRowHeight="14.4" x14ac:dyDescent="0.3"/>
  <cols>
    <col min="1" max="1" width="10" bestFit="1" customWidth="1"/>
    <col min="9" max="9" width="1.6640625" customWidth="1"/>
    <col min="10" max="11" width="8.88671875" customWidth="1"/>
    <col min="12" max="12" width="9.88671875" bestFit="1" customWidth="1"/>
    <col min="13" max="13" width="11" customWidth="1"/>
    <col min="14" max="33" width="3.44140625" customWidth="1"/>
  </cols>
  <sheetData>
    <row r="1" spans="1:33" ht="72" x14ac:dyDescent="0.3">
      <c r="B1" s="17" t="s">
        <v>0</v>
      </c>
      <c r="C1" s="17" t="s">
        <v>35</v>
      </c>
      <c r="D1" s="17" t="str">
        <f>"Historical "&amp;C1</f>
        <v>Historical Large Company Returns</v>
      </c>
      <c r="E1" s="17" t="s">
        <v>36</v>
      </c>
      <c r="F1" s="17" t="str">
        <f>"Historical "&amp;E1</f>
        <v>Historical 20 Year Gov Bond Returns</v>
      </c>
      <c r="G1" s="17" t="s">
        <v>3</v>
      </c>
      <c r="H1" s="17" t="str">
        <f>"Historical "&amp;G1</f>
        <v>Historical US Treasury Bills</v>
      </c>
      <c r="L1" s="23" t="s">
        <v>37</v>
      </c>
      <c r="M1" s="23" t="s">
        <v>38</v>
      </c>
    </row>
    <row r="2" spans="1:33" ht="54" customHeight="1" thickBot="1" x14ac:dyDescent="0.35">
      <c r="A2" t="str">
        <f>B2&amp;" - "&amp;TEXT(C2,"0%")</f>
        <v>1926 - 11%</v>
      </c>
      <c r="B2" s="3">
        <v>1926</v>
      </c>
      <c r="C2" s="1">
        <f>Data!B108</f>
        <v>0.1114</v>
      </c>
      <c r="D2" s="3">
        <v>1</v>
      </c>
      <c r="E2" s="1">
        <f>Data!D108</f>
        <v>7.9000000000000001E-2</v>
      </c>
      <c r="F2" s="21">
        <v>0.97</v>
      </c>
      <c r="G2" s="1">
        <f>Data!F108</f>
        <v>3.3000000000000002E-2</v>
      </c>
      <c r="H2" s="21">
        <v>0.94</v>
      </c>
      <c r="J2" s="22">
        <v>-0.6</v>
      </c>
      <c r="K2" s="22">
        <v>-0.5</v>
      </c>
      <c r="L2" s="26" t="str">
        <f t="shared" ref="L2:L14" si="0">TEXT(J2,"0%")&amp;"-"&amp;CHAR(10)&amp;TEXT(K2,"0%")</f>
        <v>-60%-
-50%</v>
      </c>
      <c r="M2" s="24">
        <f t="shared" ref="M2:M14" si="1">COUNTIFS($C$2:$C$84,"&gt;="&amp;J2,$C$2:$C$84,"&lt;="&amp;K2)</f>
        <v>0</v>
      </c>
      <c r="N2" s="25" t="str">
        <f>IF(COLUMNS($N2:N2)&gt;$M2,"",INDEX($A$2:$A$84,_xlfn.AGGREGATE(15,6,(ROW($A$2:$A$84)-ROW($A$2)+1)/(($C$2:$C$84&gt;=$J2)*($C$2:$C$84&lt;=$K2)),COLUMNS($N2:N2))))</f>
        <v/>
      </c>
      <c r="O2" s="25" t="str">
        <f>IF(COLUMNS($N2:O2)&gt;$M2,"",INDEX($A$2:$A$84,_xlfn.AGGREGATE(15,6,(ROW($A$2:$A$84)-ROW($A$2)+1)/(($C$2:$C$84&gt;=$J2)*($C$2:$C$84&lt;=$K2)),COLUMNS($N2:O2))))</f>
        <v/>
      </c>
      <c r="P2" s="25" t="str">
        <f>IF(COLUMNS($N2:P2)&gt;$M2,"",INDEX($A$2:$A$84,_xlfn.AGGREGATE(15,6,(ROW($A$2:$A$84)-ROW($A$2)+1)/(($C$2:$C$84&gt;=$J2)*($C$2:$C$84&lt;=$K2)),COLUMNS($N2:P2))))</f>
        <v/>
      </c>
      <c r="Q2" s="25" t="str">
        <f>IF(COLUMNS($N2:Q2)&gt;$M2,"",INDEX($A$2:$A$84,_xlfn.AGGREGATE(15,6,(ROW($A$2:$A$84)-ROW($A$2)+1)/(($C$2:$C$84&gt;=$J2)*($C$2:$C$84&lt;=$K2)),COLUMNS($N2:Q2))))</f>
        <v/>
      </c>
      <c r="R2" s="25" t="str">
        <f>IF(COLUMNS($N2:R2)&gt;$M2,"",INDEX($A$2:$A$84,_xlfn.AGGREGATE(15,6,(ROW($A$2:$A$84)-ROW($A$2)+1)/(($C$2:$C$84&gt;=$J2)*($C$2:$C$84&lt;=$K2)),COLUMNS($N2:R2))))</f>
        <v/>
      </c>
      <c r="S2" s="25" t="str">
        <f>IF(COLUMNS($N2:S2)&gt;$M2,"",INDEX($A$2:$A$84,_xlfn.AGGREGATE(15,6,(ROW($A$2:$A$84)-ROW($A$2)+1)/(($C$2:$C$84&gt;=$J2)*($C$2:$C$84&lt;=$K2)),COLUMNS($N2:S2))))</f>
        <v/>
      </c>
      <c r="T2" s="25" t="str">
        <f>IF(COLUMNS($N2:T2)&gt;$M2,"",INDEX($A$2:$A$84,_xlfn.AGGREGATE(15,6,(ROW($A$2:$A$84)-ROW($A$2)+1)/(($C$2:$C$84&gt;=$J2)*($C$2:$C$84&lt;=$K2)),COLUMNS($N2:T2))))</f>
        <v/>
      </c>
      <c r="U2" s="25" t="str">
        <f>IF(COLUMNS($N2:U2)&gt;$M2,"",INDEX($A$2:$A$84,_xlfn.AGGREGATE(15,6,(ROW($A$2:$A$84)-ROW($A$2)+1)/(($C$2:$C$84&gt;=$J2)*($C$2:$C$84&lt;=$K2)),COLUMNS($N2:U2))))</f>
        <v/>
      </c>
      <c r="V2" s="25" t="str">
        <f>IF(COLUMNS($N2:V2)&gt;$M2,"",INDEX($A$2:$A$84,_xlfn.AGGREGATE(15,6,(ROW($A$2:$A$84)-ROW($A$2)+1)/(($C$2:$C$84&gt;=$J2)*($C$2:$C$84&lt;=$K2)),COLUMNS($N2:V2))))</f>
        <v/>
      </c>
      <c r="W2" s="25" t="str">
        <f>IF(COLUMNS($N2:W2)&gt;$M2,"",INDEX($A$2:$A$84,_xlfn.AGGREGATE(15,6,(ROW($A$2:$A$84)-ROW($A$2)+1)/(($C$2:$C$84&gt;=$J2)*($C$2:$C$84&lt;=$K2)),COLUMNS($N2:W2))))</f>
        <v/>
      </c>
      <c r="X2" s="25" t="str">
        <f>IF(COLUMNS($N2:X2)&gt;$M2,"",INDEX($A$2:$A$84,_xlfn.AGGREGATE(15,6,(ROW($A$2:$A$84)-ROW($A$2)+1)/(($C$2:$C$84&gt;=$J2)*($C$2:$C$84&lt;=$K2)),COLUMNS($N2:X2))))</f>
        <v/>
      </c>
      <c r="Y2" s="25" t="str">
        <f>IF(COLUMNS($N2:Y2)&gt;$M2,"",INDEX($A$2:$A$84,_xlfn.AGGREGATE(15,6,(ROW($A$2:$A$84)-ROW($A$2)+1)/(($C$2:$C$84&gt;=$J2)*($C$2:$C$84&lt;=$K2)),COLUMNS($N2:Y2))))</f>
        <v/>
      </c>
      <c r="Z2" s="25" t="str">
        <f>IF(COLUMNS($N2:Z2)&gt;$M2,"",INDEX($A$2:$A$84,_xlfn.AGGREGATE(15,6,(ROW($A$2:$A$84)-ROW($A$2)+1)/(($C$2:$C$84&gt;=$J2)*($C$2:$C$84&lt;=$K2)),COLUMNS($N2:Z2))))</f>
        <v/>
      </c>
      <c r="AA2" s="25" t="str">
        <f>IF(COLUMNS($N2:AA2)&gt;$M2,"",INDEX($A$2:$A$84,_xlfn.AGGREGATE(15,6,(ROW($A$2:$A$84)-ROW($A$2)+1)/(($C$2:$C$84&gt;=$J2)*($C$2:$C$84&lt;=$K2)),COLUMNS($N2:AA2))))</f>
        <v/>
      </c>
      <c r="AB2" s="25" t="str">
        <f>IF(COLUMNS($N2:AB2)&gt;$M2,"",INDEX($A$2:$A$84,_xlfn.AGGREGATE(15,6,(ROW($A$2:$A$84)-ROW($A$2)+1)/(($C$2:$C$84&gt;=$J2)*($C$2:$C$84&lt;=$K2)),COLUMNS($N2:AB2))))</f>
        <v/>
      </c>
      <c r="AC2" s="25" t="str">
        <f>IF(COLUMNS($N2:AC2)&gt;$M2,"",INDEX($A$2:$A$84,_xlfn.AGGREGATE(15,6,(ROW($A$2:$A$84)-ROW($A$2)+1)/(($C$2:$C$84&gt;=$J2)*($C$2:$C$84&lt;=$K2)),COLUMNS($N2:AC2))))</f>
        <v/>
      </c>
      <c r="AD2" s="25" t="str">
        <f>IF(COLUMNS($N2:AD2)&gt;$M2,"",INDEX($A$2:$A$84,_xlfn.AGGREGATE(15,6,(ROW($A$2:$A$84)-ROW($A$2)+1)/(($C$2:$C$84&gt;=$J2)*($C$2:$C$84&lt;=$K2)),COLUMNS($N2:AD2))))</f>
        <v/>
      </c>
      <c r="AE2" s="25" t="str">
        <f>IF(COLUMNS($N2:AE2)&gt;$M2,"",INDEX($A$2:$A$84,_xlfn.AGGREGATE(15,6,(ROW($A$2:$A$84)-ROW($A$2)+1)/(($C$2:$C$84&gt;=$J2)*($C$2:$C$84&lt;=$K2)),COLUMNS($N2:AE2))))</f>
        <v/>
      </c>
      <c r="AF2" s="25" t="str">
        <f>IF(COLUMNS($N2:AF2)&gt;$M2,"",INDEX($A$2:$A$84,_xlfn.AGGREGATE(15,6,(ROW($A$2:$A$84)-ROW($A$2)+1)/(($C$2:$C$84&gt;=$J2)*($C$2:$C$84&lt;=$K2)),COLUMNS($N2:AF2))))</f>
        <v/>
      </c>
      <c r="AG2" s="25" t="str">
        <f>IF(COLUMNS($N2:AG2)&gt;$M2,"",INDEX($A$2:$A$84,_xlfn.AGGREGATE(15,6,(ROW($A$2:$A$84)-ROW($A$2)+1)/(($C$2:$C$84&gt;=$J2)*($C$2:$C$84&lt;=$K2)),COLUMNS($N2:AG2))))</f>
        <v/>
      </c>
    </row>
    <row r="3" spans="1:33" ht="54" customHeight="1" x14ac:dyDescent="0.3">
      <c r="A3" t="str">
        <f t="shared" ref="A3:A66" si="2">B3&amp;" - "&amp;TEXT(C3,"0%")</f>
        <v>1927 - 37%</v>
      </c>
      <c r="B3" s="3">
        <v>1927</v>
      </c>
      <c r="C3" s="1">
        <f>Data!B109</f>
        <v>0.37130000000000002</v>
      </c>
      <c r="D3" s="3">
        <v>2</v>
      </c>
      <c r="E3" s="1">
        <f>Data!D109</f>
        <v>0.1036</v>
      </c>
      <c r="F3" s="21">
        <v>1.97</v>
      </c>
      <c r="G3" s="1">
        <f>Data!F109</f>
        <v>3.15E-2</v>
      </c>
      <c r="H3" s="21">
        <v>1.94</v>
      </c>
      <c r="J3" s="22">
        <f t="shared" ref="J3:J14" si="3">K2</f>
        <v>-0.5</v>
      </c>
      <c r="K3" s="22">
        <f t="shared" ref="K3:K14" si="4">K2+0.1</f>
        <v>-0.4</v>
      </c>
      <c r="L3" s="26" t="str">
        <f t="shared" si="0"/>
        <v>-50%-
-40%</v>
      </c>
      <c r="M3" s="24">
        <f t="shared" si="1"/>
        <v>1</v>
      </c>
      <c r="N3" s="27" t="str">
        <f>IF(COLUMNS($N3:N3)&gt;$M3,"",INDEX($A$2:$A$84,_xlfn.AGGREGATE(15,6,(ROW($A$2:$A$84)-ROW($A$2)+1)/(($C$2:$C$84&gt;=$J3)*($C$2:$C$84&lt;=$K3)),COLUMNS($N3:N3))))</f>
        <v>1931 - -44%</v>
      </c>
      <c r="O3" s="28" t="str">
        <f>IF(COLUMNS($N3:O3)&gt;$M3,"",INDEX($A$2:$A$84,_xlfn.AGGREGATE(15,6,(ROW($A$2:$A$84)-ROW($A$2)+1)/(($C$2:$C$84&gt;=$J3)*($C$2:$C$84&lt;=$K3)),COLUMNS($N3:O3))))</f>
        <v/>
      </c>
      <c r="P3" s="28" t="str">
        <f>IF(COLUMNS($N3:P3)&gt;$M3,"",INDEX($A$2:$A$84,_xlfn.AGGREGATE(15,6,(ROW($A$2:$A$84)-ROW($A$2)+1)/(($C$2:$C$84&gt;=$J3)*($C$2:$C$84&lt;=$K3)),COLUMNS($N3:P3))))</f>
        <v/>
      </c>
      <c r="Q3" s="28" t="str">
        <f>IF(COLUMNS($N3:Q3)&gt;$M3,"",INDEX($A$2:$A$84,_xlfn.AGGREGATE(15,6,(ROW($A$2:$A$84)-ROW($A$2)+1)/(($C$2:$C$84&gt;=$J3)*($C$2:$C$84&lt;=$K3)),COLUMNS($N3:Q3))))</f>
        <v/>
      </c>
      <c r="R3" s="28" t="str">
        <f>IF(COLUMNS($N3:R3)&gt;$M3,"",INDEX($A$2:$A$84,_xlfn.AGGREGATE(15,6,(ROW($A$2:$A$84)-ROW($A$2)+1)/(($C$2:$C$84&gt;=$J3)*($C$2:$C$84&lt;=$K3)),COLUMNS($N3:R3))))</f>
        <v/>
      </c>
      <c r="S3" s="28" t="str">
        <f>IF(COLUMNS($N3:S3)&gt;$M3,"",INDEX($A$2:$A$84,_xlfn.AGGREGATE(15,6,(ROW($A$2:$A$84)-ROW($A$2)+1)/(($C$2:$C$84&gt;=$J3)*($C$2:$C$84&lt;=$K3)),COLUMNS($N3:S3))))</f>
        <v/>
      </c>
      <c r="T3" s="28" t="str">
        <f>IF(COLUMNS($N3:T3)&gt;$M3,"",INDEX($A$2:$A$84,_xlfn.AGGREGATE(15,6,(ROW($A$2:$A$84)-ROW($A$2)+1)/(($C$2:$C$84&gt;=$J3)*($C$2:$C$84&lt;=$K3)),COLUMNS($N3:T3))))</f>
        <v/>
      </c>
      <c r="U3" s="28" t="str">
        <f>IF(COLUMNS($N3:U3)&gt;$M3,"",INDEX($A$2:$A$84,_xlfn.AGGREGATE(15,6,(ROW($A$2:$A$84)-ROW($A$2)+1)/(($C$2:$C$84&gt;=$J3)*($C$2:$C$84&lt;=$K3)),COLUMNS($N3:U3))))</f>
        <v/>
      </c>
      <c r="V3" s="28" t="str">
        <f>IF(COLUMNS($N3:V3)&gt;$M3,"",INDEX($A$2:$A$84,_xlfn.AGGREGATE(15,6,(ROW($A$2:$A$84)-ROW($A$2)+1)/(($C$2:$C$84&gt;=$J3)*($C$2:$C$84&lt;=$K3)),COLUMNS($N3:V3))))</f>
        <v/>
      </c>
      <c r="W3" s="28" t="str">
        <f>IF(COLUMNS($N3:W3)&gt;$M3,"",INDEX($A$2:$A$84,_xlfn.AGGREGATE(15,6,(ROW($A$2:$A$84)-ROW($A$2)+1)/(($C$2:$C$84&gt;=$J3)*($C$2:$C$84&lt;=$K3)),COLUMNS($N3:W3))))</f>
        <v/>
      </c>
      <c r="X3" s="28" t="str">
        <f>IF(COLUMNS($N3:X3)&gt;$M3,"",INDEX($A$2:$A$84,_xlfn.AGGREGATE(15,6,(ROW($A$2:$A$84)-ROW($A$2)+1)/(($C$2:$C$84&gt;=$J3)*($C$2:$C$84&lt;=$K3)),COLUMNS($N3:X3))))</f>
        <v/>
      </c>
      <c r="Y3" s="28" t="str">
        <f>IF(COLUMNS($N3:Y3)&gt;$M3,"",INDEX($A$2:$A$84,_xlfn.AGGREGATE(15,6,(ROW($A$2:$A$84)-ROW($A$2)+1)/(($C$2:$C$84&gt;=$J3)*($C$2:$C$84&lt;=$K3)),COLUMNS($N3:Y3))))</f>
        <v/>
      </c>
      <c r="Z3" s="28" t="str">
        <f>IF(COLUMNS($N3:Z3)&gt;$M3,"",INDEX($A$2:$A$84,_xlfn.AGGREGATE(15,6,(ROW($A$2:$A$84)-ROW($A$2)+1)/(($C$2:$C$84&gt;=$J3)*($C$2:$C$84&lt;=$K3)),COLUMNS($N3:Z3))))</f>
        <v/>
      </c>
      <c r="AA3" s="28" t="str">
        <f>IF(COLUMNS($N3:AA3)&gt;$M3,"",INDEX($A$2:$A$84,_xlfn.AGGREGATE(15,6,(ROW($A$2:$A$84)-ROW($A$2)+1)/(($C$2:$C$84&gt;=$J3)*($C$2:$C$84&lt;=$K3)),COLUMNS($N3:AA3))))</f>
        <v/>
      </c>
      <c r="AB3" s="28" t="str">
        <f>IF(COLUMNS($N3:AB3)&gt;$M3,"",INDEX($A$2:$A$84,_xlfn.AGGREGATE(15,6,(ROW($A$2:$A$84)-ROW($A$2)+1)/(($C$2:$C$84&gt;=$J3)*($C$2:$C$84&lt;=$K3)),COLUMNS($N3:AB3))))</f>
        <v/>
      </c>
      <c r="AC3" s="28" t="str">
        <f>IF(COLUMNS($N3:AC3)&gt;$M3,"",INDEX($A$2:$A$84,_xlfn.AGGREGATE(15,6,(ROW($A$2:$A$84)-ROW($A$2)+1)/(($C$2:$C$84&gt;=$J3)*($C$2:$C$84&lt;=$K3)),COLUMNS($N3:AC3))))</f>
        <v/>
      </c>
      <c r="AD3" s="28" t="str">
        <f>IF(COLUMNS($N3:AD3)&gt;$M3,"",INDEX($A$2:$A$84,_xlfn.AGGREGATE(15,6,(ROW($A$2:$A$84)-ROW($A$2)+1)/(($C$2:$C$84&gt;=$J3)*($C$2:$C$84&lt;=$K3)),COLUMNS($N3:AD3))))</f>
        <v/>
      </c>
      <c r="AE3" s="28" t="str">
        <f>IF(COLUMNS($N3:AE3)&gt;$M3,"",INDEX($A$2:$A$84,_xlfn.AGGREGATE(15,6,(ROW($A$2:$A$84)-ROW($A$2)+1)/(($C$2:$C$84&gt;=$J3)*($C$2:$C$84&lt;=$K3)),COLUMNS($N3:AE3))))</f>
        <v/>
      </c>
      <c r="AF3" s="28" t="str">
        <f>IF(COLUMNS($N3:AF3)&gt;$M3,"",INDEX($A$2:$A$84,_xlfn.AGGREGATE(15,6,(ROW($A$2:$A$84)-ROW($A$2)+1)/(($C$2:$C$84&gt;=$J3)*($C$2:$C$84&lt;=$K3)),COLUMNS($N3:AF3))))</f>
        <v/>
      </c>
      <c r="AG3" s="29" t="str">
        <f>IF(COLUMNS($N3:AG3)&gt;$M3,"",INDEX($A$2:$A$84,_xlfn.AGGREGATE(15,6,(ROW($A$2:$A$84)-ROW($A$2)+1)/(($C$2:$C$84&gt;=$J3)*($C$2:$C$84&lt;=$K3)),COLUMNS($N3:AG3))))</f>
        <v/>
      </c>
    </row>
    <row r="4" spans="1:33" ht="54" customHeight="1" x14ac:dyDescent="0.3">
      <c r="A4" t="str">
        <f t="shared" si="2"/>
        <v>1928 - 43%</v>
      </c>
      <c r="B4" s="3">
        <v>1928</v>
      </c>
      <c r="C4" s="1">
        <f>Data!B110</f>
        <v>0.43309999999999998</v>
      </c>
      <c r="D4" s="3">
        <v>3</v>
      </c>
      <c r="E4" s="1">
        <f>Data!D110</f>
        <v>-1.37E-2</v>
      </c>
      <c r="F4" s="21">
        <v>2.97</v>
      </c>
      <c r="G4" s="1">
        <f>Data!F110</f>
        <v>4.0500000000000001E-2</v>
      </c>
      <c r="H4" s="21">
        <v>2.94</v>
      </c>
      <c r="J4" s="22">
        <f t="shared" si="3"/>
        <v>-0.4</v>
      </c>
      <c r="K4" s="22">
        <f t="shared" si="4"/>
        <v>-0.30000000000000004</v>
      </c>
      <c r="L4" s="26" t="str">
        <f t="shared" si="0"/>
        <v>-40%-
-30%</v>
      </c>
      <c r="M4" s="24">
        <f t="shared" si="1"/>
        <v>2</v>
      </c>
      <c r="N4" s="30" t="str">
        <f>IF(COLUMNS($N4:N4)&gt;$M4,"",INDEX($A$2:$A$84,_xlfn.AGGREGATE(15,6,(ROW($A$2:$A$84)-ROW($A$2)+1)/(($C$2:$C$84&gt;=$J4)*($C$2:$C$84&lt;=$K4)),COLUMNS($N4:N4))))</f>
        <v>1937 - -35%</v>
      </c>
      <c r="O4" s="25" t="str">
        <f>IF(COLUMNS($N4:O4)&gt;$M4,"",INDEX($A$2:$A$84,_xlfn.AGGREGATE(15,6,(ROW($A$2:$A$84)-ROW($A$2)+1)/(($C$2:$C$84&gt;=$J4)*($C$2:$C$84&lt;=$K4)),COLUMNS($N4:O4))))</f>
        <v>2008 - -37%</v>
      </c>
      <c r="P4" s="25" t="str">
        <f>IF(COLUMNS($N4:P4)&gt;$M4,"",INDEX($A$2:$A$84,_xlfn.AGGREGATE(15,6,(ROW($A$2:$A$84)-ROW($A$2)+1)/(($C$2:$C$84&gt;=$J4)*($C$2:$C$84&lt;=$K4)),COLUMNS($N4:P4))))</f>
        <v/>
      </c>
      <c r="Q4" s="25" t="str">
        <f>IF(COLUMNS($N4:Q4)&gt;$M4,"",INDEX($A$2:$A$84,_xlfn.AGGREGATE(15,6,(ROW($A$2:$A$84)-ROW($A$2)+1)/(($C$2:$C$84&gt;=$J4)*($C$2:$C$84&lt;=$K4)),COLUMNS($N4:Q4))))</f>
        <v/>
      </c>
      <c r="R4" s="25" t="str">
        <f>IF(COLUMNS($N4:R4)&gt;$M4,"",INDEX($A$2:$A$84,_xlfn.AGGREGATE(15,6,(ROW($A$2:$A$84)-ROW($A$2)+1)/(($C$2:$C$84&gt;=$J4)*($C$2:$C$84&lt;=$K4)),COLUMNS($N4:R4))))</f>
        <v/>
      </c>
      <c r="S4" s="25" t="str">
        <f>IF(COLUMNS($N4:S4)&gt;$M4,"",INDEX($A$2:$A$84,_xlfn.AGGREGATE(15,6,(ROW($A$2:$A$84)-ROW($A$2)+1)/(($C$2:$C$84&gt;=$J4)*($C$2:$C$84&lt;=$K4)),COLUMNS($N4:S4))))</f>
        <v/>
      </c>
      <c r="T4" s="25" t="str">
        <f>IF(COLUMNS($N4:T4)&gt;$M4,"",INDEX($A$2:$A$84,_xlfn.AGGREGATE(15,6,(ROW($A$2:$A$84)-ROW($A$2)+1)/(($C$2:$C$84&gt;=$J4)*($C$2:$C$84&lt;=$K4)),COLUMNS($N4:T4))))</f>
        <v/>
      </c>
      <c r="U4" s="25" t="str">
        <f>IF(COLUMNS($N4:U4)&gt;$M4,"",INDEX($A$2:$A$84,_xlfn.AGGREGATE(15,6,(ROW($A$2:$A$84)-ROW($A$2)+1)/(($C$2:$C$84&gt;=$J4)*($C$2:$C$84&lt;=$K4)),COLUMNS($N4:U4))))</f>
        <v/>
      </c>
      <c r="V4" s="25" t="str">
        <f>IF(COLUMNS($N4:V4)&gt;$M4,"",INDEX($A$2:$A$84,_xlfn.AGGREGATE(15,6,(ROW($A$2:$A$84)-ROW($A$2)+1)/(($C$2:$C$84&gt;=$J4)*($C$2:$C$84&lt;=$K4)),COLUMNS($N4:V4))))</f>
        <v/>
      </c>
      <c r="W4" s="25" t="str">
        <f>IF(COLUMNS($N4:W4)&gt;$M4,"",INDEX($A$2:$A$84,_xlfn.AGGREGATE(15,6,(ROW($A$2:$A$84)-ROW($A$2)+1)/(($C$2:$C$84&gt;=$J4)*($C$2:$C$84&lt;=$K4)),COLUMNS($N4:W4))))</f>
        <v/>
      </c>
      <c r="X4" s="25" t="str">
        <f>IF(COLUMNS($N4:X4)&gt;$M4,"",INDEX($A$2:$A$84,_xlfn.AGGREGATE(15,6,(ROW($A$2:$A$84)-ROW($A$2)+1)/(($C$2:$C$84&gt;=$J4)*($C$2:$C$84&lt;=$K4)),COLUMNS($N4:X4))))</f>
        <v/>
      </c>
      <c r="Y4" s="25" t="str">
        <f>IF(COLUMNS($N4:Y4)&gt;$M4,"",INDEX($A$2:$A$84,_xlfn.AGGREGATE(15,6,(ROW($A$2:$A$84)-ROW($A$2)+1)/(($C$2:$C$84&gt;=$J4)*($C$2:$C$84&lt;=$K4)),COLUMNS($N4:Y4))))</f>
        <v/>
      </c>
      <c r="Z4" s="25" t="str">
        <f>IF(COLUMNS($N4:Z4)&gt;$M4,"",INDEX($A$2:$A$84,_xlfn.AGGREGATE(15,6,(ROW($A$2:$A$84)-ROW($A$2)+1)/(($C$2:$C$84&gt;=$J4)*($C$2:$C$84&lt;=$K4)),COLUMNS($N4:Z4))))</f>
        <v/>
      </c>
      <c r="AA4" s="25" t="str">
        <f>IF(COLUMNS($N4:AA4)&gt;$M4,"",INDEX($A$2:$A$84,_xlfn.AGGREGATE(15,6,(ROW($A$2:$A$84)-ROW($A$2)+1)/(($C$2:$C$84&gt;=$J4)*($C$2:$C$84&lt;=$K4)),COLUMNS($N4:AA4))))</f>
        <v/>
      </c>
      <c r="AB4" s="25" t="str">
        <f>IF(COLUMNS($N4:AB4)&gt;$M4,"",INDEX($A$2:$A$84,_xlfn.AGGREGATE(15,6,(ROW($A$2:$A$84)-ROW($A$2)+1)/(($C$2:$C$84&gt;=$J4)*($C$2:$C$84&lt;=$K4)),COLUMNS($N4:AB4))))</f>
        <v/>
      </c>
      <c r="AC4" s="25" t="str">
        <f>IF(COLUMNS($N4:AC4)&gt;$M4,"",INDEX($A$2:$A$84,_xlfn.AGGREGATE(15,6,(ROW($A$2:$A$84)-ROW($A$2)+1)/(($C$2:$C$84&gt;=$J4)*($C$2:$C$84&lt;=$K4)),COLUMNS($N4:AC4))))</f>
        <v/>
      </c>
      <c r="AD4" s="25" t="str">
        <f>IF(COLUMNS($N4:AD4)&gt;$M4,"",INDEX($A$2:$A$84,_xlfn.AGGREGATE(15,6,(ROW($A$2:$A$84)-ROW($A$2)+1)/(($C$2:$C$84&gt;=$J4)*($C$2:$C$84&lt;=$K4)),COLUMNS($N4:AD4))))</f>
        <v/>
      </c>
      <c r="AE4" s="25" t="str">
        <f>IF(COLUMNS($N4:AE4)&gt;$M4,"",INDEX($A$2:$A$84,_xlfn.AGGREGATE(15,6,(ROW($A$2:$A$84)-ROW($A$2)+1)/(($C$2:$C$84&gt;=$J4)*($C$2:$C$84&lt;=$K4)),COLUMNS($N4:AE4))))</f>
        <v/>
      </c>
      <c r="AF4" s="25" t="str">
        <f>IF(COLUMNS($N4:AF4)&gt;$M4,"",INDEX($A$2:$A$84,_xlfn.AGGREGATE(15,6,(ROW($A$2:$A$84)-ROW($A$2)+1)/(($C$2:$C$84&gt;=$J4)*($C$2:$C$84&lt;=$K4)),COLUMNS($N4:AF4))))</f>
        <v/>
      </c>
      <c r="AG4" s="31" t="str">
        <f>IF(COLUMNS($N4:AG4)&gt;$M4,"",INDEX($A$2:$A$84,_xlfn.AGGREGATE(15,6,(ROW($A$2:$A$84)-ROW($A$2)+1)/(($C$2:$C$84&gt;=$J4)*($C$2:$C$84&lt;=$K4)),COLUMNS($N4:AG4))))</f>
        <v/>
      </c>
    </row>
    <row r="5" spans="1:33" ht="54" customHeight="1" x14ac:dyDescent="0.3">
      <c r="A5" t="str">
        <f t="shared" si="2"/>
        <v>1929 - -9%</v>
      </c>
      <c r="B5" s="3">
        <v>1929</v>
      </c>
      <c r="C5" s="1">
        <f>Data!B111</f>
        <v>-8.9099999999999999E-2</v>
      </c>
      <c r="D5" s="3">
        <v>4</v>
      </c>
      <c r="E5" s="1">
        <f>Data!D111</f>
        <v>5.2299999999999999E-2</v>
      </c>
      <c r="F5" s="21">
        <v>3.97</v>
      </c>
      <c r="G5" s="1">
        <f>Data!F111</f>
        <v>4.4699999999999997E-2</v>
      </c>
      <c r="H5" s="21">
        <v>3.94</v>
      </c>
      <c r="J5" s="22">
        <f t="shared" si="3"/>
        <v>-0.30000000000000004</v>
      </c>
      <c r="K5" s="22">
        <f t="shared" si="4"/>
        <v>-0.20000000000000004</v>
      </c>
      <c r="L5" s="26" t="str">
        <f t="shared" si="0"/>
        <v>-30%-
-20%</v>
      </c>
      <c r="M5" s="24">
        <f t="shared" si="1"/>
        <v>3</v>
      </c>
      <c r="N5" s="30" t="str">
        <f>IF(COLUMNS($N5:N5)&gt;$M5,"",INDEX($A$2:$A$84,_xlfn.AGGREGATE(15,6,(ROW($A$2:$A$84)-ROW($A$2)+1)/(($C$2:$C$84&gt;=$J5)*($C$2:$C$84&lt;=$K5)),COLUMNS($N5:N5))))</f>
        <v>1930 - -25%</v>
      </c>
      <c r="O5" s="25" t="str">
        <f>IF(COLUMNS($N5:O5)&gt;$M5,"",INDEX($A$2:$A$84,_xlfn.AGGREGATE(15,6,(ROW($A$2:$A$84)-ROW($A$2)+1)/(($C$2:$C$84&gt;=$J5)*($C$2:$C$84&lt;=$K5)),COLUMNS($N5:O5))))</f>
        <v>1974 - -26%</v>
      </c>
      <c r="P5" s="25" t="str">
        <f>IF(COLUMNS($N5:P5)&gt;$M5,"",INDEX($A$2:$A$84,_xlfn.AGGREGATE(15,6,(ROW($A$2:$A$84)-ROW($A$2)+1)/(($C$2:$C$84&gt;=$J5)*($C$2:$C$84&lt;=$K5)),COLUMNS($N5:P5))))</f>
        <v>2002 - -22%</v>
      </c>
      <c r="Q5" s="25" t="str">
        <f>IF(COLUMNS($N5:Q5)&gt;$M5,"",INDEX($A$2:$A$84,_xlfn.AGGREGATE(15,6,(ROW($A$2:$A$84)-ROW($A$2)+1)/(($C$2:$C$84&gt;=$J5)*($C$2:$C$84&lt;=$K5)),COLUMNS($N5:Q5))))</f>
        <v/>
      </c>
      <c r="R5" s="25" t="str">
        <f>IF(COLUMNS($N5:R5)&gt;$M5,"",INDEX($A$2:$A$84,_xlfn.AGGREGATE(15,6,(ROW($A$2:$A$84)-ROW($A$2)+1)/(($C$2:$C$84&gt;=$J5)*($C$2:$C$84&lt;=$K5)),COLUMNS($N5:R5))))</f>
        <v/>
      </c>
      <c r="S5" s="25" t="str">
        <f>IF(COLUMNS($N5:S5)&gt;$M5,"",INDEX($A$2:$A$84,_xlfn.AGGREGATE(15,6,(ROW($A$2:$A$84)-ROW($A$2)+1)/(($C$2:$C$84&gt;=$J5)*($C$2:$C$84&lt;=$K5)),COLUMNS($N5:S5))))</f>
        <v/>
      </c>
      <c r="T5" s="25" t="str">
        <f>IF(COLUMNS($N5:T5)&gt;$M5,"",INDEX($A$2:$A$84,_xlfn.AGGREGATE(15,6,(ROW($A$2:$A$84)-ROW($A$2)+1)/(($C$2:$C$84&gt;=$J5)*($C$2:$C$84&lt;=$K5)),COLUMNS($N5:T5))))</f>
        <v/>
      </c>
      <c r="U5" s="25" t="str">
        <f>IF(COLUMNS($N5:U5)&gt;$M5,"",INDEX($A$2:$A$84,_xlfn.AGGREGATE(15,6,(ROW($A$2:$A$84)-ROW($A$2)+1)/(($C$2:$C$84&gt;=$J5)*($C$2:$C$84&lt;=$K5)),COLUMNS($N5:U5))))</f>
        <v/>
      </c>
      <c r="V5" s="25" t="str">
        <f>IF(COLUMNS($N5:V5)&gt;$M5,"",INDEX($A$2:$A$84,_xlfn.AGGREGATE(15,6,(ROW($A$2:$A$84)-ROW($A$2)+1)/(($C$2:$C$84&gt;=$J5)*($C$2:$C$84&lt;=$K5)),COLUMNS($N5:V5))))</f>
        <v/>
      </c>
      <c r="W5" s="25" t="str">
        <f>IF(COLUMNS($N5:W5)&gt;$M5,"",INDEX($A$2:$A$84,_xlfn.AGGREGATE(15,6,(ROW($A$2:$A$84)-ROW($A$2)+1)/(($C$2:$C$84&gt;=$J5)*($C$2:$C$84&lt;=$K5)),COLUMNS($N5:W5))))</f>
        <v/>
      </c>
      <c r="X5" s="25" t="str">
        <f>IF(COLUMNS($N5:X5)&gt;$M5,"",INDEX($A$2:$A$84,_xlfn.AGGREGATE(15,6,(ROW($A$2:$A$84)-ROW($A$2)+1)/(($C$2:$C$84&gt;=$J5)*($C$2:$C$84&lt;=$K5)),COLUMNS($N5:X5))))</f>
        <v/>
      </c>
      <c r="Y5" s="25" t="str">
        <f>IF(COLUMNS($N5:Y5)&gt;$M5,"",INDEX($A$2:$A$84,_xlfn.AGGREGATE(15,6,(ROW($A$2:$A$84)-ROW($A$2)+1)/(($C$2:$C$84&gt;=$J5)*($C$2:$C$84&lt;=$K5)),COLUMNS($N5:Y5))))</f>
        <v/>
      </c>
      <c r="Z5" s="25" t="str">
        <f>IF(COLUMNS($N5:Z5)&gt;$M5,"",INDEX($A$2:$A$84,_xlfn.AGGREGATE(15,6,(ROW($A$2:$A$84)-ROW($A$2)+1)/(($C$2:$C$84&gt;=$J5)*($C$2:$C$84&lt;=$K5)),COLUMNS($N5:Z5))))</f>
        <v/>
      </c>
      <c r="AA5" s="25" t="str">
        <f>IF(COLUMNS($N5:AA5)&gt;$M5,"",INDEX($A$2:$A$84,_xlfn.AGGREGATE(15,6,(ROW($A$2:$A$84)-ROW($A$2)+1)/(($C$2:$C$84&gt;=$J5)*($C$2:$C$84&lt;=$K5)),COLUMNS($N5:AA5))))</f>
        <v/>
      </c>
      <c r="AB5" s="25" t="str">
        <f>IF(COLUMNS($N5:AB5)&gt;$M5,"",INDEX($A$2:$A$84,_xlfn.AGGREGATE(15,6,(ROW($A$2:$A$84)-ROW($A$2)+1)/(($C$2:$C$84&gt;=$J5)*($C$2:$C$84&lt;=$K5)),COLUMNS($N5:AB5))))</f>
        <v/>
      </c>
      <c r="AC5" s="25" t="str">
        <f>IF(COLUMNS($N5:AC5)&gt;$M5,"",INDEX($A$2:$A$84,_xlfn.AGGREGATE(15,6,(ROW($A$2:$A$84)-ROW($A$2)+1)/(($C$2:$C$84&gt;=$J5)*($C$2:$C$84&lt;=$K5)),COLUMNS($N5:AC5))))</f>
        <v/>
      </c>
      <c r="AD5" s="25" t="str">
        <f>IF(COLUMNS($N5:AD5)&gt;$M5,"",INDEX($A$2:$A$84,_xlfn.AGGREGATE(15,6,(ROW($A$2:$A$84)-ROW($A$2)+1)/(($C$2:$C$84&gt;=$J5)*($C$2:$C$84&lt;=$K5)),COLUMNS($N5:AD5))))</f>
        <v/>
      </c>
      <c r="AE5" s="25" t="str">
        <f>IF(COLUMNS($N5:AE5)&gt;$M5,"",INDEX($A$2:$A$84,_xlfn.AGGREGATE(15,6,(ROW($A$2:$A$84)-ROW($A$2)+1)/(($C$2:$C$84&gt;=$J5)*($C$2:$C$84&lt;=$K5)),COLUMNS($N5:AE5))))</f>
        <v/>
      </c>
      <c r="AF5" s="25" t="str">
        <f>IF(COLUMNS($N5:AF5)&gt;$M5,"",INDEX($A$2:$A$84,_xlfn.AGGREGATE(15,6,(ROW($A$2:$A$84)-ROW($A$2)+1)/(($C$2:$C$84&gt;=$J5)*($C$2:$C$84&lt;=$K5)),COLUMNS($N5:AF5))))</f>
        <v/>
      </c>
      <c r="AG5" s="31" t="str">
        <f>IF(COLUMNS($N5:AG5)&gt;$M5,"",INDEX($A$2:$A$84,_xlfn.AGGREGATE(15,6,(ROW($A$2:$A$84)-ROW($A$2)+1)/(($C$2:$C$84&gt;=$J5)*($C$2:$C$84&lt;=$K5)),COLUMNS($N5:AG5))))</f>
        <v/>
      </c>
    </row>
    <row r="6" spans="1:33" ht="54" customHeight="1" x14ac:dyDescent="0.3">
      <c r="A6" t="str">
        <f t="shared" si="2"/>
        <v>1930 - -25%</v>
      </c>
      <c r="B6" s="3">
        <v>1930</v>
      </c>
      <c r="C6" s="1">
        <f>Data!B112</f>
        <v>-0.25259999999999999</v>
      </c>
      <c r="D6" s="3">
        <v>5</v>
      </c>
      <c r="E6" s="1">
        <f>Data!D112</f>
        <v>5.8000000000000003E-2</v>
      </c>
      <c r="F6" s="21">
        <v>4.97</v>
      </c>
      <c r="G6" s="1">
        <f>Data!F112</f>
        <v>2.2700000000000001E-2</v>
      </c>
      <c r="H6" s="21">
        <v>4.9400000000000004</v>
      </c>
      <c r="J6" s="22">
        <f t="shared" si="3"/>
        <v>-0.20000000000000004</v>
      </c>
      <c r="K6" s="22">
        <f t="shared" si="4"/>
        <v>-0.10000000000000003</v>
      </c>
      <c r="L6" s="26" t="str">
        <f t="shared" si="0"/>
        <v>-20%-
-10%</v>
      </c>
      <c r="M6" s="24">
        <f t="shared" si="1"/>
        <v>6</v>
      </c>
      <c r="N6" s="30" t="str">
        <f>IF(COLUMNS($N6:N6)&gt;$M6,"",INDEX($A$2:$A$84,_xlfn.AGGREGATE(15,6,(ROW($A$2:$A$84)-ROW($A$2)+1)/(($C$2:$C$84&gt;=$J6)*($C$2:$C$84&lt;=$K6)),COLUMNS($N6:N6))))</f>
        <v>1940 - -10%</v>
      </c>
      <c r="O6" s="25" t="str">
        <f>IF(COLUMNS($N6:O6)&gt;$M6,"",INDEX($A$2:$A$84,_xlfn.AGGREGATE(15,6,(ROW($A$2:$A$84)-ROW($A$2)+1)/(($C$2:$C$84&gt;=$J6)*($C$2:$C$84&lt;=$K6)),COLUMNS($N6:O6))))</f>
        <v>1941 - -12%</v>
      </c>
      <c r="P6" s="25" t="str">
        <f>IF(COLUMNS($N6:P6)&gt;$M6,"",INDEX($A$2:$A$84,_xlfn.AGGREGATE(15,6,(ROW($A$2:$A$84)-ROW($A$2)+1)/(($C$2:$C$84&gt;=$J6)*($C$2:$C$84&lt;=$K6)),COLUMNS($N6:P6))))</f>
        <v>1957 - -11%</v>
      </c>
      <c r="Q6" s="25" t="str">
        <f>IF(COLUMNS($N6:Q6)&gt;$M6,"",INDEX($A$2:$A$84,_xlfn.AGGREGATE(15,6,(ROW($A$2:$A$84)-ROW($A$2)+1)/(($C$2:$C$84&gt;=$J6)*($C$2:$C$84&lt;=$K6)),COLUMNS($N6:Q6))))</f>
        <v>1966 - -10%</v>
      </c>
      <c r="R6" s="25" t="str">
        <f>IF(COLUMNS($N6:R6)&gt;$M6,"",INDEX($A$2:$A$84,_xlfn.AGGREGATE(15,6,(ROW($A$2:$A$84)-ROW($A$2)+1)/(($C$2:$C$84&gt;=$J6)*($C$2:$C$84&lt;=$K6)),COLUMNS($N6:R6))))</f>
        <v>1973 - -15%</v>
      </c>
      <c r="S6" s="25" t="str">
        <f>IF(COLUMNS($N6:S6)&gt;$M6,"",INDEX($A$2:$A$84,_xlfn.AGGREGATE(15,6,(ROW($A$2:$A$84)-ROW($A$2)+1)/(($C$2:$C$84&gt;=$J6)*($C$2:$C$84&lt;=$K6)),COLUMNS($N6:S6))))</f>
        <v>2001 - -12%</v>
      </c>
      <c r="T6" s="25" t="str">
        <f>IF(COLUMNS($N6:T6)&gt;$M6,"",INDEX($A$2:$A$84,_xlfn.AGGREGATE(15,6,(ROW($A$2:$A$84)-ROW($A$2)+1)/(($C$2:$C$84&gt;=$J6)*($C$2:$C$84&lt;=$K6)),COLUMNS($N6:T6))))</f>
        <v/>
      </c>
      <c r="U6" s="25" t="str">
        <f>IF(COLUMNS($N6:U6)&gt;$M6,"",INDEX($A$2:$A$84,_xlfn.AGGREGATE(15,6,(ROW($A$2:$A$84)-ROW($A$2)+1)/(($C$2:$C$84&gt;=$J6)*($C$2:$C$84&lt;=$K6)),COLUMNS($N6:U6))))</f>
        <v/>
      </c>
      <c r="V6" s="25" t="str">
        <f>IF(COLUMNS($N6:V6)&gt;$M6,"",INDEX($A$2:$A$84,_xlfn.AGGREGATE(15,6,(ROW($A$2:$A$84)-ROW($A$2)+1)/(($C$2:$C$84&gt;=$J6)*($C$2:$C$84&lt;=$K6)),COLUMNS($N6:V6))))</f>
        <v/>
      </c>
      <c r="W6" s="25" t="str">
        <f>IF(COLUMNS($N6:W6)&gt;$M6,"",INDEX($A$2:$A$84,_xlfn.AGGREGATE(15,6,(ROW($A$2:$A$84)-ROW($A$2)+1)/(($C$2:$C$84&gt;=$J6)*($C$2:$C$84&lt;=$K6)),COLUMNS($N6:W6))))</f>
        <v/>
      </c>
      <c r="X6" s="25" t="str">
        <f>IF(COLUMNS($N6:X6)&gt;$M6,"",INDEX($A$2:$A$84,_xlfn.AGGREGATE(15,6,(ROW($A$2:$A$84)-ROW($A$2)+1)/(($C$2:$C$84&gt;=$J6)*($C$2:$C$84&lt;=$K6)),COLUMNS($N6:X6))))</f>
        <v/>
      </c>
      <c r="Y6" s="25" t="str">
        <f>IF(COLUMNS($N6:Y6)&gt;$M6,"",INDEX($A$2:$A$84,_xlfn.AGGREGATE(15,6,(ROW($A$2:$A$84)-ROW($A$2)+1)/(($C$2:$C$84&gt;=$J6)*($C$2:$C$84&lt;=$K6)),COLUMNS($N6:Y6))))</f>
        <v/>
      </c>
      <c r="Z6" s="25" t="str">
        <f>IF(COLUMNS($N6:Z6)&gt;$M6,"",INDEX($A$2:$A$84,_xlfn.AGGREGATE(15,6,(ROW($A$2:$A$84)-ROW($A$2)+1)/(($C$2:$C$84&gt;=$J6)*($C$2:$C$84&lt;=$K6)),COLUMNS($N6:Z6))))</f>
        <v/>
      </c>
      <c r="AA6" s="25" t="str">
        <f>IF(COLUMNS($N6:AA6)&gt;$M6,"",INDEX($A$2:$A$84,_xlfn.AGGREGATE(15,6,(ROW($A$2:$A$84)-ROW($A$2)+1)/(($C$2:$C$84&gt;=$J6)*($C$2:$C$84&lt;=$K6)),COLUMNS($N6:AA6))))</f>
        <v/>
      </c>
      <c r="AB6" s="25" t="str">
        <f>IF(COLUMNS($N6:AB6)&gt;$M6,"",INDEX($A$2:$A$84,_xlfn.AGGREGATE(15,6,(ROW($A$2:$A$84)-ROW($A$2)+1)/(($C$2:$C$84&gt;=$J6)*($C$2:$C$84&lt;=$K6)),COLUMNS($N6:AB6))))</f>
        <v/>
      </c>
      <c r="AC6" s="25" t="str">
        <f>IF(COLUMNS($N6:AC6)&gt;$M6,"",INDEX($A$2:$A$84,_xlfn.AGGREGATE(15,6,(ROW($A$2:$A$84)-ROW($A$2)+1)/(($C$2:$C$84&gt;=$J6)*($C$2:$C$84&lt;=$K6)),COLUMNS($N6:AC6))))</f>
        <v/>
      </c>
      <c r="AD6" s="25" t="str">
        <f>IF(COLUMNS($N6:AD6)&gt;$M6,"",INDEX($A$2:$A$84,_xlfn.AGGREGATE(15,6,(ROW($A$2:$A$84)-ROW($A$2)+1)/(($C$2:$C$84&gt;=$J6)*($C$2:$C$84&lt;=$K6)),COLUMNS($N6:AD6))))</f>
        <v/>
      </c>
      <c r="AE6" s="25" t="str">
        <f>IF(COLUMNS($N6:AE6)&gt;$M6,"",INDEX($A$2:$A$84,_xlfn.AGGREGATE(15,6,(ROW($A$2:$A$84)-ROW($A$2)+1)/(($C$2:$C$84&gt;=$J6)*($C$2:$C$84&lt;=$K6)),COLUMNS($N6:AE6))))</f>
        <v/>
      </c>
      <c r="AF6" s="25" t="str">
        <f>IF(COLUMNS($N6:AF6)&gt;$M6,"",INDEX($A$2:$A$84,_xlfn.AGGREGATE(15,6,(ROW($A$2:$A$84)-ROW($A$2)+1)/(($C$2:$C$84&gt;=$J6)*($C$2:$C$84&lt;=$K6)),COLUMNS($N6:AF6))))</f>
        <v/>
      </c>
      <c r="AG6" s="31" t="str">
        <f>IF(COLUMNS($N6:AG6)&gt;$M6,"",INDEX($A$2:$A$84,_xlfn.AGGREGATE(15,6,(ROW($A$2:$A$84)-ROW($A$2)+1)/(($C$2:$C$84&gt;=$J6)*($C$2:$C$84&lt;=$K6)),COLUMNS($N6:AG6))))</f>
        <v/>
      </c>
    </row>
    <row r="7" spans="1:33" ht="54" customHeight="1" x14ac:dyDescent="0.3">
      <c r="A7" t="str">
        <f t="shared" si="2"/>
        <v>1931 - -44%</v>
      </c>
      <c r="B7" s="3">
        <v>1931</v>
      </c>
      <c r="C7" s="1">
        <f>Data!B113</f>
        <v>-0.43859999999999999</v>
      </c>
      <c r="D7" s="3">
        <v>6</v>
      </c>
      <c r="E7" s="1">
        <f>Data!D113</f>
        <v>-8.0399999999999999E-2</v>
      </c>
      <c r="F7" s="21">
        <v>5.97</v>
      </c>
      <c r="G7" s="1">
        <f>Data!F113</f>
        <v>1.15E-2</v>
      </c>
      <c r="H7" s="21">
        <v>5.94</v>
      </c>
      <c r="J7" s="22">
        <f t="shared" si="3"/>
        <v>-0.10000000000000003</v>
      </c>
      <c r="K7" s="22">
        <f t="shared" si="4"/>
        <v>0</v>
      </c>
      <c r="L7" s="26" t="str">
        <f t="shared" si="0"/>
        <v>-10%-
0%</v>
      </c>
      <c r="M7" s="24">
        <f t="shared" si="1"/>
        <v>12</v>
      </c>
      <c r="N7" s="30" t="str">
        <f>IF(COLUMNS($N7:N7)&gt;$M7,"",INDEX($A$2:$A$84,_xlfn.AGGREGATE(15,6,(ROW($A$2:$A$84)-ROW($A$2)+1)/(($C$2:$C$84&gt;=$J7)*($C$2:$C$84&lt;=$K7)),COLUMNS($N7:N7))))</f>
        <v>1929 - -9%</v>
      </c>
      <c r="O7" s="25" t="str">
        <f>IF(COLUMNS($N7:O7)&gt;$M7,"",INDEX($A$2:$A$84,_xlfn.AGGREGATE(15,6,(ROW($A$2:$A$84)-ROW($A$2)+1)/(($C$2:$C$84&gt;=$J7)*($C$2:$C$84&lt;=$K7)),COLUMNS($N7:O7))))</f>
        <v>1932 - -9%</v>
      </c>
      <c r="P7" s="25" t="str">
        <f>IF(COLUMNS($N7:P7)&gt;$M7,"",INDEX($A$2:$A$84,_xlfn.AGGREGATE(15,6,(ROW($A$2:$A$84)-ROW($A$2)+1)/(($C$2:$C$84&gt;=$J7)*($C$2:$C$84&lt;=$K7)),COLUMNS($N7:P7))))</f>
        <v>1934 - -2%</v>
      </c>
      <c r="Q7" s="25" t="str">
        <f>IF(COLUMNS($N7:Q7)&gt;$M7,"",INDEX($A$2:$A$84,_xlfn.AGGREGATE(15,6,(ROW($A$2:$A$84)-ROW($A$2)+1)/(($C$2:$C$84&gt;=$J7)*($C$2:$C$84&lt;=$K7)),COLUMNS($N7:Q7))))</f>
        <v>1939 - -1%</v>
      </c>
      <c r="R7" s="25" t="str">
        <f>IF(COLUMNS($N7:R7)&gt;$M7,"",INDEX($A$2:$A$84,_xlfn.AGGREGATE(15,6,(ROW($A$2:$A$84)-ROW($A$2)+1)/(($C$2:$C$84&gt;=$J7)*($C$2:$C$84&lt;=$K7)),COLUMNS($N7:R7))))</f>
        <v>1946 - -8%</v>
      </c>
      <c r="S7" s="25" t="str">
        <f>IF(COLUMNS($N7:S7)&gt;$M7,"",INDEX($A$2:$A$84,_xlfn.AGGREGATE(15,6,(ROW($A$2:$A$84)-ROW($A$2)+1)/(($C$2:$C$84&gt;=$J7)*($C$2:$C$84&lt;=$K7)),COLUMNS($N7:S7))))</f>
        <v>1953 - -1%</v>
      </c>
      <c r="T7" s="25" t="str">
        <f>IF(COLUMNS($N7:T7)&gt;$M7,"",INDEX($A$2:$A$84,_xlfn.AGGREGATE(15,6,(ROW($A$2:$A$84)-ROW($A$2)+1)/(($C$2:$C$84&gt;=$J7)*($C$2:$C$84&lt;=$K7)),COLUMNS($N7:T7))))</f>
        <v>1962 - -9%</v>
      </c>
      <c r="U7" s="25" t="str">
        <f>IF(COLUMNS($N7:U7)&gt;$M7,"",INDEX($A$2:$A$84,_xlfn.AGGREGATE(15,6,(ROW($A$2:$A$84)-ROW($A$2)+1)/(($C$2:$C$84&gt;=$J7)*($C$2:$C$84&lt;=$K7)),COLUMNS($N7:U7))))</f>
        <v>1969 - -8%</v>
      </c>
      <c r="V7" s="25" t="str">
        <f>IF(COLUMNS($N7:V7)&gt;$M7,"",INDEX($A$2:$A$84,_xlfn.AGGREGATE(15,6,(ROW($A$2:$A$84)-ROW($A$2)+1)/(($C$2:$C$84&gt;=$J7)*($C$2:$C$84&lt;=$K7)),COLUMNS($N7:V7))))</f>
        <v>1977 - -7%</v>
      </c>
      <c r="W7" s="25" t="str">
        <f>IF(COLUMNS($N7:W7)&gt;$M7,"",INDEX($A$2:$A$84,_xlfn.AGGREGATE(15,6,(ROW($A$2:$A$84)-ROW($A$2)+1)/(($C$2:$C$84&gt;=$J7)*($C$2:$C$84&lt;=$K7)),COLUMNS($N7:W7))))</f>
        <v>1981 - -5%</v>
      </c>
      <c r="X7" s="25" t="str">
        <f>IF(COLUMNS($N7:X7)&gt;$M7,"",INDEX($A$2:$A$84,_xlfn.AGGREGATE(15,6,(ROW($A$2:$A$84)-ROW($A$2)+1)/(($C$2:$C$84&gt;=$J7)*($C$2:$C$84&lt;=$K7)),COLUMNS($N7:X7))))</f>
        <v>1990 - -3%</v>
      </c>
      <c r="Y7" s="25" t="str">
        <f>IF(COLUMNS($N7:Y7)&gt;$M7,"",INDEX($A$2:$A$84,_xlfn.AGGREGATE(15,6,(ROW($A$2:$A$84)-ROW($A$2)+1)/(($C$2:$C$84&gt;=$J7)*($C$2:$C$84&lt;=$K7)),COLUMNS($N7:Y7))))</f>
        <v>2000 - -9%</v>
      </c>
      <c r="Z7" s="25" t="str">
        <f>IF(COLUMNS($N7:Z7)&gt;$M7,"",INDEX($A$2:$A$84,_xlfn.AGGREGATE(15,6,(ROW($A$2:$A$84)-ROW($A$2)+1)/(($C$2:$C$84&gt;=$J7)*($C$2:$C$84&lt;=$K7)),COLUMNS($N7:Z7))))</f>
        <v/>
      </c>
      <c r="AA7" s="25" t="str">
        <f>IF(COLUMNS($N7:AA7)&gt;$M7,"",INDEX($A$2:$A$84,_xlfn.AGGREGATE(15,6,(ROW($A$2:$A$84)-ROW($A$2)+1)/(($C$2:$C$84&gt;=$J7)*($C$2:$C$84&lt;=$K7)),COLUMNS($N7:AA7))))</f>
        <v/>
      </c>
      <c r="AB7" s="25" t="str">
        <f>IF(COLUMNS($N7:AB7)&gt;$M7,"",INDEX($A$2:$A$84,_xlfn.AGGREGATE(15,6,(ROW($A$2:$A$84)-ROW($A$2)+1)/(($C$2:$C$84&gt;=$J7)*($C$2:$C$84&lt;=$K7)),COLUMNS($N7:AB7))))</f>
        <v/>
      </c>
      <c r="AC7" s="25" t="str">
        <f>IF(COLUMNS($N7:AC7)&gt;$M7,"",INDEX($A$2:$A$84,_xlfn.AGGREGATE(15,6,(ROW($A$2:$A$84)-ROW($A$2)+1)/(($C$2:$C$84&gt;=$J7)*($C$2:$C$84&lt;=$K7)),COLUMNS($N7:AC7))))</f>
        <v/>
      </c>
      <c r="AD7" s="25" t="str">
        <f>IF(COLUMNS($N7:AD7)&gt;$M7,"",INDEX($A$2:$A$84,_xlfn.AGGREGATE(15,6,(ROW($A$2:$A$84)-ROW($A$2)+1)/(($C$2:$C$84&gt;=$J7)*($C$2:$C$84&lt;=$K7)),COLUMNS($N7:AD7))))</f>
        <v/>
      </c>
      <c r="AE7" s="25" t="str">
        <f>IF(COLUMNS($N7:AE7)&gt;$M7,"",INDEX($A$2:$A$84,_xlfn.AGGREGATE(15,6,(ROW($A$2:$A$84)-ROW($A$2)+1)/(($C$2:$C$84&gt;=$J7)*($C$2:$C$84&lt;=$K7)),COLUMNS($N7:AE7))))</f>
        <v/>
      </c>
      <c r="AF7" s="25" t="str">
        <f>IF(COLUMNS($N7:AF7)&gt;$M7,"",INDEX($A$2:$A$84,_xlfn.AGGREGATE(15,6,(ROW($A$2:$A$84)-ROW($A$2)+1)/(($C$2:$C$84&gt;=$J7)*($C$2:$C$84&lt;=$K7)),COLUMNS($N7:AF7))))</f>
        <v/>
      </c>
      <c r="AG7" s="31" t="str">
        <f>IF(COLUMNS($N7:AG7)&gt;$M7,"",INDEX($A$2:$A$84,_xlfn.AGGREGATE(15,6,(ROW($A$2:$A$84)-ROW($A$2)+1)/(($C$2:$C$84&gt;=$J7)*($C$2:$C$84&lt;=$K7)),COLUMNS($N7:AG7))))</f>
        <v/>
      </c>
    </row>
    <row r="8" spans="1:33" ht="54" customHeight="1" x14ac:dyDescent="0.3">
      <c r="A8" t="str">
        <f t="shared" si="2"/>
        <v>1932 - -9%</v>
      </c>
      <c r="B8" s="3">
        <v>1932</v>
      </c>
      <c r="C8" s="1">
        <f>Data!B114</f>
        <v>-8.8499999999999995E-2</v>
      </c>
      <c r="D8" s="3">
        <v>7</v>
      </c>
      <c r="E8" s="1">
        <f>Data!D114</f>
        <v>0.1411</v>
      </c>
      <c r="F8" s="21">
        <v>6.97</v>
      </c>
      <c r="G8" s="1">
        <f>Data!F114</f>
        <v>8.8000000000000005E-3</v>
      </c>
      <c r="H8" s="21">
        <v>6.94</v>
      </c>
      <c r="J8" s="22">
        <f t="shared" si="3"/>
        <v>0</v>
      </c>
      <c r="K8" s="22">
        <f t="shared" si="4"/>
        <v>0.1</v>
      </c>
      <c r="L8" s="26" t="str">
        <f t="shared" si="0"/>
        <v>0%-
10%</v>
      </c>
      <c r="M8" s="24">
        <f t="shared" si="1"/>
        <v>12</v>
      </c>
      <c r="N8" s="30" t="str">
        <f>IF(COLUMNS($N8:N8)&gt;$M8,"",INDEX($A$2:$A$84,_xlfn.AGGREGATE(15,6,(ROW($A$2:$A$84)-ROW($A$2)+1)/(($C$2:$C$84&gt;=$J8)*($C$2:$C$84&lt;=$K8)),COLUMNS($N8:N8))))</f>
        <v>1947 - 5%</v>
      </c>
      <c r="O8" s="25" t="str">
        <f>IF(COLUMNS($N8:O8)&gt;$M8,"",INDEX($A$2:$A$84,_xlfn.AGGREGATE(15,6,(ROW($A$2:$A$84)-ROW($A$2)+1)/(($C$2:$C$84&gt;=$J8)*($C$2:$C$84&lt;=$K8)),COLUMNS($N8:O8))))</f>
        <v>1948 - 5%</v>
      </c>
      <c r="P8" s="25" t="str">
        <f>IF(COLUMNS($N8:P8)&gt;$M8,"",INDEX($A$2:$A$84,_xlfn.AGGREGATE(15,6,(ROW($A$2:$A$84)-ROW($A$2)+1)/(($C$2:$C$84&gt;=$J8)*($C$2:$C$84&lt;=$K8)),COLUMNS($N8:P8))))</f>
        <v>1956 - 7%</v>
      </c>
      <c r="Q8" s="25" t="str">
        <f>IF(COLUMNS($N8:Q8)&gt;$M8,"",INDEX($A$2:$A$84,_xlfn.AGGREGATE(15,6,(ROW($A$2:$A$84)-ROW($A$2)+1)/(($C$2:$C$84&gt;=$J8)*($C$2:$C$84&lt;=$K8)),COLUMNS($N8:Q8))))</f>
        <v>1960 - 0%</v>
      </c>
      <c r="R8" s="25" t="str">
        <f>IF(COLUMNS($N8:R8)&gt;$M8,"",INDEX($A$2:$A$84,_xlfn.AGGREGATE(15,6,(ROW($A$2:$A$84)-ROW($A$2)+1)/(($C$2:$C$84&gt;=$J8)*($C$2:$C$84&lt;=$K8)),COLUMNS($N8:R8))))</f>
        <v>1970 - 4%</v>
      </c>
      <c r="S8" s="25" t="str">
        <f>IF(COLUMNS($N8:S8)&gt;$M8,"",INDEX($A$2:$A$84,_xlfn.AGGREGATE(15,6,(ROW($A$2:$A$84)-ROW($A$2)+1)/(($C$2:$C$84&gt;=$J8)*($C$2:$C$84&lt;=$K8)),COLUMNS($N8:S8))))</f>
        <v>1978 - 7%</v>
      </c>
      <c r="T8" s="25" t="str">
        <f>IF(COLUMNS($N8:T8)&gt;$M8,"",INDEX($A$2:$A$84,_xlfn.AGGREGATE(15,6,(ROW($A$2:$A$84)-ROW($A$2)+1)/(($C$2:$C$84&gt;=$J8)*($C$2:$C$84&lt;=$K8)),COLUMNS($N8:T8))))</f>
        <v>1984 - 6%</v>
      </c>
      <c r="U8" s="25" t="str">
        <f>IF(COLUMNS($N8:U8)&gt;$M8,"",INDEX($A$2:$A$84,_xlfn.AGGREGATE(15,6,(ROW($A$2:$A$84)-ROW($A$2)+1)/(($C$2:$C$84&gt;=$J8)*($C$2:$C$84&lt;=$K8)),COLUMNS($N8:U8))))</f>
        <v>1987 - 5%</v>
      </c>
      <c r="V8" s="25" t="str">
        <f>IF(COLUMNS($N8:V8)&gt;$M8,"",INDEX($A$2:$A$84,_xlfn.AGGREGATE(15,6,(ROW($A$2:$A$84)-ROW($A$2)+1)/(($C$2:$C$84&gt;=$J8)*($C$2:$C$84&lt;=$K8)),COLUMNS($N8:V8))))</f>
        <v>1992 - 8%</v>
      </c>
      <c r="W8" s="25" t="str">
        <f>IF(COLUMNS($N8:W8)&gt;$M8,"",INDEX($A$2:$A$84,_xlfn.AGGREGATE(15,6,(ROW($A$2:$A$84)-ROW($A$2)+1)/(($C$2:$C$84&gt;=$J8)*($C$2:$C$84&lt;=$K8)),COLUMNS($N8:W8))))</f>
        <v>1994 - 1%</v>
      </c>
      <c r="X8" s="25" t="str">
        <f>IF(COLUMNS($N8:X8)&gt;$M8,"",INDEX($A$2:$A$84,_xlfn.AGGREGATE(15,6,(ROW($A$2:$A$84)-ROW($A$2)+1)/(($C$2:$C$84&gt;=$J8)*($C$2:$C$84&lt;=$K8)),COLUMNS($N8:X8))))</f>
        <v>2005 - 5%</v>
      </c>
      <c r="Y8" s="25" t="str">
        <f>IF(COLUMNS($N8:Y8)&gt;$M8,"",INDEX($A$2:$A$84,_xlfn.AGGREGATE(15,6,(ROW($A$2:$A$84)-ROW($A$2)+1)/(($C$2:$C$84&gt;=$J8)*($C$2:$C$84&lt;=$K8)),COLUMNS($N8:Y8))))</f>
        <v>2007 - 5%</v>
      </c>
      <c r="Z8" s="25" t="str">
        <f>IF(COLUMNS($N8:Z8)&gt;$M8,"",INDEX($A$2:$A$84,_xlfn.AGGREGATE(15,6,(ROW($A$2:$A$84)-ROW($A$2)+1)/(($C$2:$C$84&gt;=$J8)*($C$2:$C$84&lt;=$K8)),COLUMNS($N8:Z8))))</f>
        <v/>
      </c>
      <c r="AA8" s="25" t="str">
        <f>IF(COLUMNS($N8:AA8)&gt;$M8,"",INDEX($A$2:$A$84,_xlfn.AGGREGATE(15,6,(ROW($A$2:$A$84)-ROW($A$2)+1)/(($C$2:$C$84&gt;=$J8)*($C$2:$C$84&lt;=$K8)),COLUMNS($N8:AA8))))</f>
        <v/>
      </c>
      <c r="AB8" s="25" t="str">
        <f>IF(COLUMNS($N8:AB8)&gt;$M8,"",INDEX($A$2:$A$84,_xlfn.AGGREGATE(15,6,(ROW($A$2:$A$84)-ROW($A$2)+1)/(($C$2:$C$84&gt;=$J8)*($C$2:$C$84&lt;=$K8)),COLUMNS($N8:AB8))))</f>
        <v/>
      </c>
      <c r="AC8" s="25" t="str">
        <f>IF(COLUMNS($N8:AC8)&gt;$M8,"",INDEX($A$2:$A$84,_xlfn.AGGREGATE(15,6,(ROW($A$2:$A$84)-ROW($A$2)+1)/(($C$2:$C$84&gt;=$J8)*($C$2:$C$84&lt;=$K8)),COLUMNS($N8:AC8))))</f>
        <v/>
      </c>
      <c r="AD8" s="25" t="str">
        <f>IF(COLUMNS($N8:AD8)&gt;$M8,"",INDEX($A$2:$A$84,_xlfn.AGGREGATE(15,6,(ROW($A$2:$A$84)-ROW($A$2)+1)/(($C$2:$C$84&gt;=$J8)*($C$2:$C$84&lt;=$K8)),COLUMNS($N8:AD8))))</f>
        <v/>
      </c>
      <c r="AE8" s="25" t="str">
        <f>IF(COLUMNS($N8:AE8)&gt;$M8,"",INDEX($A$2:$A$84,_xlfn.AGGREGATE(15,6,(ROW($A$2:$A$84)-ROW($A$2)+1)/(($C$2:$C$84&gt;=$J8)*($C$2:$C$84&lt;=$K8)),COLUMNS($N8:AE8))))</f>
        <v/>
      </c>
      <c r="AF8" s="25" t="str">
        <f>IF(COLUMNS($N8:AF8)&gt;$M8,"",INDEX($A$2:$A$84,_xlfn.AGGREGATE(15,6,(ROW($A$2:$A$84)-ROW($A$2)+1)/(($C$2:$C$84&gt;=$J8)*($C$2:$C$84&lt;=$K8)),COLUMNS($N8:AF8))))</f>
        <v/>
      </c>
      <c r="AG8" s="31" t="str">
        <f>IF(COLUMNS($N8:AG8)&gt;$M8,"",INDEX($A$2:$A$84,_xlfn.AGGREGATE(15,6,(ROW($A$2:$A$84)-ROW($A$2)+1)/(($C$2:$C$84&gt;=$J8)*($C$2:$C$84&lt;=$K8)),COLUMNS($N8:AG8))))</f>
        <v/>
      </c>
    </row>
    <row r="9" spans="1:33" ht="54" customHeight="1" x14ac:dyDescent="0.3">
      <c r="A9" t="str">
        <f t="shared" si="2"/>
        <v>1933 - 53%</v>
      </c>
      <c r="B9" s="3">
        <v>1933</v>
      </c>
      <c r="C9" s="1">
        <f>Data!B115</f>
        <v>0.52880000000000005</v>
      </c>
      <c r="D9" s="3">
        <v>8</v>
      </c>
      <c r="E9" s="1">
        <f>Data!D115</f>
        <v>3.0999999999999999E-3</v>
      </c>
      <c r="F9" s="21">
        <v>7.97</v>
      </c>
      <c r="G9" s="1">
        <f>Data!F115</f>
        <v>5.1999999999999998E-3</v>
      </c>
      <c r="H9" s="21">
        <v>7.94</v>
      </c>
      <c r="J9" s="22">
        <f t="shared" si="3"/>
        <v>0.1</v>
      </c>
      <c r="K9" s="22">
        <f t="shared" si="4"/>
        <v>0.2</v>
      </c>
      <c r="L9" s="26" t="str">
        <f t="shared" si="0"/>
        <v>10%-
20%</v>
      </c>
      <c r="M9" s="24">
        <f t="shared" si="1"/>
        <v>16</v>
      </c>
      <c r="N9" s="30" t="str">
        <f>IF(COLUMNS($N9:N9)&gt;$M9,"",INDEX($A$2:$A$84,_xlfn.AGGREGATE(15,6,(ROW($A$2:$A$84)-ROW($A$2)+1)/(($C$2:$C$84&gt;=$J9)*($C$2:$C$84&lt;=$K9)),COLUMNS($N9:N9))))</f>
        <v>1926 - 11%</v>
      </c>
      <c r="O9" s="25" t="str">
        <f>IF(COLUMNS($N9:O9)&gt;$M9,"",INDEX($A$2:$A$84,_xlfn.AGGREGATE(15,6,(ROW($A$2:$A$84)-ROW($A$2)+1)/(($C$2:$C$84&gt;=$J9)*($C$2:$C$84&lt;=$K9)),COLUMNS($N9:O9))))</f>
        <v>1944 - 20%</v>
      </c>
      <c r="P9" s="25" t="str">
        <f>IF(COLUMNS($N9:P9)&gt;$M9,"",INDEX($A$2:$A$84,_xlfn.AGGREGATE(15,6,(ROW($A$2:$A$84)-ROW($A$2)+1)/(($C$2:$C$84&gt;=$J9)*($C$2:$C$84&lt;=$K9)),COLUMNS($N9:P9))))</f>
        <v>1949 - 18%</v>
      </c>
      <c r="Q9" s="25" t="str">
        <f>IF(COLUMNS($N9:Q9)&gt;$M9,"",INDEX($A$2:$A$84,_xlfn.AGGREGATE(15,6,(ROW($A$2:$A$84)-ROW($A$2)+1)/(($C$2:$C$84&gt;=$J9)*($C$2:$C$84&lt;=$K9)),COLUMNS($N9:Q9))))</f>
        <v>1952 - 19%</v>
      </c>
      <c r="R9" s="25" t="str">
        <f>IF(COLUMNS($N9:R9)&gt;$M9,"",INDEX($A$2:$A$84,_xlfn.AGGREGATE(15,6,(ROW($A$2:$A$84)-ROW($A$2)+1)/(($C$2:$C$84&gt;=$J9)*($C$2:$C$84&lt;=$K9)),COLUMNS($N9:R9))))</f>
        <v>1959 - 12%</v>
      </c>
      <c r="S9" s="25" t="str">
        <f>IF(COLUMNS($N9:S9)&gt;$M9,"",INDEX($A$2:$A$84,_xlfn.AGGREGATE(15,6,(ROW($A$2:$A$84)-ROW($A$2)+1)/(($C$2:$C$84&gt;=$J9)*($C$2:$C$84&lt;=$K9)),COLUMNS($N9:S9))))</f>
        <v>1964 - 16%</v>
      </c>
      <c r="T9" s="25" t="str">
        <f>IF(COLUMNS($N9:T9)&gt;$M9,"",INDEX($A$2:$A$84,_xlfn.AGGREGATE(15,6,(ROW($A$2:$A$84)-ROW($A$2)+1)/(($C$2:$C$84&gt;=$J9)*($C$2:$C$84&lt;=$K9)),COLUMNS($N9:T9))))</f>
        <v>1965 - 12%</v>
      </c>
      <c r="U9" s="25" t="str">
        <f>IF(COLUMNS($N9:U9)&gt;$M9,"",INDEX($A$2:$A$84,_xlfn.AGGREGATE(15,6,(ROW($A$2:$A$84)-ROW($A$2)+1)/(($C$2:$C$84&gt;=$J9)*($C$2:$C$84&lt;=$K9)),COLUMNS($N9:U9))))</f>
        <v>1968 - 11%</v>
      </c>
      <c r="V9" s="25" t="str">
        <f>IF(COLUMNS($N9:V9)&gt;$M9,"",INDEX($A$2:$A$84,_xlfn.AGGREGATE(15,6,(ROW($A$2:$A$84)-ROW($A$2)+1)/(($C$2:$C$84&gt;=$J9)*($C$2:$C$84&lt;=$K9)),COLUMNS($N9:V9))))</f>
        <v>1971 - 14%</v>
      </c>
      <c r="W9" s="25" t="str">
        <f>IF(COLUMNS($N9:W9)&gt;$M9,"",INDEX($A$2:$A$84,_xlfn.AGGREGATE(15,6,(ROW($A$2:$A$84)-ROW($A$2)+1)/(($C$2:$C$84&gt;=$J9)*($C$2:$C$84&lt;=$K9)),COLUMNS($N9:W9))))</f>
        <v>1972 - 19%</v>
      </c>
      <c r="X9" s="25" t="str">
        <f>IF(COLUMNS($N9:X9)&gt;$M9,"",INDEX($A$2:$A$84,_xlfn.AGGREGATE(15,6,(ROW($A$2:$A$84)-ROW($A$2)+1)/(($C$2:$C$84&gt;=$J9)*($C$2:$C$84&lt;=$K9)),COLUMNS($N9:X9))))</f>
        <v>1979 - 19%</v>
      </c>
      <c r="Y9" s="25" t="str">
        <f>IF(COLUMNS($N9:Y9)&gt;$M9,"",INDEX($A$2:$A$84,_xlfn.AGGREGATE(15,6,(ROW($A$2:$A$84)-ROW($A$2)+1)/(($C$2:$C$84&gt;=$J9)*($C$2:$C$84&lt;=$K9)),COLUMNS($N9:Y9))))</f>
        <v>1986 - 19%</v>
      </c>
      <c r="Z9" s="25" t="str">
        <f>IF(COLUMNS($N9:Z9)&gt;$M9,"",INDEX($A$2:$A$84,_xlfn.AGGREGATE(15,6,(ROW($A$2:$A$84)-ROW($A$2)+1)/(($C$2:$C$84&gt;=$J9)*($C$2:$C$84&lt;=$K9)),COLUMNS($N9:Z9))))</f>
        <v>1988 - 17%</v>
      </c>
      <c r="AA9" s="25" t="str">
        <f>IF(COLUMNS($N9:AA9)&gt;$M9,"",INDEX($A$2:$A$84,_xlfn.AGGREGATE(15,6,(ROW($A$2:$A$84)-ROW($A$2)+1)/(($C$2:$C$84&gt;=$J9)*($C$2:$C$84&lt;=$K9)),COLUMNS($N9:AA9))))</f>
        <v>1993 - 10%</v>
      </c>
      <c r="AB9" s="25" t="str">
        <f>IF(COLUMNS($N9:AB9)&gt;$M9,"",INDEX($A$2:$A$84,_xlfn.AGGREGATE(15,6,(ROW($A$2:$A$84)-ROW($A$2)+1)/(($C$2:$C$84&gt;=$J9)*($C$2:$C$84&lt;=$K9)),COLUMNS($N9:AB9))))</f>
        <v>2004 - 11%</v>
      </c>
      <c r="AC9" s="25" t="str">
        <f>IF(COLUMNS($N9:AC9)&gt;$M9,"",INDEX($A$2:$A$84,_xlfn.AGGREGATE(15,6,(ROW($A$2:$A$84)-ROW($A$2)+1)/(($C$2:$C$84&gt;=$J9)*($C$2:$C$84&lt;=$K9)),COLUMNS($N9:AC9))))</f>
        <v>2006 - 16%</v>
      </c>
      <c r="AD9" s="25" t="str">
        <f>IF(COLUMNS($N9:AD9)&gt;$M9,"",INDEX($A$2:$A$84,_xlfn.AGGREGATE(15,6,(ROW($A$2:$A$84)-ROW($A$2)+1)/(($C$2:$C$84&gt;=$J9)*($C$2:$C$84&lt;=$K9)),COLUMNS($N9:AD9))))</f>
        <v/>
      </c>
      <c r="AE9" s="25" t="str">
        <f>IF(COLUMNS($N9:AE9)&gt;$M9,"",INDEX($A$2:$A$84,_xlfn.AGGREGATE(15,6,(ROW($A$2:$A$84)-ROW($A$2)+1)/(($C$2:$C$84&gt;=$J9)*($C$2:$C$84&lt;=$K9)),COLUMNS($N9:AE9))))</f>
        <v/>
      </c>
      <c r="AF9" s="25" t="str">
        <f>IF(COLUMNS($N9:AF9)&gt;$M9,"",INDEX($A$2:$A$84,_xlfn.AGGREGATE(15,6,(ROW($A$2:$A$84)-ROW($A$2)+1)/(($C$2:$C$84&gt;=$J9)*($C$2:$C$84&lt;=$K9)),COLUMNS($N9:AF9))))</f>
        <v/>
      </c>
      <c r="AG9" s="31" t="str">
        <f>IF(COLUMNS($N9:AG9)&gt;$M9,"",INDEX($A$2:$A$84,_xlfn.AGGREGATE(15,6,(ROW($A$2:$A$84)-ROW($A$2)+1)/(($C$2:$C$84&gt;=$J9)*($C$2:$C$84&lt;=$K9)),COLUMNS($N9:AG9))))</f>
        <v/>
      </c>
    </row>
    <row r="10" spans="1:33" ht="54" customHeight="1" x14ac:dyDescent="0.3">
      <c r="A10" t="str">
        <f t="shared" si="2"/>
        <v>1934 - -2%</v>
      </c>
      <c r="B10" s="3">
        <v>1934</v>
      </c>
      <c r="C10" s="1">
        <f>Data!B116</f>
        <v>-2.3400000000000001E-2</v>
      </c>
      <c r="D10" s="3">
        <v>9</v>
      </c>
      <c r="E10" s="1">
        <f>Data!D116</f>
        <v>0.1298</v>
      </c>
      <c r="F10" s="21">
        <v>8.9700000000000006</v>
      </c>
      <c r="G10" s="1">
        <f>Data!F116</f>
        <v>2.7000000000000001E-3</v>
      </c>
      <c r="H10" s="21">
        <v>8.94</v>
      </c>
      <c r="J10" s="22">
        <f t="shared" si="3"/>
        <v>0.2</v>
      </c>
      <c r="K10" s="22">
        <f t="shared" si="4"/>
        <v>0.30000000000000004</v>
      </c>
      <c r="L10" s="26" t="str">
        <f t="shared" si="0"/>
        <v>20%-
30%</v>
      </c>
      <c r="M10" s="24">
        <f t="shared" si="1"/>
        <v>13</v>
      </c>
      <c r="N10" s="30" t="str">
        <f>IF(COLUMNS($N10:N10)&gt;$M10,"",INDEX($A$2:$A$84,_xlfn.AGGREGATE(15,6,(ROW($A$2:$A$84)-ROW($A$2)+1)/(($C$2:$C$84&gt;=$J10)*($C$2:$C$84&lt;=$K10)),COLUMNS($N10:N10))))</f>
        <v>1942 - 21%</v>
      </c>
      <c r="O10" s="25" t="str">
        <f>IF(COLUMNS($N10:O10)&gt;$M10,"",INDEX($A$2:$A$84,_xlfn.AGGREGATE(15,6,(ROW($A$2:$A$84)-ROW($A$2)+1)/(($C$2:$C$84&gt;=$J10)*($C$2:$C$84&lt;=$K10)),COLUMNS($N10:O10))))</f>
        <v>1943 - 26%</v>
      </c>
      <c r="P10" s="25" t="str">
        <f>IF(COLUMNS($N10:P10)&gt;$M10,"",INDEX($A$2:$A$84,_xlfn.AGGREGATE(15,6,(ROW($A$2:$A$84)-ROW($A$2)+1)/(($C$2:$C$84&gt;=$J10)*($C$2:$C$84&lt;=$K10)),COLUMNS($N10:P10))))</f>
        <v>1951 - 25%</v>
      </c>
      <c r="Q10" s="25" t="str">
        <f>IF(COLUMNS($N10:Q10)&gt;$M10,"",INDEX($A$2:$A$84,_xlfn.AGGREGATE(15,6,(ROW($A$2:$A$84)-ROW($A$2)+1)/(($C$2:$C$84&gt;=$J10)*($C$2:$C$84&lt;=$K10)),COLUMNS($N10:Q10))))</f>
        <v>1961 - 27%</v>
      </c>
      <c r="R10" s="25" t="str">
        <f>IF(COLUMNS($N10:R10)&gt;$M10,"",INDEX($A$2:$A$84,_xlfn.AGGREGATE(15,6,(ROW($A$2:$A$84)-ROW($A$2)+1)/(($C$2:$C$84&gt;=$J10)*($C$2:$C$84&lt;=$K10)),COLUMNS($N10:R10))))</f>
        <v>1963 - 23%</v>
      </c>
      <c r="S10" s="25" t="str">
        <f>IF(COLUMNS($N10:S10)&gt;$M10,"",INDEX($A$2:$A$84,_xlfn.AGGREGATE(15,6,(ROW($A$2:$A$84)-ROW($A$2)+1)/(($C$2:$C$84&gt;=$J10)*($C$2:$C$84&lt;=$K10)),COLUMNS($N10:S10))))</f>
        <v>1967 - 24%</v>
      </c>
      <c r="T10" s="25" t="str">
        <f>IF(COLUMNS($N10:T10)&gt;$M10,"",INDEX($A$2:$A$84,_xlfn.AGGREGATE(15,6,(ROW($A$2:$A$84)-ROW($A$2)+1)/(($C$2:$C$84&gt;=$J10)*($C$2:$C$84&lt;=$K10)),COLUMNS($N10:T10))))</f>
        <v>1976 - 24%</v>
      </c>
      <c r="U10" s="25" t="str">
        <f>IF(COLUMNS($N10:U10)&gt;$M10,"",INDEX($A$2:$A$84,_xlfn.AGGREGATE(15,6,(ROW($A$2:$A$84)-ROW($A$2)+1)/(($C$2:$C$84&gt;=$J10)*($C$2:$C$84&lt;=$K10)),COLUMNS($N10:U10))))</f>
        <v>1982 - 22%</v>
      </c>
      <c r="V10" s="25" t="str">
        <f>IF(COLUMNS($N10:V10)&gt;$M10,"",INDEX($A$2:$A$84,_xlfn.AGGREGATE(15,6,(ROW($A$2:$A$84)-ROW($A$2)+1)/(($C$2:$C$84&gt;=$J10)*($C$2:$C$84&lt;=$K10)),COLUMNS($N10:V10))))</f>
        <v>1983 - 23%</v>
      </c>
      <c r="W10" s="25" t="str">
        <f>IF(COLUMNS($N10:W10)&gt;$M10,"",INDEX($A$2:$A$84,_xlfn.AGGREGATE(15,6,(ROW($A$2:$A$84)-ROW($A$2)+1)/(($C$2:$C$84&gt;=$J10)*($C$2:$C$84&lt;=$K10)),COLUMNS($N10:W10))))</f>
        <v>1996 - 23%</v>
      </c>
      <c r="X10" s="25" t="str">
        <f>IF(COLUMNS($N10:X10)&gt;$M10,"",INDEX($A$2:$A$84,_xlfn.AGGREGATE(15,6,(ROW($A$2:$A$84)-ROW($A$2)+1)/(($C$2:$C$84&gt;=$J10)*($C$2:$C$84&lt;=$K10)),COLUMNS($N10:X10))))</f>
        <v>1998 - 29%</v>
      </c>
      <c r="Y10" s="25" t="str">
        <f>IF(COLUMNS($N10:Y10)&gt;$M10,"",INDEX($A$2:$A$84,_xlfn.AGGREGATE(15,6,(ROW($A$2:$A$84)-ROW($A$2)+1)/(($C$2:$C$84&gt;=$J10)*($C$2:$C$84&lt;=$K10)),COLUMNS($N10:Y10))))</f>
        <v>1999 - 21%</v>
      </c>
      <c r="Z10" s="25" t="str">
        <f>IF(COLUMNS($N10:Z10)&gt;$M10,"",INDEX($A$2:$A$84,_xlfn.AGGREGATE(15,6,(ROW($A$2:$A$84)-ROW($A$2)+1)/(($C$2:$C$84&gt;=$J10)*($C$2:$C$84&lt;=$K10)),COLUMNS($N10:Z10))))</f>
        <v>2003 - 29%</v>
      </c>
      <c r="AA10" s="25" t="str">
        <f>IF(COLUMNS($N10:AA10)&gt;$M10,"",INDEX($A$2:$A$84,_xlfn.AGGREGATE(15,6,(ROW($A$2:$A$84)-ROW($A$2)+1)/(($C$2:$C$84&gt;=$J10)*($C$2:$C$84&lt;=$K10)),COLUMNS($N10:AA10))))</f>
        <v/>
      </c>
      <c r="AB10" s="25" t="str">
        <f>IF(COLUMNS($N10:AB10)&gt;$M10,"",INDEX($A$2:$A$84,_xlfn.AGGREGATE(15,6,(ROW($A$2:$A$84)-ROW($A$2)+1)/(($C$2:$C$84&gt;=$J10)*($C$2:$C$84&lt;=$K10)),COLUMNS($N10:AB10))))</f>
        <v/>
      </c>
      <c r="AC10" s="25" t="str">
        <f>IF(COLUMNS($N10:AC10)&gt;$M10,"",INDEX($A$2:$A$84,_xlfn.AGGREGATE(15,6,(ROW($A$2:$A$84)-ROW($A$2)+1)/(($C$2:$C$84&gt;=$J10)*($C$2:$C$84&lt;=$K10)),COLUMNS($N10:AC10))))</f>
        <v/>
      </c>
      <c r="AD10" s="25" t="str">
        <f>IF(COLUMNS($N10:AD10)&gt;$M10,"",INDEX($A$2:$A$84,_xlfn.AGGREGATE(15,6,(ROW($A$2:$A$84)-ROW($A$2)+1)/(($C$2:$C$84&gt;=$J10)*($C$2:$C$84&lt;=$K10)),COLUMNS($N10:AD10))))</f>
        <v/>
      </c>
      <c r="AE10" s="25" t="str">
        <f>IF(COLUMNS($N10:AE10)&gt;$M10,"",INDEX($A$2:$A$84,_xlfn.AGGREGATE(15,6,(ROW($A$2:$A$84)-ROW($A$2)+1)/(($C$2:$C$84&gt;=$J10)*($C$2:$C$84&lt;=$K10)),COLUMNS($N10:AE10))))</f>
        <v/>
      </c>
      <c r="AF10" s="25" t="str">
        <f>IF(COLUMNS($N10:AF10)&gt;$M10,"",INDEX($A$2:$A$84,_xlfn.AGGREGATE(15,6,(ROW($A$2:$A$84)-ROW($A$2)+1)/(($C$2:$C$84&gt;=$J10)*($C$2:$C$84&lt;=$K10)),COLUMNS($N10:AF10))))</f>
        <v/>
      </c>
      <c r="AG10" s="31" t="str">
        <f>IF(COLUMNS($N10:AG10)&gt;$M10,"",INDEX($A$2:$A$84,_xlfn.AGGREGATE(15,6,(ROW($A$2:$A$84)-ROW($A$2)+1)/(($C$2:$C$84&gt;=$J10)*($C$2:$C$84&lt;=$K10)),COLUMNS($N10:AG10))))</f>
        <v/>
      </c>
    </row>
    <row r="11" spans="1:33" ht="54" customHeight="1" x14ac:dyDescent="0.3">
      <c r="A11" t="str">
        <f t="shared" si="2"/>
        <v>1935 - 47%</v>
      </c>
      <c r="B11" s="3">
        <v>1935</v>
      </c>
      <c r="C11" s="1">
        <f>Data!B117</f>
        <v>0.47220000000000001</v>
      </c>
      <c r="D11" s="3">
        <v>10</v>
      </c>
      <c r="E11" s="1">
        <f>Data!D117</f>
        <v>5.8799999999999998E-2</v>
      </c>
      <c r="F11" s="21">
        <v>9.9700000000000006</v>
      </c>
      <c r="G11" s="1">
        <f>Data!F117</f>
        <v>1.6999999999999999E-3</v>
      </c>
      <c r="H11" s="21">
        <v>9.94</v>
      </c>
      <c r="J11" s="22">
        <f t="shared" si="3"/>
        <v>0.30000000000000004</v>
      </c>
      <c r="K11" s="22">
        <f t="shared" si="4"/>
        <v>0.4</v>
      </c>
      <c r="L11" s="26" t="str">
        <f t="shared" si="0"/>
        <v>30%-
40%</v>
      </c>
      <c r="M11" s="24">
        <f t="shared" si="1"/>
        <v>13</v>
      </c>
      <c r="N11" s="30" t="str">
        <f>IF(COLUMNS($N11:N11)&gt;$M11,"",INDEX($A$2:$A$84,_xlfn.AGGREGATE(15,6,(ROW($A$2:$A$84)-ROW($A$2)+1)/(($C$2:$C$84&gt;=$J11)*($C$2:$C$84&lt;=$K11)),COLUMNS($N11:N11))))</f>
        <v>1927 - 37%</v>
      </c>
      <c r="O11" s="25" t="str">
        <f>IF(COLUMNS($N11:O11)&gt;$M11,"",INDEX($A$2:$A$84,_xlfn.AGGREGATE(15,6,(ROW($A$2:$A$84)-ROW($A$2)+1)/(($C$2:$C$84&gt;=$J11)*($C$2:$C$84&lt;=$K11)),COLUMNS($N11:O11))))</f>
        <v>1936 - 33%</v>
      </c>
      <c r="P11" s="25" t="str">
        <f>IF(COLUMNS($N11:P11)&gt;$M11,"",INDEX($A$2:$A$84,_xlfn.AGGREGATE(15,6,(ROW($A$2:$A$84)-ROW($A$2)+1)/(($C$2:$C$84&gt;=$J11)*($C$2:$C$84&lt;=$K11)),COLUMNS($N11:P11))))</f>
        <v>1938 - 33%</v>
      </c>
      <c r="Q11" s="25" t="str">
        <f>IF(COLUMNS($N11:Q11)&gt;$M11,"",INDEX($A$2:$A$84,_xlfn.AGGREGATE(15,6,(ROW($A$2:$A$84)-ROW($A$2)+1)/(($C$2:$C$84&gt;=$J11)*($C$2:$C$84&lt;=$K11)),COLUMNS($N11:Q11))))</f>
        <v>1945 - 36%</v>
      </c>
      <c r="R11" s="25" t="str">
        <f>IF(COLUMNS($N11:R11)&gt;$M11,"",INDEX($A$2:$A$84,_xlfn.AGGREGATE(15,6,(ROW($A$2:$A$84)-ROW($A$2)+1)/(($C$2:$C$84&gt;=$J11)*($C$2:$C$84&lt;=$K11)),COLUMNS($N11:R11))))</f>
        <v>1950 - 31%</v>
      </c>
      <c r="S11" s="25" t="str">
        <f>IF(COLUMNS($N11:S11)&gt;$M11,"",INDEX($A$2:$A$84,_xlfn.AGGREGATE(15,6,(ROW($A$2:$A$84)-ROW($A$2)+1)/(($C$2:$C$84&gt;=$J11)*($C$2:$C$84&lt;=$K11)),COLUMNS($N11:S11))))</f>
        <v>1955 - 31%</v>
      </c>
      <c r="T11" s="25" t="str">
        <f>IF(COLUMNS($N11:T11)&gt;$M11,"",INDEX($A$2:$A$84,_xlfn.AGGREGATE(15,6,(ROW($A$2:$A$84)-ROW($A$2)+1)/(($C$2:$C$84&gt;=$J11)*($C$2:$C$84&lt;=$K11)),COLUMNS($N11:T11))))</f>
        <v>1975 - 37%</v>
      </c>
      <c r="U11" s="25" t="str">
        <f>IF(COLUMNS($N11:U11)&gt;$M11,"",INDEX($A$2:$A$84,_xlfn.AGGREGATE(15,6,(ROW($A$2:$A$84)-ROW($A$2)+1)/(($C$2:$C$84&gt;=$J11)*($C$2:$C$84&lt;=$K11)),COLUMNS($N11:U11))))</f>
        <v>1980 - 33%</v>
      </c>
      <c r="V11" s="25" t="str">
        <f>IF(COLUMNS($N11:V11)&gt;$M11,"",INDEX($A$2:$A$84,_xlfn.AGGREGATE(15,6,(ROW($A$2:$A$84)-ROW($A$2)+1)/(($C$2:$C$84&gt;=$J11)*($C$2:$C$84&lt;=$K11)),COLUMNS($N11:V11))))</f>
        <v>1985 - 32%</v>
      </c>
      <c r="W11" s="25" t="str">
        <f>IF(COLUMNS($N11:W11)&gt;$M11,"",INDEX($A$2:$A$84,_xlfn.AGGREGATE(15,6,(ROW($A$2:$A$84)-ROW($A$2)+1)/(($C$2:$C$84&gt;=$J11)*($C$2:$C$84&lt;=$K11)),COLUMNS($N11:W11))))</f>
        <v>1989 - 32%</v>
      </c>
      <c r="X11" s="25" t="str">
        <f>IF(COLUMNS($N11:X11)&gt;$M11,"",INDEX($A$2:$A$84,_xlfn.AGGREGATE(15,6,(ROW($A$2:$A$84)-ROW($A$2)+1)/(($C$2:$C$84&gt;=$J11)*($C$2:$C$84&lt;=$K11)),COLUMNS($N11:X11))))</f>
        <v>1991 - 30%</v>
      </c>
      <c r="Y11" s="25" t="str">
        <f>IF(COLUMNS($N11:Y11)&gt;$M11,"",INDEX($A$2:$A$84,_xlfn.AGGREGATE(15,6,(ROW($A$2:$A$84)-ROW($A$2)+1)/(($C$2:$C$84&gt;=$J11)*($C$2:$C$84&lt;=$K11)),COLUMNS($N11:Y11))))</f>
        <v>1995 - 38%</v>
      </c>
      <c r="Z11" s="25" t="str">
        <f>IF(COLUMNS($N11:Z11)&gt;$M11,"",INDEX($A$2:$A$84,_xlfn.AGGREGATE(15,6,(ROW($A$2:$A$84)-ROW($A$2)+1)/(($C$2:$C$84&gt;=$J11)*($C$2:$C$84&lt;=$K11)),COLUMNS($N11:Z11))))</f>
        <v>1997 - 33%</v>
      </c>
      <c r="AA11" s="25" t="str">
        <f>IF(COLUMNS($N11:AA11)&gt;$M11,"",INDEX($A$2:$A$84,_xlfn.AGGREGATE(15,6,(ROW($A$2:$A$84)-ROW($A$2)+1)/(($C$2:$C$84&gt;=$J11)*($C$2:$C$84&lt;=$K11)),COLUMNS($N11:AA11))))</f>
        <v/>
      </c>
      <c r="AB11" s="25" t="str">
        <f>IF(COLUMNS($N11:AB11)&gt;$M11,"",INDEX($A$2:$A$84,_xlfn.AGGREGATE(15,6,(ROW($A$2:$A$84)-ROW($A$2)+1)/(($C$2:$C$84&gt;=$J11)*($C$2:$C$84&lt;=$K11)),COLUMNS($N11:AB11))))</f>
        <v/>
      </c>
      <c r="AC11" s="25" t="str">
        <f>IF(COLUMNS($N11:AC11)&gt;$M11,"",INDEX($A$2:$A$84,_xlfn.AGGREGATE(15,6,(ROW($A$2:$A$84)-ROW($A$2)+1)/(($C$2:$C$84&gt;=$J11)*($C$2:$C$84&lt;=$K11)),COLUMNS($N11:AC11))))</f>
        <v/>
      </c>
      <c r="AD11" s="25" t="str">
        <f>IF(COLUMNS($N11:AD11)&gt;$M11,"",INDEX($A$2:$A$84,_xlfn.AGGREGATE(15,6,(ROW($A$2:$A$84)-ROW($A$2)+1)/(($C$2:$C$84&gt;=$J11)*($C$2:$C$84&lt;=$K11)),COLUMNS($N11:AD11))))</f>
        <v/>
      </c>
      <c r="AE11" s="25" t="str">
        <f>IF(COLUMNS($N11:AE11)&gt;$M11,"",INDEX($A$2:$A$84,_xlfn.AGGREGATE(15,6,(ROW($A$2:$A$84)-ROW($A$2)+1)/(($C$2:$C$84&gt;=$J11)*($C$2:$C$84&lt;=$K11)),COLUMNS($N11:AE11))))</f>
        <v/>
      </c>
      <c r="AF11" s="25" t="str">
        <f>IF(COLUMNS($N11:AF11)&gt;$M11,"",INDEX($A$2:$A$84,_xlfn.AGGREGATE(15,6,(ROW($A$2:$A$84)-ROW($A$2)+1)/(($C$2:$C$84&gt;=$J11)*($C$2:$C$84&lt;=$K11)),COLUMNS($N11:AF11))))</f>
        <v/>
      </c>
      <c r="AG11" s="31" t="str">
        <f>IF(COLUMNS($N11:AG11)&gt;$M11,"",INDEX($A$2:$A$84,_xlfn.AGGREGATE(15,6,(ROW($A$2:$A$84)-ROW($A$2)+1)/(($C$2:$C$84&gt;=$J11)*($C$2:$C$84&lt;=$K11)),COLUMNS($N11:AG11))))</f>
        <v/>
      </c>
    </row>
    <row r="12" spans="1:33" ht="54" customHeight="1" x14ac:dyDescent="0.3">
      <c r="A12" t="str">
        <f t="shared" si="2"/>
        <v>1936 - 33%</v>
      </c>
      <c r="B12" s="3">
        <v>1936</v>
      </c>
      <c r="C12" s="1">
        <f>Data!B118</f>
        <v>0.32800000000000001</v>
      </c>
      <c r="D12" s="3">
        <v>11</v>
      </c>
      <c r="E12" s="1">
        <f>Data!D118</f>
        <v>8.2199999999999995E-2</v>
      </c>
      <c r="F12" s="21">
        <v>10.97</v>
      </c>
      <c r="G12" s="1">
        <f>Data!F118</f>
        <v>1.6999999999999999E-3</v>
      </c>
      <c r="H12" s="21">
        <v>10.94</v>
      </c>
      <c r="J12" s="22">
        <f t="shared" si="3"/>
        <v>0.4</v>
      </c>
      <c r="K12" s="22">
        <f t="shared" si="4"/>
        <v>0.5</v>
      </c>
      <c r="L12" s="26" t="str">
        <f t="shared" si="0"/>
        <v>40%-
50%</v>
      </c>
      <c r="M12" s="24">
        <f t="shared" si="1"/>
        <v>3</v>
      </c>
      <c r="N12" s="30" t="str">
        <f>IF(COLUMNS($N12:N12)&gt;$M12,"",INDEX($A$2:$A$84,_xlfn.AGGREGATE(15,6,(ROW($A$2:$A$84)-ROW($A$2)+1)/(($C$2:$C$84&gt;=$J12)*($C$2:$C$84&lt;=$K12)),COLUMNS($N12:N12))))</f>
        <v>1928 - 43%</v>
      </c>
      <c r="O12" s="25" t="str">
        <f>IF(COLUMNS($N12:O12)&gt;$M12,"",INDEX($A$2:$A$84,_xlfn.AGGREGATE(15,6,(ROW($A$2:$A$84)-ROW($A$2)+1)/(($C$2:$C$84&gt;=$J12)*($C$2:$C$84&lt;=$K12)),COLUMNS($N12:O12))))</f>
        <v>1935 - 47%</v>
      </c>
      <c r="P12" s="25" t="str">
        <f>IF(COLUMNS($N12:P12)&gt;$M12,"",INDEX($A$2:$A$84,_xlfn.AGGREGATE(15,6,(ROW($A$2:$A$84)-ROW($A$2)+1)/(($C$2:$C$84&gt;=$J12)*($C$2:$C$84&lt;=$K12)),COLUMNS($N12:P12))))</f>
        <v>1958 - 43%</v>
      </c>
      <c r="Q12" s="25" t="str">
        <f>IF(COLUMNS($N12:Q12)&gt;$M12,"",INDEX($A$2:$A$84,_xlfn.AGGREGATE(15,6,(ROW($A$2:$A$84)-ROW($A$2)+1)/(($C$2:$C$84&gt;=$J12)*($C$2:$C$84&lt;=$K12)),COLUMNS($N12:Q12))))</f>
        <v/>
      </c>
      <c r="R12" s="25" t="str">
        <f>IF(COLUMNS($N12:R12)&gt;$M12,"",INDEX($A$2:$A$84,_xlfn.AGGREGATE(15,6,(ROW($A$2:$A$84)-ROW($A$2)+1)/(($C$2:$C$84&gt;=$J12)*($C$2:$C$84&lt;=$K12)),COLUMNS($N12:R12))))</f>
        <v/>
      </c>
      <c r="S12" s="25" t="str">
        <f>IF(COLUMNS($N12:S12)&gt;$M12,"",INDEX($A$2:$A$84,_xlfn.AGGREGATE(15,6,(ROW($A$2:$A$84)-ROW($A$2)+1)/(($C$2:$C$84&gt;=$J12)*($C$2:$C$84&lt;=$K12)),COLUMNS($N12:S12))))</f>
        <v/>
      </c>
      <c r="T12" s="25" t="str">
        <f>IF(COLUMNS($N12:T12)&gt;$M12,"",INDEX($A$2:$A$84,_xlfn.AGGREGATE(15,6,(ROW($A$2:$A$84)-ROW($A$2)+1)/(($C$2:$C$84&gt;=$J12)*($C$2:$C$84&lt;=$K12)),COLUMNS($N12:T12))))</f>
        <v/>
      </c>
      <c r="U12" s="25" t="str">
        <f>IF(COLUMNS($N12:U12)&gt;$M12,"",INDEX($A$2:$A$84,_xlfn.AGGREGATE(15,6,(ROW($A$2:$A$84)-ROW($A$2)+1)/(($C$2:$C$84&gt;=$J12)*($C$2:$C$84&lt;=$K12)),COLUMNS($N12:U12))))</f>
        <v/>
      </c>
      <c r="V12" s="25" t="str">
        <f>IF(COLUMNS($N12:V12)&gt;$M12,"",INDEX($A$2:$A$84,_xlfn.AGGREGATE(15,6,(ROW($A$2:$A$84)-ROW($A$2)+1)/(($C$2:$C$84&gt;=$J12)*($C$2:$C$84&lt;=$K12)),COLUMNS($N12:V12))))</f>
        <v/>
      </c>
      <c r="W12" s="25" t="str">
        <f>IF(COLUMNS($N12:W12)&gt;$M12,"",INDEX($A$2:$A$84,_xlfn.AGGREGATE(15,6,(ROW($A$2:$A$84)-ROW($A$2)+1)/(($C$2:$C$84&gt;=$J12)*($C$2:$C$84&lt;=$K12)),COLUMNS($N12:W12))))</f>
        <v/>
      </c>
      <c r="X12" s="25" t="str">
        <f>IF(COLUMNS($N12:X12)&gt;$M12,"",INDEX($A$2:$A$84,_xlfn.AGGREGATE(15,6,(ROW($A$2:$A$84)-ROW($A$2)+1)/(($C$2:$C$84&gt;=$J12)*($C$2:$C$84&lt;=$K12)),COLUMNS($N12:X12))))</f>
        <v/>
      </c>
      <c r="Y12" s="25" t="str">
        <f>IF(COLUMNS($N12:Y12)&gt;$M12,"",INDEX($A$2:$A$84,_xlfn.AGGREGATE(15,6,(ROW($A$2:$A$84)-ROW($A$2)+1)/(($C$2:$C$84&gt;=$J12)*($C$2:$C$84&lt;=$K12)),COLUMNS($N12:Y12))))</f>
        <v/>
      </c>
      <c r="Z12" s="25" t="str">
        <f>IF(COLUMNS($N12:Z12)&gt;$M12,"",INDEX($A$2:$A$84,_xlfn.AGGREGATE(15,6,(ROW($A$2:$A$84)-ROW($A$2)+1)/(($C$2:$C$84&gt;=$J12)*($C$2:$C$84&lt;=$K12)),COLUMNS($N12:Z12))))</f>
        <v/>
      </c>
      <c r="AA12" s="25" t="str">
        <f>IF(COLUMNS($N12:AA12)&gt;$M12,"",INDEX($A$2:$A$84,_xlfn.AGGREGATE(15,6,(ROW($A$2:$A$84)-ROW($A$2)+1)/(($C$2:$C$84&gt;=$J12)*($C$2:$C$84&lt;=$K12)),COLUMNS($N12:AA12))))</f>
        <v/>
      </c>
      <c r="AB12" s="25" t="str">
        <f>IF(COLUMNS($N12:AB12)&gt;$M12,"",INDEX($A$2:$A$84,_xlfn.AGGREGATE(15,6,(ROW($A$2:$A$84)-ROW($A$2)+1)/(($C$2:$C$84&gt;=$J12)*($C$2:$C$84&lt;=$K12)),COLUMNS($N12:AB12))))</f>
        <v/>
      </c>
      <c r="AC12" s="25" t="str">
        <f>IF(COLUMNS($N12:AC12)&gt;$M12,"",INDEX($A$2:$A$84,_xlfn.AGGREGATE(15,6,(ROW($A$2:$A$84)-ROW($A$2)+1)/(($C$2:$C$84&gt;=$J12)*($C$2:$C$84&lt;=$K12)),COLUMNS($N12:AC12))))</f>
        <v/>
      </c>
      <c r="AD12" s="25" t="str">
        <f>IF(COLUMNS($N12:AD12)&gt;$M12,"",INDEX($A$2:$A$84,_xlfn.AGGREGATE(15,6,(ROW($A$2:$A$84)-ROW($A$2)+1)/(($C$2:$C$84&gt;=$J12)*($C$2:$C$84&lt;=$K12)),COLUMNS($N12:AD12))))</f>
        <v/>
      </c>
      <c r="AE12" s="25" t="str">
        <f>IF(COLUMNS($N12:AE12)&gt;$M12,"",INDEX($A$2:$A$84,_xlfn.AGGREGATE(15,6,(ROW($A$2:$A$84)-ROW($A$2)+1)/(($C$2:$C$84&gt;=$J12)*($C$2:$C$84&lt;=$K12)),COLUMNS($N12:AE12))))</f>
        <v/>
      </c>
      <c r="AF12" s="25" t="str">
        <f>IF(COLUMNS($N12:AF12)&gt;$M12,"",INDEX($A$2:$A$84,_xlfn.AGGREGATE(15,6,(ROW($A$2:$A$84)-ROW($A$2)+1)/(($C$2:$C$84&gt;=$J12)*($C$2:$C$84&lt;=$K12)),COLUMNS($N12:AF12))))</f>
        <v/>
      </c>
      <c r="AG12" s="31" t="str">
        <f>IF(COLUMNS($N12:AG12)&gt;$M12,"",INDEX($A$2:$A$84,_xlfn.AGGREGATE(15,6,(ROW($A$2:$A$84)-ROW($A$2)+1)/(($C$2:$C$84&gt;=$J12)*($C$2:$C$84&lt;=$K12)),COLUMNS($N12:AG12))))</f>
        <v/>
      </c>
    </row>
    <row r="13" spans="1:33" ht="54" customHeight="1" x14ac:dyDescent="0.3">
      <c r="A13" t="str">
        <f t="shared" si="2"/>
        <v>1937 - -35%</v>
      </c>
      <c r="B13" s="3">
        <v>1937</v>
      </c>
      <c r="C13" s="1">
        <f>Data!B119</f>
        <v>-0.35260000000000002</v>
      </c>
      <c r="D13" s="3">
        <v>12</v>
      </c>
      <c r="E13" s="1">
        <f>Data!D119</f>
        <v>-1.2999999999999999E-3</v>
      </c>
      <c r="F13" s="21">
        <v>11.97</v>
      </c>
      <c r="G13" s="1">
        <f>Data!F119</f>
        <v>2.7000000000000001E-3</v>
      </c>
      <c r="H13" s="21">
        <v>11.94</v>
      </c>
      <c r="J13" s="22">
        <f t="shared" si="3"/>
        <v>0.5</v>
      </c>
      <c r="K13" s="22">
        <f t="shared" si="4"/>
        <v>0.6</v>
      </c>
      <c r="L13" s="26" t="str">
        <f t="shared" si="0"/>
        <v>50%-
60%</v>
      </c>
      <c r="M13" s="24">
        <f t="shared" si="1"/>
        <v>2</v>
      </c>
      <c r="N13" s="30" t="str">
        <f>IF(COLUMNS($N13:N13)&gt;$M13,"",INDEX($A$2:$A$84,_xlfn.AGGREGATE(15,6,(ROW($A$2:$A$84)-ROW($A$2)+1)/(($C$2:$C$84&gt;=$J13)*($C$2:$C$84&lt;=$K13)),COLUMNS($N13:N13))))</f>
        <v>1933 - 53%</v>
      </c>
      <c r="O13" s="25" t="str">
        <f>IF(COLUMNS($N13:O13)&gt;$M13,"",INDEX($A$2:$A$84,_xlfn.AGGREGATE(15,6,(ROW($A$2:$A$84)-ROW($A$2)+1)/(($C$2:$C$84&gt;=$J13)*($C$2:$C$84&lt;=$K13)),COLUMNS($N13:O13))))</f>
        <v>1954 - 52%</v>
      </c>
      <c r="P13" s="25" t="str">
        <f>IF(COLUMNS($N13:P13)&gt;$M13,"",INDEX($A$2:$A$84,_xlfn.AGGREGATE(15,6,(ROW($A$2:$A$84)-ROW($A$2)+1)/(($C$2:$C$84&gt;=$J13)*($C$2:$C$84&lt;=$K13)),COLUMNS($N13:P13))))</f>
        <v/>
      </c>
      <c r="Q13" s="25" t="str">
        <f>IF(COLUMNS($N13:Q13)&gt;$M13,"",INDEX($A$2:$A$84,_xlfn.AGGREGATE(15,6,(ROW($A$2:$A$84)-ROW($A$2)+1)/(($C$2:$C$84&gt;=$J13)*($C$2:$C$84&lt;=$K13)),COLUMNS($N13:Q13))))</f>
        <v/>
      </c>
      <c r="R13" s="25" t="str">
        <f>IF(COLUMNS($N13:R13)&gt;$M13,"",INDEX($A$2:$A$84,_xlfn.AGGREGATE(15,6,(ROW($A$2:$A$84)-ROW($A$2)+1)/(($C$2:$C$84&gt;=$J13)*($C$2:$C$84&lt;=$K13)),COLUMNS($N13:R13))))</f>
        <v/>
      </c>
      <c r="S13" s="25" t="str">
        <f>IF(COLUMNS($N13:S13)&gt;$M13,"",INDEX($A$2:$A$84,_xlfn.AGGREGATE(15,6,(ROW($A$2:$A$84)-ROW($A$2)+1)/(($C$2:$C$84&gt;=$J13)*($C$2:$C$84&lt;=$K13)),COLUMNS($N13:S13))))</f>
        <v/>
      </c>
      <c r="T13" s="25" t="str">
        <f>IF(COLUMNS($N13:T13)&gt;$M13,"",INDEX($A$2:$A$84,_xlfn.AGGREGATE(15,6,(ROW($A$2:$A$84)-ROW($A$2)+1)/(($C$2:$C$84&gt;=$J13)*($C$2:$C$84&lt;=$K13)),COLUMNS($N13:T13))))</f>
        <v/>
      </c>
      <c r="U13" s="25" t="str">
        <f>IF(COLUMNS($N13:U13)&gt;$M13,"",INDEX($A$2:$A$84,_xlfn.AGGREGATE(15,6,(ROW($A$2:$A$84)-ROW($A$2)+1)/(($C$2:$C$84&gt;=$J13)*($C$2:$C$84&lt;=$K13)),COLUMNS($N13:U13))))</f>
        <v/>
      </c>
      <c r="V13" s="25" t="str">
        <f>IF(COLUMNS($N13:V13)&gt;$M13,"",INDEX($A$2:$A$84,_xlfn.AGGREGATE(15,6,(ROW($A$2:$A$84)-ROW($A$2)+1)/(($C$2:$C$84&gt;=$J13)*($C$2:$C$84&lt;=$K13)),COLUMNS($N13:V13))))</f>
        <v/>
      </c>
      <c r="W13" s="25" t="str">
        <f>IF(COLUMNS($N13:W13)&gt;$M13,"",INDEX($A$2:$A$84,_xlfn.AGGREGATE(15,6,(ROW($A$2:$A$84)-ROW($A$2)+1)/(($C$2:$C$84&gt;=$J13)*($C$2:$C$84&lt;=$K13)),COLUMNS($N13:W13))))</f>
        <v/>
      </c>
      <c r="X13" s="25" t="str">
        <f>IF(COLUMNS($N13:X13)&gt;$M13,"",INDEX($A$2:$A$84,_xlfn.AGGREGATE(15,6,(ROW($A$2:$A$84)-ROW($A$2)+1)/(($C$2:$C$84&gt;=$J13)*($C$2:$C$84&lt;=$K13)),COLUMNS($N13:X13))))</f>
        <v/>
      </c>
      <c r="Y13" s="25" t="str">
        <f>IF(COLUMNS($N13:Y13)&gt;$M13,"",INDEX($A$2:$A$84,_xlfn.AGGREGATE(15,6,(ROW($A$2:$A$84)-ROW($A$2)+1)/(($C$2:$C$84&gt;=$J13)*($C$2:$C$84&lt;=$K13)),COLUMNS($N13:Y13))))</f>
        <v/>
      </c>
      <c r="Z13" s="25" t="str">
        <f>IF(COLUMNS($N13:Z13)&gt;$M13,"",INDEX($A$2:$A$84,_xlfn.AGGREGATE(15,6,(ROW($A$2:$A$84)-ROW($A$2)+1)/(($C$2:$C$84&gt;=$J13)*($C$2:$C$84&lt;=$K13)),COLUMNS($N13:Z13))))</f>
        <v/>
      </c>
      <c r="AA13" s="25" t="str">
        <f>IF(COLUMNS($N13:AA13)&gt;$M13,"",INDEX($A$2:$A$84,_xlfn.AGGREGATE(15,6,(ROW($A$2:$A$84)-ROW($A$2)+1)/(($C$2:$C$84&gt;=$J13)*($C$2:$C$84&lt;=$K13)),COLUMNS($N13:AA13))))</f>
        <v/>
      </c>
      <c r="AB13" s="25" t="str">
        <f>IF(COLUMNS($N13:AB13)&gt;$M13,"",INDEX($A$2:$A$84,_xlfn.AGGREGATE(15,6,(ROW($A$2:$A$84)-ROW($A$2)+1)/(($C$2:$C$84&gt;=$J13)*($C$2:$C$84&lt;=$K13)),COLUMNS($N13:AB13))))</f>
        <v/>
      </c>
      <c r="AC13" s="25" t="str">
        <f>IF(COLUMNS($N13:AC13)&gt;$M13,"",INDEX($A$2:$A$84,_xlfn.AGGREGATE(15,6,(ROW($A$2:$A$84)-ROW($A$2)+1)/(($C$2:$C$84&gt;=$J13)*($C$2:$C$84&lt;=$K13)),COLUMNS($N13:AC13))))</f>
        <v/>
      </c>
      <c r="AD13" s="25" t="str">
        <f>IF(COLUMNS($N13:AD13)&gt;$M13,"",INDEX($A$2:$A$84,_xlfn.AGGREGATE(15,6,(ROW($A$2:$A$84)-ROW($A$2)+1)/(($C$2:$C$84&gt;=$J13)*($C$2:$C$84&lt;=$K13)),COLUMNS($N13:AD13))))</f>
        <v/>
      </c>
      <c r="AE13" s="25" t="str">
        <f>IF(COLUMNS($N13:AE13)&gt;$M13,"",INDEX($A$2:$A$84,_xlfn.AGGREGATE(15,6,(ROW($A$2:$A$84)-ROW($A$2)+1)/(($C$2:$C$84&gt;=$J13)*($C$2:$C$84&lt;=$K13)),COLUMNS($N13:AE13))))</f>
        <v/>
      </c>
      <c r="AF13" s="25" t="str">
        <f>IF(COLUMNS($N13:AF13)&gt;$M13,"",INDEX($A$2:$A$84,_xlfn.AGGREGATE(15,6,(ROW($A$2:$A$84)-ROW($A$2)+1)/(($C$2:$C$84&gt;=$J13)*($C$2:$C$84&lt;=$K13)),COLUMNS($N13:AF13))))</f>
        <v/>
      </c>
      <c r="AG13" s="31" t="str">
        <f>IF(COLUMNS($N13:AG13)&gt;$M13,"",INDEX($A$2:$A$84,_xlfn.AGGREGATE(15,6,(ROW($A$2:$A$84)-ROW($A$2)+1)/(($C$2:$C$84&gt;=$J13)*($C$2:$C$84&lt;=$K13)),COLUMNS($N13:AG13))))</f>
        <v/>
      </c>
    </row>
    <row r="14" spans="1:33" ht="54" customHeight="1" thickBot="1" x14ac:dyDescent="0.35">
      <c r="A14" t="str">
        <f t="shared" si="2"/>
        <v>1938 - 33%</v>
      </c>
      <c r="B14" s="3">
        <v>1938</v>
      </c>
      <c r="C14" s="1">
        <f>Data!B120</f>
        <v>0.33200000000000002</v>
      </c>
      <c r="D14" s="3">
        <v>13</v>
      </c>
      <c r="E14" s="1">
        <f>Data!D120</f>
        <v>6.2600000000000003E-2</v>
      </c>
      <c r="F14" s="21">
        <v>12.97</v>
      </c>
      <c r="G14" s="1">
        <f>Data!F120</f>
        <v>5.9999999999999995E-4</v>
      </c>
      <c r="H14" s="21">
        <v>12.94</v>
      </c>
      <c r="J14" s="22">
        <f t="shared" si="3"/>
        <v>0.6</v>
      </c>
      <c r="K14" s="22">
        <f t="shared" si="4"/>
        <v>0.7</v>
      </c>
      <c r="L14" s="26" t="str">
        <f t="shared" si="0"/>
        <v>60%-
70%</v>
      </c>
      <c r="M14" s="24">
        <f t="shared" si="1"/>
        <v>0</v>
      </c>
      <c r="N14" s="32" t="str">
        <f>IF(COLUMNS($N14:N14)&gt;$M14,"",INDEX($A$2:$A$84,_xlfn.AGGREGATE(15,6,(ROW($A$2:$A$84)-ROW($A$2)+1)/(($C$2:$C$84&gt;=$J14)*($C$2:$C$84&lt;=$K14)),COLUMNS($N14:N14))))</f>
        <v/>
      </c>
      <c r="O14" s="33" t="str">
        <f>IF(COLUMNS($N14:O14)&gt;$M14,"",INDEX($A$2:$A$84,_xlfn.AGGREGATE(15,6,(ROW($A$2:$A$84)-ROW($A$2)+1)/(($C$2:$C$84&gt;=$J14)*($C$2:$C$84&lt;=$K14)),COLUMNS($N14:O14))))</f>
        <v/>
      </c>
      <c r="P14" s="33" t="str">
        <f>IF(COLUMNS($N14:P14)&gt;$M14,"",INDEX($A$2:$A$84,_xlfn.AGGREGATE(15,6,(ROW($A$2:$A$84)-ROW($A$2)+1)/(($C$2:$C$84&gt;=$J14)*($C$2:$C$84&lt;=$K14)),COLUMNS($N14:P14))))</f>
        <v/>
      </c>
      <c r="Q14" s="33" t="str">
        <f>IF(COLUMNS($N14:Q14)&gt;$M14,"",INDEX($A$2:$A$84,_xlfn.AGGREGATE(15,6,(ROW($A$2:$A$84)-ROW($A$2)+1)/(($C$2:$C$84&gt;=$J14)*($C$2:$C$84&lt;=$K14)),COLUMNS($N14:Q14))))</f>
        <v/>
      </c>
      <c r="R14" s="33" t="str">
        <f>IF(COLUMNS($N14:R14)&gt;$M14,"",INDEX($A$2:$A$84,_xlfn.AGGREGATE(15,6,(ROW($A$2:$A$84)-ROW($A$2)+1)/(($C$2:$C$84&gt;=$J14)*($C$2:$C$84&lt;=$K14)),COLUMNS($N14:R14))))</f>
        <v/>
      </c>
      <c r="S14" s="33" t="str">
        <f>IF(COLUMNS($N14:S14)&gt;$M14,"",INDEX($A$2:$A$84,_xlfn.AGGREGATE(15,6,(ROW($A$2:$A$84)-ROW($A$2)+1)/(($C$2:$C$84&gt;=$J14)*($C$2:$C$84&lt;=$K14)),COLUMNS($N14:S14))))</f>
        <v/>
      </c>
      <c r="T14" s="33" t="str">
        <f>IF(COLUMNS($N14:T14)&gt;$M14,"",INDEX($A$2:$A$84,_xlfn.AGGREGATE(15,6,(ROW($A$2:$A$84)-ROW($A$2)+1)/(($C$2:$C$84&gt;=$J14)*($C$2:$C$84&lt;=$K14)),COLUMNS($N14:T14))))</f>
        <v/>
      </c>
      <c r="U14" s="33" t="str">
        <f>IF(COLUMNS($N14:U14)&gt;$M14,"",INDEX($A$2:$A$84,_xlfn.AGGREGATE(15,6,(ROW($A$2:$A$84)-ROW($A$2)+1)/(($C$2:$C$84&gt;=$J14)*($C$2:$C$84&lt;=$K14)),COLUMNS($N14:U14))))</f>
        <v/>
      </c>
      <c r="V14" s="33" t="str">
        <f>IF(COLUMNS($N14:V14)&gt;$M14,"",INDEX($A$2:$A$84,_xlfn.AGGREGATE(15,6,(ROW($A$2:$A$84)-ROW($A$2)+1)/(($C$2:$C$84&gt;=$J14)*($C$2:$C$84&lt;=$K14)),COLUMNS($N14:V14))))</f>
        <v/>
      </c>
      <c r="W14" s="33" t="str">
        <f>IF(COLUMNS($N14:W14)&gt;$M14,"",INDEX($A$2:$A$84,_xlfn.AGGREGATE(15,6,(ROW($A$2:$A$84)-ROW($A$2)+1)/(($C$2:$C$84&gt;=$J14)*($C$2:$C$84&lt;=$K14)),COLUMNS($N14:W14))))</f>
        <v/>
      </c>
      <c r="X14" s="33" t="str">
        <f>IF(COLUMNS($N14:X14)&gt;$M14,"",INDEX($A$2:$A$84,_xlfn.AGGREGATE(15,6,(ROW($A$2:$A$84)-ROW($A$2)+1)/(($C$2:$C$84&gt;=$J14)*($C$2:$C$84&lt;=$K14)),COLUMNS($N14:X14))))</f>
        <v/>
      </c>
      <c r="Y14" s="33" t="str">
        <f>IF(COLUMNS($N14:Y14)&gt;$M14,"",INDEX($A$2:$A$84,_xlfn.AGGREGATE(15,6,(ROW($A$2:$A$84)-ROW($A$2)+1)/(($C$2:$C$84&gt;=$J14)*($C$2:$C$84&lt;=$K14)),COLUMNS($N14:Y14))))</f>
        <v/>
      </c>
      <c r="Z14" s="33" t="str">
        <f>IF(COLUMNS($N14:Z14)&gt;$M14,"",INDEX($A$2:$A$84,_xlfn.AGGREGATE(15,6,(ROW($A$2:$A$84)-ROW($A$2)+1)/(($C$2:$C$84&gt;=$J14)*($C$2:$C$84&lt;=$K14)),COLUMNS($N14:Z14))))</f>
        <v/>
      </c>
      <c r="AA14" s="33" t="str">
        <f>IF(COLUMNS($N14:AA14)&gt;$M14,"",INDEX($A$2:$A$84,_xlfn.AGGREGATE(15,6,(ROW($A$2:$A$84)-ROW($A$2)+1)/(($C$2:$C$84&gt;=$J14)*($C$2:$C$84&lt;=$K14)),COLUMNS($N14:AA14))))</f>
        <v/>
      </c>
      <c r="AB14" s="33" t="str">
        <f>IF(COLUMNS($N14:AB14)&gt;$M14,"",INDEX($A$2:$A$84,_xlfn.AGGREGATE(15,6,(ROW($A$2:$A$84)-ROW($A$2)+1)/(($C$2:$C$84&gt;=$J14)*($C$2:$C$84&lt;=$K14)),COLUMNS($N14:AB14))))</f>
        <v/>
      </c>
      <c r="AC14" s="33" t="str">
        <f>IF(COLUMNS($N14:AC14)&gt;$M14,"",INDEX($A$2:$A$84,_xlfn.AGGREGATE(15,6,(ROW($A$2:$A$84)-ROW($A$2)+1)/(($C$2:$C$84&gt;=$J14)*($C$2:$C$84&lt;=$K14)),COLUMNS($N14:AC14))))</f>
        <v/>
      </c>
      <c r="AD14" s="33" t="str">
        <f>IF(COLUMNS($N14:AD14)&gt;$M14,"",INDEX($A$2:$A$84,_xlfn.AGGREGATE(15,6,(ROW($A$2:$A$84)-ROW($A$2)+1)/(($C$2:$C$84&gt;=$J14)*($C$2:$C$84&lt;=$K14)),COLUMNS($N14:AD14))))</f>
        <v/>
      </c>
      <c r="AE14" s="33" t="str">
        <f>IF(COLUMNS($N14:AE14)&gt;$M14,"",INDEX($A$2:$A$84,_xlfn.AGGREGATE(15,6,(ROW($A$2:$A$84)-ROW($A$2)+1)/(($C$2:$C$84&gt;=$J14)*($C$2:$C$84&lt;=$K14)),COLUMNS($N14:AE14))))</f>
        <v/>
      </c>
      <c r="AF14" s="33" t="str">
        <f>IF(COLUMNS($N14:AF14)&gt;$M14,"",INDEX($A$2:$A$84,_xlfn.AGGREGATE(15,6,(ROW($A$2:$A$84)-ROW($A$2)+1)/(($C$2:$C$84&gt;=$J14)*($C$2:$C$84&lt;=$K14)),COLUMNS($N14:AF14))))</f>
        <v/>
      </c>
      <c r="AG14" s="34" t="str">
        <f>IF(COLUMNS($N14:AG14)&gt;$M14,"",INDEX($A$2:$A$84,_xlfn.AGGREGATE(15,6,(ROW($A$2:$A$84)-ROW($A$2)+1)/(($C$2:$C$84&gt;=$J14)*($C$2:$C$84&lt;=$K14)),COLUMNS($N14:AG14))))</f>
        <v/>
      </c>
    </row>
    <row r="15" spans="1:33" x14ac:dyDescent="0.3">
      <c r="A15" t="str">
        <f t="shared" si="2"/>
        <v>1939 - -1%</v>
      </c>
      <c r="B15" s="3">
        <v>1939</v>
      </c>
      <c r="C15" s="1">
        <f>Data!B121</f>
        <v>-9.1000000000000004E-3</v>
      </c>
      <c r="D15" s="3">
        <v>14</v>
      </c>
      <c r="E15" s="1">
        <f>Data!D121</f>
        <v>5.7099999999999998E-2</v>
      </c>
      <c r="F15" s="21">
        <v>13.97</v>
      </c>
      <c r="G15" s="1">
        <f>Data!F121</f>
        <v>4.0000000000000002E-4</v>
      </c>
      <c r="H15" s="21">
        <v>13.94</v>
      </c>
    </row>
    <row r="16" spans="1:33" x14ac:dyDescent="0.3">
      <c r="A16" t="str">
        <f t="shared" si="2"/>
        <v>1940 - -10%</v>
      </c>
      <c r="B16" s="3">
        <v>1940</v>
      </c>
      <c r="C16" s="1">
        <f>Data!B122</f>
        <v>-0.1008</v>
      </c>
      <c r="D16" s="3">
        <v>15</v>
      </c>
      <c r="E16" s="1">
        <f>Data!D122</f>
        <v>0.10340000000000001</v>
      </c>
      <c r="F16" s="21">
        <v>14.97</v>
      </c>
      <c r="G16" s="1">
        <f>Data!F122</f>
        <v>4.0000000000000002E-4</v>
      </c>
      <c r="H16" s="21">
        <v>14.94</v>
      </c>
    </row>
    <row r="17" spans="1:8" x14ac:dyDescent="0.3">
      <c r="A17" t="str">
        <f t="shared" si="2"/>
        <v>1941 - -12%</v>
      </c>
      <c r="B17" s="3">
        <v>1941</v>
      </c>
      <c r="C17" s="1">
        <f>Data!B123</f>
        <v>-0.1177</v>
      </c>
      <c r="D17" s="3">
        <v>16</v>
      </c>
      <c r="E17" s="1">
        <f>Data!D123</f>
        <v>-8.6599999999999996E-2</v>
      </c>
      <c r="F17" s="21">
        <v>15.97</v>
      </c>
      <c r="G17" s="1">
        <f>Data!F123</f>
        <v>1.4E-3</v>
      </c>
      <c r="H17" s="21">
        <v>15.94</v>
      </c>
    </row>
    <row r="18" spans="1:8" x14ac:dyDescent="0.3">
      <c r="A18" t="str">
        <f t="shared" si="2"/>
        <v>1942 - 21%</v>
      </c>
      <c r="B18" s="3">
        <v>1942</v>
      </c>
      <c r="C18" s="1">
        <f>Data!B124</f>
        <v>0.2107</v>
      </c>
      <c r="D18" s="3">
        <v>17</v>
      </c>
      <c r="E18" s="1">
        <f>Data!D124</f>
        <v>2.6700000000000002E-2</v>
      </c>
      <c r="F18" s="21">
        <v>16.97</v>
      </c>
      <c r="G18" s="1">
        <f>Data!F124</f>
        <v>3.3999999999999998E-3</v>
      </c>
      <c r="H18" s="21">
        <v>16.940000000000001</v>
      </c>
    </row>
    <row r="19" spans="1:8" x14ac:dyDescent="0.3">
      <c r="A19" t="str">
        <f t="shared" si="2"/>
        <v>1943 - 26%</v>
      </c>
      <c r="B19" s="3">
        <v>1943</v>
      </c>
      <c r="C19" s="1">
        <f>Data!B125</f>
        <v>0.2576</v>
      </c>
      <c r="D19" s="3">
        <v>18</v>
      </c>
      <c r="E19" s="1">
        <f>Data!D125</f>
        <v>2.5000000000000001E-2</v>
      </c>
      <c r="F19" s="21">
        <v>17.97</v>
      </c>
      <c r="G19" s="1">
        <f>Data!F125</f>
        <v>3.8E-3</v>
      </c>
      <c r="H19" s="21">
        <v>17.940000000000001</v>
      </c>
    </row>
    <row r="20" spans="1:8" x14ac:dyDescent="0.3">
      <c r="A20" t="str">
        <f t="shared" si="2"/>
        <v>1944 - 20%</v>
      </c>
      <c r="B20" s="3">
        <v>1944</v>
      </c>
      <c r="C20" s="1">
        <f>Data!B126</f>
        <v>0.19689999999999999</v>
      </c>
      <c r="D20" s="3">
        <v>19</v>
      </c>
      <c r="E20" s="1">
        <f>Data!D126</f>
        <v>2.8799999999999999E-2</v>
      </c>
      <c r="F20" s="21">
        <v>18.97</v>
      </c>
      <c r="G20" s="1">
        <f>Data!F126</f>
        <v>3.8E-3</v>
      </c>
      <c r="H20" s="21">
        <v>18.940000000000001</v>
      </c>
    </row>
    <row r="21" spans="1:8" x14ac:dyDescent="0.3">
      <c r="A21" t="str">
        <f t="shared" si="2"/>
        <v>1945 - 36%</v>
      </c>
      <c r="B21" s="3">
        <v>1945</v>
      </c>
      <c r="C21" s="1">
        <f>Data!B127</f>
        <v>0.36459999999999998</v>
      </c>
      <c r="D21" s="3">
        <v>20</v>
      </c>
      <c r="E21" s="1">
        <f>Data!D127</f>
        <v>5.1700000000000003E-2</v>
      </c>
      <c r="F21" s="21">
        <v>19.97</v>
      </c>
      <c r="G21" s="1">
        <f>Data!F127</f>
        <v>3.8E-3</v>
      </c>
      <c r="H21" s="21">
        <v>19.940000000000001</v>
      </c>
    </row>
    <row r="22" spans="1:8" x14ac:dyDescent="0.3">
      <c r="A22" t="str">
        <f t="shared" si="2"/>
        <v>1946 - -8%</v>
      </c>
      <c r="B22" s="3">
        <v>1946</v>
      </c>
      <c r="C22" s="1">
        <f>Data!B128</f>
        <v>-8.1799999999999998E-2</v>
      </c>
      <c r="D22" s="3">
        <v>21</v>
      </c>
      <c r="E22" s="1">
        <f>Data!D128</f>
        <v>4.07E-2</v>
      </c>
      <c r="F22" s="21">
        <v>20.97</v>
      </c>
      <c r="G22" s="1">
        <f>Data!F128</f>
        <v>3.8E-3</v>
      </c>
      <c r="H22" s="21">
        <v>20.94</v>
      </c>
    </row>
    <row r="23" spans="1:8" x14ac:dyDescent="0.3">
      <c r="A23" t="str">
        <f t="shared" si="2"/>
        <v>1947 - 5%</v>
      </c>
      <c r="B23" s="3">
        <v>1947</v>
      </c>
      <c r="C23" s="1">
        <f>Data!B129</f>
        <v>5.2400000000000002E-2</v>
      </c>
      <c r="D23" s="3">
        <v>22</v>
      </c>
      <c r="E23" s="1">
        <f>Data!D129</f>
        <v>-1.15E-2</v>
      </c>
      <c r="F23" s="21">
        <v>21.97</v>
      </c>
      <c r="G23" s="1">
        <f>Data!F129</f>
        <v>6.1999999999999998E-3</v>
      </c>
      <c r="H23" s="21">
        <v>21.94</v>
      </c>
    </row>
    <row r="24" spans="1:8" x14ac:dyDescent="0.3">
      <c r="A24" t="str">
        <f t="shared" si="2"/>
        <v>1948 - 5%</v>
      </c>
      <c r="B24" s="3">
        <v>1948</v>
      </c>
      <c r="C24" s="1">
        <f>Data!B130</f>
        <v>5.0999999999999997E-2</v>
      </c>
      <c r="D24" s="3">
        <v>23</v>
      </c>
      <c r="E24" s="1">
        <f>Data!D130</f>
        <v>2.1000000000000001E-2</v>
      </c>
      <c r="F24" s="21">
        <v>22.97</v>
      </c>
      <c r="G24" s="1">
        <f>Data!F130</f>
        <v>1.06E-2</v>
      </c>
      <c r="H24" s="21">
        <v>22.94</v>
      </c>
    </row>
    <row r="25" spans="1:8" x14ac:dyDescent="0.3">
      <c r="A25" t="str">
        <f t="shared" si="2"/>
        <v>1949 - 18%</v>
      </c>
      <c r="B25" s="3">
        <v>1949</v>
      </c>
      <c r="C25" s="1">
        <f>Data!B131</f>
        <v>0.18060000000000001</v>
      </c>
      <c r="D25" s="3">
        <v>24</v>
      </c>
      <c r="E25" s="1">
        <f>Data!D131</f>
        <v>7.0199999999999999E-2</v>
      </c>
      <c r="F25" s="21">
        <v>23.97</v>
      </c>
      <c r="G25" s="1">
        <f>Data!F131</f>
        <v>1.12E-2</v>
      </c>
      <c r="H25" s="21">
        <v>23.94</v>
      </c>
    </row>
    <row r="26" spans="1:8" x14ac:dyDescent="0.3">
      <c r="A26" t="str">
        <f t="shared" si="2"/>
        <v>1950 - 31%</v>
      </c>
      <c r="B26" s="3">
        <v>1950</v>
      </c>
      <c r="C26" s="1">
        <f>Data!B132</f>
        <v>0.30580000000000002</v>
      </c>
      <c r="D26" s="3">
        <v>25</v>
      </c>
      <c r="E26" s="1">
        <f>Data!D132</f>
        <v>-1.44E-2</v>
      </c>
      <c r="F26" s="21">
        <v>24.97</v>
      </c>
      <c r="G26" s="1">
        <f>Data!F132</f>
        <v>1.2200000000000001E-2</v>
      </c>
      <c r="H26" s="21">
        <v>24.94</v>
      </c>
    </row>
    <row r="27" spans="1:8" x14ac:dyDescent="0.3">
      <c r="A27" t="str">
        <f t="shared" si="2"/>
        <v>1951 - 25%</v>
      </c>
      <c r="B27" s="3">
        <v>1951</v>
      </c>
      <c r="C27" s="1">
        <f>Data!B133</f>
        <v>0.2455</v>
      </c>
      <c r="D27" s="3">
        <v>26</v>
      </c>
      <c r="E27" s="1">
        <f>Data!D133</f>
        <v>-3.5299999999999998E-2</v>
      </c>
      <c r="F27" s="21">
        <v>25.97</v>
      </c>
      <c r="G27" s="1">
        <f>Data!F133</f>
        <v>1.5599999999999999E-2</v>
      </c>
      <c r="H27" s="21">
        <v>25.94</v>
      </c>
    </row>
    <row r="28" spans="1:8" x14ac:dyDescent="0.3">
      <c r="A28" t="str">
        <f t="shared" si="2"/>
        <v>1952 - 19%</v>
      </c>
      <c r="B28" s="3">
        <v>1952</v>
      </c>
      <c r="C28" s="1">
        <f>Data!B134</f>
        <v>0.185</v>
      </c>
      <c r="D28" s="3">
        <v>27</v>
      </c>
      <c r="E28" s="1">
        <f>Data!D134</f>
        <v>1.8200000000000001E-2</v>
      </c>
      <c r="F28" s="21">
        <v>26.97</v>
      </c>
      <c r="G28" s="1">
        <f>Data!F134</f>
        <v>1.7500000000000002E-2</v>
      </c>
      <c r="H28" s="21">
        <v>26.94</v>
      </c>
    </row>
    <row r="29" spans="1:8" x14ac:dyDescent="0.3">
      <c r="A29" t="str">
        <f t="shared" si="2"/>
        <v>1953 - -1%</v>
      </c>
      <c r="B29" s="3">
        <v>1953</v>
      </c>
      <c r="C29" s="1">
        <f>Data!B135</f>
        <v>-1.0999999999999999E-2</v>
      </c>
      <c r="D29" s="3">
        <v>28</v>
      </c>
      <c r="E29" s="1">
        <f>Data!D135</f>
        <v>-8.8000000000000005E-3</v>
      </c>
      <c r="F29" s="21">
        <v>27.97</v>
      </c>
      <c r="G29" s="1">
        <f>Data!F135</f>
        <v>1.8700000000000001E-2</v>
      </c>
      <c r="H29" s="21">
        <v>27.94</v>
      </c>
    </row>
    <row r="30" spans="1:8" x14ac:dyDescent="0.3">
      <c r="A30" t="str">
        <f t="shared" si="2"/>
        <v>1954 - 52%</v>
      </c>
      <c r="B30" s="3">
        <v>1954</v>
      </c>
      <c r="C30" s="1">
        <f>Data!B136</f>
        <v>0.52400000000000002</v>
      </c>
      <c r="D30" s="3">
        <v>29</v>
      </c>
      <c r="E30" s="1">
        <f>Data!D136</f>
        <v>7.8899999999999998E-2</v>
      </c>
      <c r="F30" s="21">
        <v>28.97</v>
      </c>
      <c r="G30" s="1">
        <f>Data!F136</f>
        <v>9.2999999999999992E-3</v>
      </c>
      <c r="H30" s="21">
        <v>28.94</v>
      </c>
    </row>
    <row r="31" spans="1:8" x14ac:dyDescent="0.3">
      <c r="A31" t="str">
        <f t="shared" si="2"/>
        <v>1955 - 31%</v>
      </c>
      <c r="B31" s="3">
        <v>1955</v>
      </c>
      <c r="C31" s="1">
        <f>Data!B137</f>
        <v>0.31430000000000002</v>
      </c>
      <c r="D31" s="3">
        <v>30</v>
      </c>
      <c r="E31" s="1">
        <f>Data!D137</f>
        <v>-1.03E-2</v>
      </c>
      <c r="F31" s="21">
        <v>29.97</v>
      </c>
      <c r="G31" s="1">
        <f>Data!F137</f>
        <v>1.7999999999999999E-2</v>
      </c>
      <c r="H31" s="21">
        <v>29.94</v>
      </c>
    </row>
    <row r="32" spans="1:8" x14ac:dyDescent="0.3">
      <c r="A32" t="str">
        <f t="shared" si="2"/>
        <v>1956 - 7%</v>
      </c>
      <c r="B32" s="3">
        <v>1956</v>
      </c>
      <c r="C32" s="1">
        <f>Data!B138</f>
        <v>6.6299999999999998E-2</v>
      </c>
      <c r="D32" s="3">
        <v>31</v>
      </c>
      <c r="E32" s="1">
        <f>Data!D138</f>
        <v>-3.1399999999999997E-2</v>
      </c>
      <c r="F32" s="21">
        <v>30.97</v>
      </c>
      <c r="G32" s="1">
        <f>Data!F138</f>
        <v>2.6599999999999999E-2</v>
      </c>
      <c r="H32" s="21">
        <v>30.94</v>
      </c>
    </row>
    <row r="33" spans="1:8" x14ac:dyDescent="0.3">
      <c r="A33" t="str">
        <f t="shared" si="2"/>
        <v>1957 - -11%</v>
      </c>
      <c r="B33" s="3">
        <v>1957</v>
      </c>
      <c r="C33" s="1">
        <f>Data!B139</f>
        <v>-0.1085</v>
      </c>
      <c r="D33" s="3">
        <v>32</v>
      </c>
      <c r="E33" s="1">
        <f>Data!D139</f>
        <v>5.2499999999999998E-2</v>
      </c>
      <c r="F33" s="21">
        <v>31.97</v>
      </c>
      <c r="G33" s="1">
        <f>Data!F139</f>
        <v>3.2800000000000003E-2</v>
      </c>
      <c r="H33" s="21">
        <v>31.94</v>
      </c>
    </row>
    <row r="34" spans="1:8" x14ac:dyDescent="0.3">
      <c r="A34" t="str">
        <f t="shared" si="2"/>
        <v>1958 - 43%</v>
      </c>
      <c r="B34" s="3">
        <v>1958</v>
      </c>
      <c r="C34" s="1">
        <f>Data!B140</f>
        <v>0.43340000000000001</v>
      </c>
      <c r="D34" s="3">
        <v>33</v>
      </c>
      <c r="E34" s="1">
        <f>Data!D140</f>
        <v>-6.7000000000000004E-2</v>
      </c>
      <c r="F34" s="21">
        <v>32.97</v>
      </c>
      <c r="G34" s="1">
        <f>Data!F140</f>
        <v>1.7100000000000001E-2</v>
      </c>
      <c r="H34" s="21">
        <v>32.94</v>
      </c>
    </row>
    <row r="35" spans="1:8" x14ac:dyDescent="0.3">
      <c r="A35" t="str">
        <f t="shared" si="2"/>
        <v>1959 - 12%</v>
      </c>
      <c r="B35" s="3">
        <v>1959</v>
      </c>
      <c r="C35" s="1">
        <f>Data!B141</f>
        <v>0.11899999999999999</v>
      </c>
      <c r="D35" s="3">
        <v>34</v>
      </c>
      <c r="E35" s="1">
        <f>Data!D141</f>
        <v>-1.35E-2</v>
      </c>
      <c r="F35" s="21">
        <v>33.97</v>
      </c>
      <c r="G35" s="1">
        <f>Data!F141</f>
        <v>3.4799999999999998E-2</v>
      </c>
      <c r="H35" s="21">
        <v>33.94</v>
      </c>
    </row>
    <row r="36" spans="1:8" x14ac:dyDescent="0.3">
      <c r="A36" t="str">
        <f t="shared" si="2"/>
        <v>1960 - 0%</v>
      </c>
      <c r="B36" s="3">
        <v>1960</v>
      </c>
      <c r="C36" s="1">
        <f>Data!B142</f>
        <v>4.7999999999999996E-3</v>
      </c>
      <c r="D36" s="3">
        <v>35</v>
      </c>
      <c r="E36" s="1">
        <f>Data!D142</f>
        <v>7.7399999999999997E-2</v>
      </c>
      <c r="F36" s="21">
        <v>34.97</v>
      </c>
      <c r="G36" s="1">
        <f>Data!F142</f>
        <v>2.81E-2</v>
      </c>
      <c r="H36" s="21">
        <v>34.94</v>
      </c>
    </row>
    <row r="37" spans="1:8" x14ac:dyDescent="0.3">
      <c r="A37" t="str">
        <f t="shared" si="2"/>
        <v>1961 - 27%</v>
      </c>
      <c r="B37" s="3">
        <v>1961</v>
      </c>
      <c r="C37" s="1">
        <f>Data!B143</f>
        <v>0.2681</v>
      </c>
      <c r="D37" s="3">
        <v>36</v>
      </c>
      <c r="E37" s="1">
        <f>Data!D143</f>
        <v>3.0200000000000001E-2</v>
      </c>
      <c r="F37" s="21">
        <v>35.97</v>
      </c>
      <c r="G37" s="1">
        <f>Data!F143</f>
        <v>2.4E-2</v>
      </c>
      <c r="H37" s="21">
        <v>35.94</v>
      </c>
    </row>
    <row r="38" spans="1:8" x14ac:dyDescent="0.3">
      <c r="A38" t="str">
        <f t="shared" si="2"/>
        <v>1962 - -9%</v>
      </c>
      <c r="B38" s="3">
        <v>1962</v>
      </c>
      <c r="C38" s="1">
        <f>Data!B144</f>
        <v>-8.7800000000000003E-2</v>
      </c>
      <c r="D38" s="3">
        <v>37</v>
      </c>
      <c r="E38" s="1">
        <f>Data!D144</f>
        <v>4.6300000000000001E-2</v>
      </c>
      <c r="F38" s="21">
        <v>36.97</v>
      </c>
      <c r="G38" s="1">
        <f>Data!F144</f>
        <v>2.8199999999999999E-2</v>
      </c>
      <c r="H38" s="21">
        <v>36.94</v>
      </c>
    </row>
    <row r="39" spans="1:8" x14ac:dyDescent="0.3">
      <c r="A39" t="str">
        <f t="shared" si="2"/>
        <v>1963 - 23%</v>
      </c>
      <c r="B39" s="3">
        <v>1963</v>
      </c>
      <c r="C39" s="1">
        <f>Data!B145</f>
        <v>0.22689999999999999</v>
      </c>
      <c r="D39" s="3">
        <v>38</v>
      </c>
      <c r="E39" s="1">
        <f>Data!D145</f>
        <v>1.37E-2</v>
      </c>
      <c r="F39" s="21">
        <v>37.97</v>
      </c>
      <c r="G39" s="1">
        <f>Data!F145</f>
        <v>3.2300000000000002E-2</v>
      </c>
      <c r="H39" s="21">
        <v>37.94</v>
      </c>
    </row>
    <row r="40" spans="1:8" x14ac:dyDescent="0.3">
      <c r="A40" t="str">
        <f t="shared" si="2"/>
        <v>1964 - 16%</v>
      </c>
      <c r="B40" s="3">
        <v>1964</v>
      </c>
      <c r="C40" s="1">
        <f>Data!B146</f>
        <v>0.1636</v>
      </c>
      <c r="D40" s="3">
        <v>39</v>
      </c>
      <c r="E40" s="1">
        <f>Data!D146</f>
        <v>4.4299999999999999E-2</v>
      </c>
      <c r="F40" s="21">
        <v>38.97</v>
      </c>
      <c r="G40" s="1">
        <f>Data!F146</f>
        <v>3.6200000000000003E-2</v>
      </c>
      <c r="H40" s="21">
        <v>38.94</v>
      </c>
    </row>
    <row r="41" spans="1:8" x14ac:dyDescent="0.3">
      <c r="A41" t="str">
        <f t="shared" si="2"/>
        <v>1965 - 12%</v>
      </c>
      <c r="B41" s="3">
        <v>1965</v>
      </c>
      <c r="C41" s="1">
        <f>Data!B147</f>
        <v>0.1236</v>
      </c>
      <c r="D41" s="3">
        <v>40</v>
      </c>
      <c r="E41" s="1">
        <f>Data!D147</f>
        <v>1.4E-2</v>
      </c>
      <c r="F41" s="21">
        <v>39.97</v>
      </c>
      <c r="G41" s="1">
        <f>Data!F147</f>
        <v>4.0599999999999997E-2</v>
      </c>
      <c r="H41" s="21">
        <v>39.94</v>
      </c>
    </row>
    <row r="42" spans="1:8" x14ac:dyDescent="0.3">
      <c r="A42" t="str">
        <f t="shared" si="2"/>
        <v>1966 - -10%</v>
      </c>
      <c r="B42" s="3">
        <v>1966</v>
      </c>
      <c r="C42" s="1">
        <f>Data!B148</f>
        <v>-0.10100000000000001</v>
      </c>
      <c r="D42" s="3">
        <v>41</v>
      </c>
      <c r="E42" s="1">
        <f>Data!D148</f>
        <v>-1.61E-2</v>
      </c>
      <c r="F42" s="21">
        <v>40.97</v>
      </c>
      <c r="G42" s="1">
        <f>Data!F148</f>
        <v>4.9399999999999999E-2</v>
      </c>
      <c r="H42" s="21">
        <v>40.94</v>
      </c>
    </row>
    <row r="43" spans="1:8" x14ac:dyDescent="0.3">
      <c r="A43" t="str">
        <f t="shared" si="2"/>
        <v>1967 - 24%</v>
      </c>
      <c r="B43" s="3">
        <v>1967</v>
      </c>
      <c r="C43" s="1">
        <f>Data!B149</f>
        <v>0.2394</v>
      </c>
      <c r="D43" s="3">
        <v>42</v>
      </c>
      <c r="E43" s="1">
        <f>Data!D149</f>
        <v>-6.3799999999999996E-2</v>
      </c>
      <c r="F43" s="21">
        <v>41.97</v>
      </c>
      <c r="G43" s="1">
        <f>Data!F149</f>
        <v>4.3900000000000002E-2</v>
      </c>
      <c r="H43" s="21">
        <v>41.94</v>
      </c>
    </row>
    <row r="44" spans="1:8" x14ac:dyDescent="0.3">
      <c r="A44" t="str">
        <f t="shared" si="2"/>
        <v>1968 - 11%</v>
      </c>
      <c r="B44" s="3">
        <v>1968</v>
      </c>
      <c r="C44" s="1">
        <f>Data!B150</f>
        <v>0.11</v>
      </c>
      <c r="D44" s="3">
        <v>43</v>
      </c>
      <c r="E44" s="1">
        <f>Data!D150</f>
        <v>5.33E-2</v>
      </c>
      <c r="F44" s="21">
        <v>42.97</v>
      </c>
      <c r="G44" s="1">
        <f>Data!F150</f>
        <v>5.4899999999999997E-2</v>
      </c>
      <c r="H44" s="21">
        <v>42.94</v>
      </c>
    </row>
    <row r="45" spans="1:8" x14ac:dyDescent="0.3">
      <c r="A45" t="str">
        <f t="shared" si="2"/>
        <v>1969 - -8%</v>
      </c>
      <c r="B45" s="3">
        <v>1969</v>
      </c>
      <c r="C45" s="1">
        <f>Data!B151</f>
        <v>-8.4699999999999998E-2</v>
      </c>
      <c r="D45" s="3">
        <v>44</v>
      </c>
      <c r="E45" s="1">
        <f>Data!D151</f>
        <v>-7.4499999999999997E-2</v>
      </c>
      <c r="F45" s="21">
        <v>43.97</v>
      </c>
      <c r="G45" s="1">
        <f>Data!F151</f>
        <v>6.9000000000000006E-2</v>
      </c>
      <c r="H45" s="21">
        <v>43.94</v>
      </c>
    </row>
    <row r="46" spans="1:8" x14ac:dyDescent="0.3">
      <c r="A46" t="str">
        <f t="shared" si="2"/>
        <v>1970 - 4%</v>
      </c>
      <c r="B46" s="3">
        <v>1970</v>
      </c>
      <c r="C46" s="1">
        <f>Data!B152</f>
        <v>3.9399999999999998E-2</v>
      </c>
      <c r="D46" s="3">
        <v>45</v>
      </c>
      <c r="E46" s="1">
        <f>Data!D152</f>
        <v>0.12239999999999999</v>
      </c>
      <c r="F46" s="21">
        <v>44.97</v>
      </c>
      <c r="G46" s="1">
        <f>Data!F152</f>
        <v>6.5000000000000002E-2</v>
      </c>
      <c r="H46" s="21">
        <v>44.94</v>
      </c>
    </row>
    <row r="47" spans="1:8" x14ac:dyDescent="0.3">
      <c r="A47" t="str">
        <f t="shared" si="2"/>
        <v>1971 - 14%</v>
      </c>
      <c r="B47" s="3">
        <v>1971</v>
      </c>
      <c r="C47" s="1">
        <f>Data!B153</f>
        <v>0.14299999999999999</v>
      </c>
      <c r="D47" s="3">
        <v>46</v>
      </c>
      <c r="E47" s="1">
        <f>Data!D153</f>
        <v>0.12670000000000001</v>
      </c>
      <c r="F47" s="21">
        <v>45.97</v>
      </c>
      <c r="G47" s="1">
        <f>Data!F153</f>
        <v>4.36E-2</v>
      </c>
      <c r="H47" s="21">
        <v>45.94</v>
      </c>
    </row>
    <row r="48" spans="1:8" x14ac:dyDescent="0.3">
      <c r="A48" t="str">
        <f t="shared" si="2"/>
        <v>1972 - 19%</v>
      </c>
      <c r="B48" s="3">
        <v>1972</v>
      </c>
      <c r="C48" s="1">
        <f>Data!B154</f>
        <v>0.18990000000000001</v>
      </c>
      <c r="D48" s="3">
        <v>47</v>
      </c>
      <c r="E48" s="1">
        <f>Data!D154</f>
        <v>9.1499999999999998E-2</v>
      </c>
      <c r="F48" s="21">
        <v>46.97</v>
      </c>
      <c r="G48" s="1">
        <f>Data!F154</f>
        <v>4.2299999999999997E-2</v>
      </c>
      <c r="H48" s="21">
        <v>46.94</v>
      </c>
    </row>
    <row r="49" spans="1:8" x14ac:dyDescent="0.3">
      <c r="A49" t="str">
        <f t="shared" si="2"/>
        <v>1973 - -15%</v>
      </c>
      <c r="B49" s="3">
        <v>1973</v>
      </c>
      <c r="C49" s="1">
        <f>Data!B155</f>
        <v>-0.1469</v>
      </c>
      <c r="D49" s="3">
        <v>48</v>
      </c>
      <c r="E49" s="1">
        <f>Data!D155</f>
        <v>-0.12659999999999999</v>
      </c>
      <c r="F49" s="21">
        <v>47.97</v>
      </c>
      <c r="G49" s="1">
        <f>Data!F155</f>
        <v>7.2900000000000006E-2</v>
      </c>
      <c r="H49" s="21">
        <v>47.94</v>
      </c>
    </row>
    <row r="50" spans="1:8" x14ac:dyDescent="0.3">
      <c r="A50" t="str">
        <f t="shared" si="2"/>
        <v>1974 - -26%</v>
      </c>
      <c r="B50" s="3">
        <v>1974</v>
      </c>
      <c r="C50" s="1">
        <f>Data!B156</f>
        <v>-0.26469999999999999</v>
      </c>
      <c r="D50" s="3">
        <v>49</v>
      </c>
      <c r="E50" s="1">
        <f>Data!D156</f>
        <v>-3.2800000000000003E-2</v>
      </c>
      <c r="F50" s="21">
        <v>48.97</v>
      </c>
      <c r="G50" s="1">
        <f>Data!F156</f>
        <v>7.9899999999999999E-2</v>
      </c>
      <c r="H50" s="21">
        <v>48.94</v>
      </c>
    </row>
    <row r="51" spans="1:8" x14ac:dyDescent="0.3">
      <c r="A51" t="str">
        <f t="shared" si="2"/>
        <v>1975 - 37%</v>
      </c>
      <c r="B51" s="3">
        <v>1975</v>
      </c>
      <c r="C51" s="1">
        <f>Data!B157</f>
        <v>0.37230000000000002</v>
      </c>
      <c r="D51" s="3">
        <v>50</v>
      </c>
      <c r="E51" s="1">
        <f>Data!D157</f>
        <v>4.6699999999999998E-2</v>
      </c>
      <c r="F51" s="21">
        <v>49.97</v>
      </c>
      <c r="G51" s="1">
        <f>Data!F157</f>
        <v>5.8700000000000002E-2</v>
      </c>
      <c r="H51" s="21">
        <v>49.94</v>
      </c>
    </row>
    <row r="52" spans="1:8" x14ac:dyDescent="0.3">
      <c r="A52" t="str">
        <f t="shared" si="2"/>
        <v>1976 - 24%</v>
      </c>
      <c r="B52" s="3">
        <v>1976</v>
      </c>
      <c r="C52" s="1">
        <f>Data!B158</f>
        <v>0.23930000000000001</v>
      </c>
      <c r="D52" s="3">
        <v>51</v>
      </c>
      <c r="E52" s="1">
        <f>Data!D158</f>
        <v>0.18340000000000001</v>
      </c>
      <c r="F52" s="21">
        <v>50.97</v>
      </c>
      <c r="G52" s="1">
        <f>Data!F158</f>
        <v>5.0700000000000002E-2</v>
      </c>
      <c r="H52" s="21">
        <v>50.94</v>
      </c>
    </row>
    <row r="53" spans="1:8" x14ac:dyDescent="0.3">
      <c r="A53" t="str">
        <f t="shared" si="2"/>
        <v>1977 - -7%</v>
      </c>
      <c r="B53" s="3">
        <v>1977</v>
      </c>
      <c r="C53" s="1">
        <f>Data!B159</f>
        <v>-7.1599999999999997E-2</v>
      </c>
      <c r="D53" s="3">
        <v>52</v>
      </c>
      <c r="E53" s="1">
        <f>Data!D159</f>
        <v>2.3099999999999999E-2</v>
      </c>
      <c r="F53" s="21">
        <v>51.97</v>
      </c>
      <c r="G53" s="1">
        <f>Data!F159</f>
        <v>5.45E-2</v>
      </c>
      <c r="H53" s="21">
        <v>51.94</v>
      </c>
    </row>
    <row r="54" spans="1:8" x14ac:dyDescent="0.3">
      <c r="A54" t="str">
        <f t="shared" si="2"/>
        <v>1978 - 7%</v>
      </c>
      <c r="B54" s="3">
        <v>1978</v>
      </c>
      <c r="C54" s="1">
        <f>Data!B160</f>
        <v>6.5699999999999995E-2</v>
      </c>
      <c r="D54" s="3">
        <v>53</v>
      </c>
      <c r="E54" s="1">
        <f>Data!D160</f>
        <v>-2.07E-2</v>
      </c>
      <c r="F54" s="21">
        <v>52.97</v>
      </c>
      <c r="G54" s="1">
        <f>Data!F160</f>
        <v>7.6399999999999996E-2</v>
      </c>
      <c r="H54" s="21">
        <v>52.94</v>
      </c>
    </row>
    <row r="55" spans="1:8" x14ac:dyDescent="0.3">
      <c r="A55" t="str">
        <f t="shared" si="2"/>
        <v>1979 - 19%</v>
      </c>
      <c r="B55" s="3">
        <v>1979</v>
      </c>
      <c r="C55" s="1">
        <f>Data!B161</f>
        <v>0.18609999999999999</v>
      </c>
      <c r="D55" s="3">
        <v>54</v>
      </c>
      <c r="E55" s="1">
        <f>Data!D161</f>
        <v>-2.76E-2</v>
      </c>
      <c r="F55" s="21">
        <v>53.97</v>
      </c>
      <c r="G55" s="1">
        <f>Data!F161</f>
        <v>0.1056</v>
      </c>
      <c r="H55" s="21">
        <v>53.94</v>
      </c>
    </row>
    <row r="56" spans="1:8" x14ac:dyDescent="0.3">
      <c r="A56" t="str">
        <f t="shared" si="2"/>
        <v>1980 - 33%</v>
      </c>
      <c r="B56" s="3">
        <v>1980</v>
      </c>
      <c r="C56" s="1">
        <f>Data!B162</f>
        <v>0.32500000000000001</v>
      </c>
      <c r="D56" s="3">
        <v>55</v>
      </c>
      <c r="E56" s="1">
        <f>Data!D162</f>
        <v>-5.91E-2</v>
      </c>
      <c r="F56" s="21">
        <v>54.97</v>
      </c>
      <c r="G56" s="1">
        <f>Data!F162</f>
        <v>0.121</v>
      </c>
      <c r="H56" s="21">
        <v>54.94</v>
      </c>
    </row>
    <row r="57" spans="1:8" x14ac:dyDescent="0.3">
      <c r="A57" t="str">
        <f t="shared" si="2"/>
        <v>1981 - -5%</v>
      </c>
      <c r="B57" s="3">
        <v>1981</v>
      </c>
      <c r="C57" s="1">
        <f>Data!B163</f>
        <v>-4.9200000000000001E-2</v>
      </c>
      <c r="D57" s="3">
        <v>56</v>
      </c>
      <c r="E57" s="1">
        <f>Data!D163</f>
        <v>-1.6000000000000001E-3</v>
      </c>
      <c r="F57" s="21">
        <v>55.97</v>
      </c>
      <c r="G57" s="1">
        <f>Data!F163</f>
        <v>0.14599999999999999</v>
      </c>
      <c r="H57" s="21">
        <v>55.94</v>
      </c>
    </row>
    <row r="58" spans="1:8" x14ac:dyDescent="0.3">
      <c r="A58" t="str">
        <f t="shared" si="2"/>
        <v>1982 - 22%</v>
      </c>
      <c r="B58" s="3">
        <v>1982</v>
      </c>
      <c r="C58" s="1">
        <f>Data!B164</f>
        <v>0.2155</v>
      </c>
      <c r="D58" s="3">
        <v>57</v>
      </c>
      <c r="E58" s="1">
        <f>Data!D164</f>
        <v>0.49990000000000001</v>
      </c>
      <c r="F58" s="21">
        <v>56.97</v>
      </c>
      <c r="G58" s="1">
        <f>Data!F164</f>
        <v>0.1094</v>
      </c>
      <c r="H58" s="21">
        <v>56.94</v>
      </c>
    </row>
    <row r="59" spans="1:8" x14ac:dyDescent="0.3">
      <c r="A59" t="str">
        <f t="shared" si="2"/>
        <v>1983 - 23%</v>
      </c>
      <c r="B59" s="3">
        <v>1983</v>
      </c>
      <c r="C59" s="1">
        <f>Data!B165</f>
        <v>0.22559999999999999</v>
      </c>
      <c r="D59" s="3">
        <v>58</v>
      </c>
      <c r="E59" s="1">
        <f>Data!D165</f>
        <v>-2.1100000000000001E-2</v>
      </c>
      <c r="F59" s="21">
        <v>57.97</v>
      </c>
      <c r="G59" s="1">
        <f>Data!F165</f>
        <v>8.9899999999999994E-2</v>
      </c>
      <c r="H59" s="21">
        <v>57.94</v>
      </c>
    </row>
    <row r="60" spans="1:8" x14ac:dyDescent="0.3">
      <c r="A60" t="str">
        <f t="shared" si="2"/>
        <v>1984 - 6%</v>
      </c>
      <c r="B60" s="3">
        <v>1984</v>
      </c>
      <c r="C60" s="1">
        <f>Data!B166</f>
        <v>6.2700000000000006E-2</v>
      </c>
      <c r="D60" s="3">
        <v>59</v>
      </c>
      <c r="E60" s="1">
        <f>Data!D166</f>
        <v>0.1653</v>
      </c>
      <c r="F60" s="21">
        <v>58.97</v>
      </c>
      <c r="G60" s="1">
        <f>Data!F166</f>
        <v>9.9000000000000005E-2</v>
      </c>
      <c r="H60" s="21">
        <v>58.94</v>
      </c>
    </row>
    <row r="61" spans="1:8" x14ac:dyDescent="0.3">
      <c r="A61" t="str">
        <f t="shared" si="2"/>
        <v>1985 - 32%</v>
      </c>
      <c r="B61" s="3">
        <v>1985</v>
      </c>
      <c r="C61" s="1">
        <f>Data!B167</f>
        <v>0.31730000000000003</v>
      </c>
      <c r="D61" s="3">
        <v>60</v>
      </c>
      <c r="E61" s="1">
        <f>Data!D167</f>
        <v>0.39029999999999998</v>
      </c>
      <c r="F61" s="21">
        <v>59.97</v>
      </c>
      <c r="G61" s="1">
        <f>Data!F167</f>
        <v>7.7100000000000002E-2</v>
      </c>
      <c r="H61" s="21">
        <v>59.94</v>
      </c>
    </row>
    <row r="62" spans="1:8" x14ac:dyDescent="0.3">
      <c r="A62" t="str">
        <f t="shared" si="2"/>
        <v>1986 - 19%</v>
      </c>
      <c r="B62" s="3">
        <v>1986</v>
      </c>
      <c r="C62" s="1">
        <f>Data!B168</f>
        <v>0.1867</v>
      </c>
      <c r="D62" s="3">
        <v>61</v>
      </c>
      <c r="E62" s="1">
        <f>Data!D168</f>
        <v>0.3251</v>
      </c>
      <c r="F62" s="21">
        <v>60.97</v>
      </c>
      <c r="G62" s="1">
        <f>Data!F168</f>
        <v>6.0900000000000003E-2</v>
      </c>
      <c r="H62" s="21">
        <v>60.94</v>
      </c>
    </row>
    <row r="63" spans="1:8" x14ac:dyDescent="0.3">
      <c r="A63" t="str">
        <f t="shared" si="2"/>
        <v>1987 - 5%</v>
      </c>
      <c r="B63" s="3">
        <v>1987</v>
      </c>
      <c r="C63" s="1">
        <f>Data!B169</f>
        <v>5.2499999999999998E-2</v>
      </c>
      <c r="D63" s="3">
        <v>62</v>
      </c>
      <c r="E63" s="1">
        <f>Data!D169</f>
        <v>-8.09E-2</v>
      </c>
      <c r="F63" s="21">
        <v>61.97</v>
      </c>
      <c r="G63" s="1">
        <f>Data!F169</f>
        <v>5.8799999999999998E-2</v>
      </c>
      <c r="H63" s="21">
        <v>61.94</v>
      </c>
    </row>
    <row r="64" spans="1:8" x14ac:dyDescent="0.3">
      <c r="A64" t="str">
        <f t="shared" si="2"/>
        <v>1988 - 17%</v>
      </c>
      <c r="B64" s="3">
        <v>1988</v>
      </c>
      <c r="C64" s="1">
        <f>Data!B170</f>
        <v>0.1661</v>
      </c>
      <c r="D64" s="3">
        <v>63</v>
      </c>
      <c r="E64" s="1">
        <f>Data!D170</f>
        <v>8.7099999999999997E-2</v>
      </c>
      <c r="F64" s="21">
        <v>62.97</v>
      </c>
      <c r="G64" s="1">
        <f>Data!F170</f>
        <v>6.9400000000000003E-2</v>
      </c>
      <c r="H64" s="21">
        <v>62.94</v>
      </c>
    </row>
    <row r="65" spans="1:8" x14ac:dyDescent="0.3">
      <c r="A65" t="str">
        <f t="shared" si="2"/>
        <v>1989 - 32%</v>
      </c>
      <c r="B65" s="3">
        <v>1989</v>
      </c>
      <c r="C65" s="1">
        <f>Data!B171</f>
        <v>0.31690000000000002</v>
      </c>
      <c r="D65" s="3">
        <v>64</v>
      </c>
      <c r="E65" s="1">
        <f>Data!D171</f>
        <v>0.2215</v>
      </c>
      <c r="F65" s="21">
        <v>63.97</v>
      </c>
      <c r="G65" s="1">
        <f>Data!F171</f>
        <v>8.4400000000000003E-2</v>
      </c>
      <c r="H65" s="21">
        <v>63.94</v>
      </c>
    </row>
    <row r="66" spans="1:8" x14ac:dyDescent="0.3">
      <c r="A66" t="str">
        <f t="shared" si="2"/>
        <v>1990 - -3%</v>
      </c>
      <c r="B66" s="3">
        <v>1990</v>
      </c>
      <c r="C66" s="1">
        <f>Data!B172</f>
        <v>-3.1E-2</v>
      </c>
      <c r="D66" s="3">
        <v>65</v>
      </c>
      <c r="E66" s="1">
        <f>Data!D172</f>
        <v>5.4399999999999997E-2</v>
      </c>
      <c r="F66" s="21">
        <v>64.97</v>
      </c>
      <c r="G66" s="1">
        <f>Data!F172</f>
        <v>7.6899999999999996E-2</v>
      </c>
      <c r="H66" s="21">
        <v>64.94</v>
      </c>
    </row>
    <row r="67" spans="1:8" x14ac:dyDescent="0.3">
      <c r="A67" t="str">
        <f t="shared" ref="A67:A84" si="5">B67&amp;" - "&amp;TEXT(C67,"0%")</f>
        <v>1991 - 30%</v>
      </c>
      <c r="B67" s="3">
        <v>1991</v>
      </c>
      <c r="C67" s="1">
        <f>Data!B173</f>
        <v>0.30459999999999998</v>
      </c>
      <c r="D67" s="3">
        <v>66</v>
      </c>
      <c r="E67" s="1">
        <f>Data!D173</f>
        <v>0.20039999999999999</v>
      </c>
      <c r="F67" s="21">
        <v>65.97</v>
      </c>
      <c r="G67" s="1">
        <f>Data!F173</f>
        <v>5.4300000000000001E-2</v>
      </c>
      <c r="H67" s="21">
        <v>65.94</v>
      </c>
    </row>
    <row r="68" spans="1:8" x14ac:dyDescent="0.3">
      <c r="A68" t="str">
        <f t="shared" si="5"/>
        <v>1992 - 8%</v>
      </c>
      <c r="B68" s="3">
        <v>1992</v>
      </c>
      <c r="C68" s="1">
        <f>Data!B174</f>
        <v>7.6200000000000004E-2</v>
      </c>
      <c r="D68" s="3">
        <v>67</v>
      </c>
      <c r="E68" s="1">
        <f>Data!D174</f>
        <v>8.09E-2</v>
      </c>
      <c r="F68" s="21">
        <v>66.97</v>
      </c>
      <c r="G68" s="1">
        <f>Data!F174</f>
        <v>3.4799999999999998E-2</v>
      </c>
      <c r="H68" s="21">
        <v>66.94</v>
      </c>
    </row>
    <row r="69" spans="1:8" x14ac:dyDescent="0.3">
      <c r="A69" t="str">
        <f t="shared" si="5"/>
        <v>1993 - 10%</v>
      </c>
      <c r="B69" s="3">
        <v>1993</v>
      </c>
      <c r="C69" s="1">
        <f>Data!B175</f>
        <v>0.1008</v>
      </c>
      <c r="D69" s="3">
        <v>68</v>
      </c>
      <c r="E69" s="1">
        <f>Data!D175</f>
        <v>0.22320000000000001</v>
      </c>
      <c r="F69" s="21">
        <v>67.97</v>
      </c>
      <c r="G69" s="1">
        <f>Data!F175</f>
        <v>3.0300000000000001E-2</v>
      </c>
      <c r="H69" s="21">
        <v>67.94</v>
      </c>
    </row>
    <row r="70" spans="1:8" x14ac:dyDescent="0.3">
      <c r="A70" t="str">
        <f t="shared" si="5"/>
        <v>1994 - 1%</v>
      </c>
      <c r="B70" s="3">
        <v>1994</v>
      </c>
      <c r="C70" s="1">
        <f>Data!B176</f>
        <v>1.32E-2</v>
      </c>
      <c r="D70" s="3">
        <v>69</v>
      </c>
      <c r="E70" s="1">
        <f>Data!D176</f>
        <v>-0.11459999999999999</v>
      </c>
      <c r="F70" s="21">
        <v>68.97</v>
      </c>
      <c r="G70" s="1">
        <f>Data!F176</f>
        <v>4.3900000000000002E-2</v>
      </c>
      <c r="H70" s="21">
        <v>68.94</v>
      </c>
    </row>
    <row r="71" spans="1:8" x14ac:dyDescent="0.3">
      <c r="A71" t="str">
        <f t="shared" si="5"/>
        <v>1995 - 38%</v>
      </c>
      <c r="B71" s="3">
        <v>1995</v>
      </c>
      <c r="C71" s="1">
        <f>Data!B177</f>
        <v>0.37580000000000002</v>
      </c>
      <c r="D71" s="3">
        <v>70</v>
      </c>
      <c r="E71" s="1">
        <f>Data!D177</f>
        <v>0.37280000000000002</v>
      </c>
      <c r="F71" s="21">
        <v>69.97</v>
      </c>
      <c r="G71" s="1">
        <f>Data!F177</f>
        <v>5.6099999999999997E-2</v>
      </c>
      <c r="H71" s="21">
        <v>69.94</v>
      </c>
    </row>
    <row r="72" spans="1:8" x14ac:dyDescent="0.3">
      <c r="A72" t="str">
        <f t="shared" si="5"/>
        <v>1996 - 23%</v>
      </c>
      <c r="B72" s="3">
        <v>1996</v>
      </c>
      <c r="C72" s="1">
        <f>Data!B178</f>
        <v>0.2296</v>
      </c>
      <c r="D72" s="3">
        <v>71</v>
      </c>
      <c r="E72" s="1">
        <f>Data!D178</f>
        <v>-2.5899999999999999E-2</v>
      </c>
      <c r="F72" s="21">
        <v>70.97</v>
      </c>
      <c r="G72" s="1">
        <f>Data!F178</f>
        <v>5.1400000000000001E-2</v>
      </c>
      <c r="H72" s="21">
        <v>70.94</v>
      </c>
    </row>
    <row r="73" spans="1:8" x14ac:dyDescent="0.3">
      <c r="A73" t="str">
        <f t="shared" si="5"/>
        <v>1997 - 33%</v>
      </c>
      <c r="B73" s="3">
        <v>1997</v>
      </c>
      <c r="C73" s="1">
        <f>Data!B179</f>
        <v>0.33360000000000001</v>
      </c>
      <c r="D73" s="3">
        <v>72</v>
      </c>
      <c r="E73" s="1">
        <f>Data!D179</f>
        <v>0.17699999999999999</v>
      </c>
      <c r="F73" s="21">
        <v>71.97</v>
      </c>
      <c r="G73" s="1">
        <f>Data!F179</f>
        <v>5.1900000000000002E-2</v>
      </c>
      <c r="H73" s="21">
        <v>71.94</v>
      </c>
    </row>
    <row r="74" spans="1:8" x14ac:dyDescent="0.3">
      <c r="A74" t="str">
        <f t="shared" si="5"/>
        <v>1998 - 29%</v>
      </c>
      <c r="B74" s="3">
        <v>1998</v>
      </c>
      <c r="C74" s="1">
        <f>Data!B180</f>
        <v>0.2858</v>
      </c>
      <c r="D74" s="3">
        <v>73</v>
      </c>
      <c r="E74" s="1">
        <f>Data!D180</f>
        <v>0.19220000000000001</v>
      </c>
      <c r="F74" s="21">
        <v>72.97</v>
      </c>
      <c r="G74" s="1">
        <f>Data!F180</f>
        <v>4.8599999999999997E-2</v>
      </c>
      <c r="H74" s="21">
        <v>72.94</v>
      </c>
    </row>
    <row r="75" spans="1:8" x14ac:dyDescent="0.3">
      <c r="A75" t="str">
        <f t="shared" si="5"/>
        <v>1999 - 21%</v>
      </c>
      <c r="B75" s="3">
        <v>1999</v>
      </c>
      <c r="C75" s="1">
        <f>Data!B181</f>
        <v>0.2104</v>
      </c>
      <c r="D75" s="3">
        <v>74</v>
      </c>
      <c r="E75" s="1">
        <f>Data!D181</f>
        <v>-0.12759999999999999</v>
      </c>
      <c r="F75" s="21">
        <v>73.97</v>
      </c>
      <c r="G75" s="1">
        <f>Data!F181</f>
        <v>4.8000000000000001E-2</v>
      </c>
      <c r="H75" s="21">
        <v>73.94</v>
      </c>
    </row>
    <row r="76" spans="1:8" x14ac:dyDescent="0.3">
      <c r="A76" t="str">
        <f t="shared" si="5"/>
        <v>2000 - -9%</v>
      </c>
      <c r="B76" s="3">
        <v>2000</v>
      </c>
      <c r="C76" s="1">
        <f>Data!B182</f>
        <v>-9.0999999999999998E-2</v>
      </c>
      <c r="D76" s="3">
        <v>75</v>
      </c>
      <c r="E76" s="1">
        <f>Data!D182</f>
        <v>0.22159999999999999</v>
      </c>
      <c r="F76" s="21">
        <v>74.97</v>
      </c>
      <c r="G76" s="1">
        <f>Data!F182</f>
        <v>5.9799999999999999E-2</v>
      </c>
      <c r="H76" s="21">
        <v>74.94</v>
      </c>
    </row>
    <row r="77" spans="1:8" x14ac:dyDescent="0.3">
      <c r="A77" t="str">
        <f t="shared" si="5"/>
        <v>2001 - -12%</v>
      </c>
      <c r="B77" s="3">
        <v>2001</v>
      </c>
      <c r="C77" s="1">
        <f>Data!B183</f>
        <v>-0.11890000000000001</v>
      </c>
      <c r="D77" s="3">
        <v>76</v>
      </c>
      <c r="E77" s="1">
        <f>Data!D183</f>
        <v>5.2999999999999999E-2</v>
      </c>
      <c r="F77" s="21">
        <v>75.97</v>
      </c>
      <c r="G77" s="1">
        <f>Data!F183</f>
        <v>3.3300000000000003E-2</v>
      </c>
      <c r="H77" s="21">
        <v>75.94</v>
      </c>
    </row>
    <row r="78" spans="1:8" x14ac:dyDescent="0.3">
      <c r="A78" t="str">
        <f t="shared" si="5"/>
        <v>2002 - -22%</v>
      </c>
      <c r="B78" s="3">
        <v>2002</v>
      </c>
      <c r="C78" s="1">
        <f>Data!B184</f>
        <v>-0.221</v>
      </c>
      <c r="D78" s="3">
        <v>77</v>
      </c>
      <c r="E78" s="1">
        <f>Data!D184</f>
        <v>0.14080000000000001</v>
      </c>
      <c r="F78" s="21">
        <v>76.97</v>
      </c>
      <c r="G78" s="1">
        <f>Data!F184</f>
        <v>1.61E-2</v>
      </c>
      <c r="H78" s="21">
        <v>76.94</v>
      </c>
    </row>
    <row r="79" spans="1:8" x14ac:dyDescent="0.3">
      <c r="A79" t="str">
        <f t="shared" si="5"/>
        <v>2003 - 29%</v>
      </c>
      <c r="B79" s="3">
        <v>2003</v>
      </c>
      <c r="C79" s="1">
        <f>Data!B185</f>
        <v>0.2868</v>
      </c>
      <c r="D79" s="3">
        <v>78</v>
      </c>
      <c r="E79" s="1">
        <f>Data!D185</f>
        <v>1.6199999999999999E-2</v>
      </c>
      <c r="F79" s="21">
        <v>77.97</v>
      </c>
      <c r="G79" s="1">
        <f>Data!F185</f>
        <v>1.03E-2</v>
      </c>
      <c r="H79" s="21">
        <v>77.94</v>
      </c>
    </row>
    <row r="80" spans="1:8" x14ac:dyDescent="0.3">
      <c r="A80" t="str">
        <f t="shared" si="5"/>
        <v>2004 - 11%</v>
      </c>
      <c r="B80" s="3">
        <v>2004</v>
      </c>
      <c r="C80" s="1">
        <f>Data!B186</f>
        <v>0.10879999999999999</v>
      </c>
      <c r="D80" s="3">
        <v>79</v>
      </c>
      <c r="E80" s="1">
        <f>Data!D186</f>
        <v>0.10340000000000001</v>
      </c>
      <c r="F80" s="21">
        <v>78.97</v>
      </c>
      <c r="G80" s="1">
        <f>Data!F186</f>
        <v>1.43E-2</v>
      </c>
      <c r="H80" s="21">
        <v>78.94</v>
      </c>
    </row>
    <row r="81" spans="1:8" x14ac:dyDescent="0.3">
      <c r="A81" t="str">
        <f t="shared" si="5"/>
        <v>2005 - 5%</v>
      </c>
      <c r="B81" s="3">
        <v>2005</v>
      </c>
      <c r="C81" s="1">
        <f>Data!B187</f>
        <v>4.9099999999999998E-2</v>
      </c>
      <c r="D81" s="3">
        <v>80</v>
      </c>
      <c r="E81" s="1">
        <f>Data!D187</f>
        <v>0.10349999999999999</v>
      </c>
      <c r="F81" s="21">
        <v>79.97</v>
      </c>
      <c r="G81" s="1">
        <f>Data!F187</f>
        <v>3.3000000000000002E-2</v>
      </c>
      <c r="H81" s="21">
        <v>79.94</v>
      </c>
    </row>
    <row r="82" spans="1:8" x14ac:dyDescent="0.3">
      <c r="A82" t="str">
        <f t="shared" si="5"/>
        <v>2006 - 16%</v>
      </c>
      <c r="B82" s="3">
        <v>2006</v>
      </c>
      <c r="C82" s="1">
        <f>Data!B188</f>
        <v>0.15790000000000001</v>
      </c>
      <c r="D82" s="3">
        <v>81</v>
      </c>
      <c r="E82" s="1">
        <f>Data!D188</f>
        <v>2.8E-3</v>
      </c>
      <c r="F82" s="21">
        <v>80.97</v>
      </c>
      <c r="G82" s="1">
        <f>Data!F188</f>
        <v>4.9700000000000001E-2</v>
      </c>
      <c r="H82" s="21">
        <v>80.94</v>
      </c>
    </row>
    <row r="83" spans="1:8" x14ac:dyDescent="0.3">
      <c r="A83" t="str">
        <f t="shared" si="5"/>
        <v>2007 - 5%</v>
      </c>
      <c r="B83" s="3">
        <v>2007</v>
      </c>
      <c r="C83" s="1">
        <f>Data!B189</f>
        <v>5.4899999999999997E-2</v>
      </c>
      <c r="D83" s="3">
        <v>82</v>
      </c>
      <c r="E83" s="1">
        <f>Data!D189</f>
        <v>0.1085</v>
      </c>
      <c r="F83" s="21">
        <v>81.97</v>
      </c>
      <c r="G83" s="1">
        <f>Data!F189</f>
        <v>4.5199999999999997E-2</v>
      </c>
      <c r="H83" s="21">
        <v>81.94</v>
      </c>
    </row>
    <row r="84" spans="1:8" x14ac:dyDescent="0.3">
      <c r="A84" t="str">
        <f t="shared" si="5"/>
        <v>2008 - -37%</v>
      </c>
      <c r="B84" s="3">
        <v>2008</v>
      </c>
      <c r="C84" s="1">
        <f>Data!B190</f>
        <v>-0.37</v>
      </c>
      <c r="D84" s="3">
        <v>83</v>
      </c>
      <c r="E84" s="1">
        <f>Data!D190</f>
        <v>0.39460000000000001</v>
      </c>
      <c r="F84" s="21">
        <v>82.97</v>
      </c>
      <c r="G84" s="1">
        <f>Data!F190</f>
        <v>1.24E-2</v>
      </c>
      <c r="H84" s="21">
        <v>82.94</v>
      </c>
    </row>
  </sheetData>
  <conditionalFormatting sqref="N2:AG14">
    <cfRule type="expression" dxfId="0" priority="1">
      <formula>N2&lt;&gt;""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FF"/>
  </sheetPr>
  <dimension ref="A1:L84"/>
  <sheetViews>
    <sheetView topLeftCell="D1" zoomScale="115" zoomScaleNormal="115" workbookViewId="0">
      <selection activeCell="D1" sqref="D1"/>
    </sheetView>
  </sheetViews>
  <sheetFormatPr defaultRowHeight="14.4" x14ac:dyDescent="0.3"/>
  <cols>
    <col min="9" max="9" width="2.33203125" customWidth="1"/>
    <col min="10" max="10" width="25.88671875" bestFit="1" customWidth="1"/>
  </cols>
  <sheetData>
    <row r="1" spans="1:12" ht="57.6" x14ac:dyDescent="0.3">
      <c r="A1" s="17" t="s">
        <v>0</v>
      </c>
      <c r="B1" s="17" t="s">
        <v>35</v>
      </c>
      <c r="C1" s="17" t="str">
        <f>"Historical "&amp;B1</f>
        <v>Historical Large Company Returns</v>
      </c>
      <c r="D1" s="17" t="s">
        <v>36</v>
      </c>
      <c r="E1" s="17" t="str">
        <f>"Historical "&amp;D1</f>
        <v>Historical 20 Year Gov Bond Returns</v>
      </c>
      <c r="F1" s="17" t="s">
        <v>3</v>
      </c>
      <c r="G1" s="17" t="str">
        <f>"Historical "&amp;F1</f>
        <v>Historical US Treasury Bills</v>
      </c>
      <c r="J1" s="3" t="str">
        <f>"Mean "&amp;B1</f>
        <v>Mean Large Company Returns</v>
      </c>
      <c r="K1" s="19">
        <f>AVERAGE(B2:B84)</f>
        <v>0.11566626506024097</v>
      </c>
      <c r="L1" s="3">
        <v>0.99</v>
      </c>
    </row>
    <row r="2" spans="1:12" x14ac:dyDescent="0.3">
      <c r="A2" s="3">
        <v>1926</v>
      </c>
      <c r="B2" s="1">
        <f>Data!B108</f>
        <v>0.1114</v>
      </c>
      <c r="C2" s="3">
        <v>1</v>
      </c>
      <c r="D2" s="1">
        <f>Data!D108</f>
        <v>7.9000000000000001E-2</v>
      </c>
      <c r="E2" s="21">
        <v>0.97</v>
      </c>
      <c r="F2" s="1">
        <f>Data!F108</f>
        <v>3.3000000000000002E-2</v>
      </c>
      <c r="G2" s="21">
        <v>0.94</v>
      </c>
      <c r="J2" s="3" t="str">
        <f>"Mean "&amp;D1</f>
        <v>Mean 20 Year Gov Bond Returns</v>
      </c>
      <c r="K2" s="19">
        <f>AVERAGE(D2:D84)</f>
        <v>6.2471084337349381E-2</v>
      </c>
      <c r="L2" s="3">
        <v>0.96</v>
      </c>
    </row>
    <row r="3" spans="1:12" x14ac:dyDescent="0.3">
      <c r="A3" s="3">
        <v>1927</v>
      </c>
      <c r="B3" s="1">
        <f>Data!B109</f>
        <v>0.37130000000000002</v>
      </c>
      <c r="C3" s="3">
        <v>1</v>
      </c>
      <c r="D3" s="1">
        <f>Data!D109</f>
        <v>0.1036</v>
      </c>
      <c r="E3" s="21">
        <v>0.97</v>
      </c>
      <c r="F3" s="1">
        <f>Data!F109</f>
        <v>3.15E-2</v>
      </c>
      <c r="G3" s="21">
        <v>0.94</v>
      </c>
      <c r="H3" s="20"/>
      <c r="J3" s="3" t="str">
        <f>"Mean "&amp;F1</f>
        <v>Mean US Treasury Bills</v>
      </c>
      <c r="K3" s="19">
        <f>AVERAGE(F2:F84)</f>
        <v>3.856746987951807E-2</v>
      </c>
      <c r="L3" s="3">
        <v>0.93</v>
      </c>
    </row>
    <row r="4" spans="1:12" x14ac:dyDescent="0.3">
      <c r="A4" s="3">
        <v>1928</v>
      </c>
      <c r="B4" s="1">
        <f>Data!B110</f>
        <v>0.43309999999999998</v>
      </c>
      <c r="C4" s="3">
        <v>1</v>
      </c>
      <c r="D4" s="1">
        <f>Data!D110</f>
        <v>-1.37E-2</v>
      </c>
      <c r="E4" s="21">
        <v>0.97</v>
      </c>
      <c r="F4" s="1">
        <f>Data!F110</f>
        <v>4.0500000000000001E-2</v>
      </c>
      <c r="G4" s="21">
        <v>0.94</v>
      </c>
      <c r="H4" s="20"/>
    </row>
    <row r="5" spans="1:12" x14ac:dyDescent="0.3">
      <c r="A5" s="3">
        <v>1929</v>
      </c>
      <c r="B5" s="1">
        <f>Data!B111</f>
        <v>-8.9099999999999999E-2</v>
      </c>
      <c r="C5" s="3">
        <v>1</v>
      </c>
      <c r="D5" s="1">
        <f>Data!D111</f>
        <v>5.2299999999999999E-2</v>
      </c>
      <c r="E5" s="21">
        <v>0.97</v>
      </c>
      <c r="F5" s="1">
        <f>Data!F111</f>
        <v>4.4699999999999997E-2</v>
      </c>
      <c r="G5" s="21">
        <v>0.94</v>
      </c>
      <c r="H5" s="20"/>
    </row>
    <row r="6" spans="1:12" x14ac:dyDescent="0.3">
      <c r="A6" s="3">
        <v>1930</v>
      </c>
      <c r="B6" s="1">
        <f>Data!B112</f>
        <v>-0.25259999999999999</v>
      </c>
      <c r="C6" s="3">
        <v>1</v>
      </c>
      <c r="D6" s="1">
        <f>Data!D112</f>
        <v>5.8000000000000003E-2</v>
      </c>
      <c r="E6" s="21">
        <v>0.97</v>
      </c>
      <c r="F6" s="1">
        <f>Data!F112</f>
        <v>2.2700000000000001E-2</v>
      </c>
      <c r="G6" s="21">
        <v>0.94</v>
      </c>
      <c r="H6" s="20"/>
    </row>
    <row r="7" spans="1:12" x14ac:dyDescent="0.3">
      <c r="A7" s="3">
        <v>1931</v>
      </c>
      <c r="B7" s="1">
        <f>Data!B113</f>
        <v>-0.43859999999999999</v>
      </c>
      <c r="C7" s="3">
        <v>1</v>
      </c>
      <c r="D7" s="1">
        <f>Data!D113</f>
        <v>-8.0399999999999999E-2</v>
      </c>
      <c r="E7" s="21">
        <v>0.97</v>
      </c>
      <c r="F7" s="1">
        <f>Data!F113</f>
        <v>1.15E-2</v>
      </c>
      <c r="G7" s="21">
        <v>0.94</v>
      </c>
      <c r="H7" s="20"/>
    </row>
    <row r="8" spans="1:12" x14ac:dyDescent="0.3">
      <c r="A8" s="3">
        <v>1932</v>
      </c>
      <c r="B8" s="1">
        <f>Data!B114</f>
        <v>-8.8499999999999995E-2</v>
      </c>
      <c r="C8" s="3">
        <v>1</v>
      </c>
      <c r="D8" s="1">
        <f>Data!D114</f>
        <v>0.1411</v>
      </c>
      <c r="E8" s="21">
        <v>0.97</v>
      </c>
      <c r="F8" s="1">
        <f>Data!F114</f>
        <v>8.8000000000000005E-3</v>
      </c>
      <c r="G8" s="21">
        <v>0.94</v>
      </c>
      <c r="H8" s="20"/>
    </row>
    <row r="9" spans="1:12" x14ac:dyDescent="0.3">
      <c r="A9" s="3">
        <v>1933</v>
      </c>
      <c r="B9" s="1">
        <f>Data!B115</f>
        <v>0.52880000000000005</v>
      </c>
      <c r="C9" s="3">
        <v>1</v>
      </c>
      <c r="D9" s="1">
        <f>Data!D115</f>
        <v>3.0999999999999999E-3</v>
      </c>
      <c r="E9" s="21">
        <v>0.97</v>
      </c>
      <c r="F9" s="1">
        <f>Data!F115</f>
        <v>5.1999999999999998E-3</v>
      </c>
      <c r="G9" s="21">
        <v>0.94</v>
      </c>
      <c r="H9" s="20"/>
    </row>
    <row r="10" spans="1:12" x14ac:dyDescent="0.3">
      <c r="A10" s="3">
        <v>1934</v>
      </c>
      <c r="B10" s="1">
        <f>Data!B116</f>
        <v>-2.3400000000000001E-2</v>
      </c>
      <c r="C10" s="3">
        <v>1</v>
      </c>
      <c r="D10" s="1">
        <f>Data!D116</f>
        <v>0.1298</v>
      </c>
      <c r="E10" s="21">
        <v>0.97</v>
      </c>
      <c r="F10" s="1">
        <f>Data!F116</f>
        <v>2.7000000000000001E-3</v>
      </c>
      <c r="G10" s="21">
        <v>0.94</v>
      </c>
      <c r="H10" s="20"/>
    </row>
    <row r="11" spans="1:12" x14ac:dyDescent="0.3">
      <c r="A11" s="3">
        <v>1935</v>
      </c>
      <c r="B11" s="1">
        <f>Data!B117</f>
        <v>0.47220000000000001</v>
      </c>
      <c r="C11" s="3">
        <v>1</v>
      </c>
      <c r="D11" s="1">
        <f>Data!D117</f>
        <v>5.8799999999999998E-2</v>
      </c>
      <c r="E11" s="21">
        <v>0.97</v>
      </c>
      <c r="F11" s="1">
        <f>Data!F117</f>
        <v>1.6999999999999999E-3</v>
      </c>
      <c r="G11" s="21">
        <v>0.94</v>
      </c>
      <c r="H11" s="20"/>
    </row>
    <row r="12" spans="1:12" x14ac:dyDescent="0.3">
      <c r="A12" s="3">
        <v>1936</v>
      </c>
      <c r="B12" s="1">
        <f>Data!B118</f>
        <v>0.32800000000000001</v>
      </c>
      <c r="C12" s="3">
        <v>1</v>
      </c>
      <c r="D12" s="1">
        <f>Data!D118</f>
        <v>8.2199999999999995E-2</v>
      </c>
      <c r="E12" s="21">
        <v>0.97</v>
      </c>
      <c r="F12" s="1">
        <f>Data!F118</f>
        <v>1.6999999999999999E-3</v>
      </c>
      <c r="G12" s="21">
        <v>0.94</v>
      </c>
      <c r="H12" s="20"/>
    </row>
    <row r="13" spans="1:12" x14ac:dyDescent="0.3">
      <c r="A13" s="3">
        <v>1937</v>
      </c>
      <c r="B13" s="1">
        <f>Data!B119</f>
        <v>-0.35260000000000002</v>
      </c>
      <c r="C13" s="3">
        <v>1</v>
      </c>
      <c r="D13" s="1">
        <f>Data!D119</f>
        <v>-1.2999999999999999E-3</v>
      </c>
      <c r="E13" s="21">
        <v>0.97</v>
      </c>
      <c r="F13" s="1">
        <f>Data!F119</f>
        <v>2.7000000000000001E-3</v>
      </c>
      <c r="G13" s="21">
        <v>0.94</v>
      </c>
      <c r="H13" s="20"/>
    </row>
    <row r="14" spans="1:12" x14ac:dyDescent="0.3">
      <c r="A14" s="3">
        <v>1938</v>
      </c>
      <c r="B14" s="1">
        <f>Data!B120</f>
        <v>0.33200000000000002</v>
      </c>
      <c r="C14" s="3">
        <v>1</v>
      </c>
      <c r="D14" s="1">
        <f>Data!D120</f>
        <v>6.2600000000000003E-2</v>
      </c>
      <c r="E14" s="21">
        <v>0.97</v>
      </c>
      <c r="F14" s="1">
        <f>Data!F120</f>
        <v>5.9999999999999995E-4</v>
      </c>
      <c r="G14" s="21">
        <v>0.94</v>
      </c>
      <c r="H14" s="20"/>
    </row>
    <row r="15" spans="1:12" x14ac:dyDescent="0.3">
      <c r="A15" s="3">
        <v>1939</v>
      </c>
      <c r="B15" s="1">
        <f>Data!B121</f>
        <v>-9.1000000000000004E-3</v>
      </c>
      <c r="C15" s="3">
        <v>1</v>
      </c>
      <c r="D15" s="1">
        <f>Data!D121</f>
        <v>5.7099999999999998E-2</v>
      </c>
      <c r="E15" s="21">
        <v>0.97</v>
      </c>
      <c r="F15" s="1">
        <f>Data!F121</f>
        <v>4.0000000000000002E-4</v>
      </c>
      <c r="G15" s="21">
        <v>0.94</v>
      </c>
      <c r="H15" s="20"/>
    </row>
    <row r="16" spans="1:12" x14ac:dyDescent="0.3">
      <c r="A16" s="3">
        <v>1940</v>
      </c>
      <c r="B16" s="1">
        <f>Data!B122</f>
        <v>-0.1008</v>
      </c>
      <c r="C16" s="3">
        <v>1</v>
      </c>
      <c r="D16" s="1">
        <f>Data!D122</f>
        <v>0.10340000000000001</v>
      </c>
      <c r="E16" s="21">
        <v>0.97</v>
      </c>
      <c r="F16" s="1">
        <f>Data!F122</f>
        <v>4.0000000000000002E-4</v>
      </c>
      <c r="G16" s="21">
        <v>0.94</v>
      </c>
      <c r="H16" s="20"/>
    </row>
    <row r="17" spans="1:8" x14ac:dyDescent="0.3">
      <c r="A17" s="3">
        <v>1941</v>
      </c>
      <c r="B17" s="1">
        <f>Data!B123</f>
        <v>-0.1177</v>
      </c>
      <c r="C17" s="3">
        <v>1</v>
      </c>
      <c r="D17" s="1">
        <f>Data!D123</f>
        <v>-8.6599999999999996E-2</v>
      </c>
      <c r="E17" s="21">
        <v>0.97</v>
      </c>
      <c r="F17" s="1">
        <f>Data!F123</f>
        <v>1.4E-3</v>
      </c>
      <c r="G17" s="21">
        <v>0.94</v>
      </c>
      <c r="H17" s="20"/>
    </row>
    <row r="18" spans="1:8" x14ac:dyDescent="0.3">
      <c r="A18" s="3">
        <v>1942</v>
      </c>
      <c r="B18" s="1">
        <f>Data!B124</f>
        <v>0.2107</v>
      </c>
      <c r="C18" s="3">
        <v>1</v>
      </c>
      <c r="D18" s="1">
        <f>Data!D124</f>
        <v>2.6700000000000002E-2</v>
      </c>
      <c r="E18" s="21">
        <v>0.97</v>
      </c>
      <c r="F18" s="1">
        <f>Data!F124</f>
        <v>3.3999999999999998E-3</v>
      </c>
      <c r="G18" s="21">
        <v>0.94</v>
      </c>
      <c r="H18" s="20"/>
    </row>
    <row r="19" spans="1:8" x14ac:dyDescent="0.3">
      <c r="A19" s="3">
        <v>1943</v>
      </c>
      <c r="B19" s="1">
        <f>Data!B125</f>
        <v>0.2576</v>
      </c>
      <c r="C19" s="3">
        <v>1</v>
      </c>
      <c r="D19" s="1">
        <f>Data!D125</f>
        <v>2.5000000000000001E-2</v>
      </c>
      <c r="E19" s="21">
        <v>0.97</v>
      </c>
      <c r="F19" s="1">
        <f>Data!F125</f>
        <v>3.8E-3</v>
      </c>
      <c r="G19" s="21">
        <v>0.94</v>
      </c>
      <c r="H19" s="20"/>
    </row>
    <row r="20" spans="1:8" x14ac:dyDescent="0.3">
      <c r="A20" s="3">
        <v>1944</v>
      </c>
      <c r="B20" s="1">
        <f>Data!B126</f>
        <v>0.19689999999999999</v>
      </c>
      <c r="C20" s="3">
        <v>1</v>
      </c>
      <c r="D20" s="1">
        <f>Data!D126</f>
        <v>2.8799999999999999E-2</v>
      </c>
      <c r="E20" s="21">
        <v>0.97</v>
      </c>
      <c r="F20" s="1">
        <f>Data!F126</f>
        <v>3.8E-3</v>
      </c>
      <c r="G20" s="21">
        <v>0.94</v>
      </c>
      <c r="H20" s="20"/>
    </row>
    <row r="21" spans="1:8" x14ac:dyDescent="0.3">
      <c r="A21" s="3">
        <v>1945</v>
      </c>
      <c r="B21" s="1">
        <f>Data!B127</f>
        <v>0.36459999999999998</v>
      </c>
      <c r="C21" s="3">
        <v>1</v>
      </c>
      <c r="D21" s="1">
        <f>Data!D127</f>
        <v>5.1700000000000003E-2</v>
      </c>
      <c r="E21" s="21">
        <v>0.97</v>
      </c>
      <c r="F21" s="1">
        <f>Data!F127</f>
        <v>3.8E-3</v>
      </c>
      <c r="G21" s="21">
        <v>0.94</v>
      </c>
      <c r="H21" s="20"/>
    </row>
    <row r="22" spans="1:8" x14ac:dyDescent="0.3">
      <c r="A22" s="3">
        <v>1946</v>
      </c>
      <c r="B22" s="1">
        <f>Data!B128</f>
        <v>-8.1799999999999998E-2</v>
      </c>
      <c r="C22" s="3">
        <v>1</v>
      </c>
      <c r="D22" s="1">
        <f>Data!D128</f>
        <v>4.07E-2</v>
      </c>
      <c r="E22" s="21">
        <v>0.97</v>
      </c>
      <c r="F22" s="1">
        <f>Data!F128</f>
        <v>3.8E-3</v>
      </c>
      <c r="G22" s="21">
        <v>0.94</v>
      </c>
      <c r="H22" s="20"/>
    </row>
    <row r="23" spans="1:8" x14ac:dyDescent="0.3">
      <c r="A23" s="3">
        <v>1947</v>
      </c>
      <c r="B23" s="1">
        <f>Data!B129</f>
        <v>5.2400000000000002E-2</v>
      </c>
      <c r="C23" s="3">
        <v>1</v>
      </c>
      <c r="D23" s="1">
        <f>Data!D129</f>
        <v>-1.15E-2</v>
      </c>
      <c r="E23" s="21">
        <v>0.97</v>
      </c>
      <c r="F23" s="1">
        <f>Data!F129</f>
        <v>6.1999999999999998E-3</v>
      </c>
      <c r="G23" s="21">
        <v>0.94</v>
      </c>
      <c r="H23" s="20"/>
    </row>
    <row r="24" spans="1:8" x14ac:dyDescent="0.3">
      <c r="A24" s="3">
        <v>1948</v>
      </c>
      <c r="B24" s="1">
        <f>Data!B130</f>
        <v>5.0999999999999997E-2</v>
      </c>
      <c r="C24" s="3">
        <v>1</v>
      </c>
      <c r="D24" s="1">
        <f>Data!D130</f>
        <v>2.1000000000000001E-2</v>
      </c>
      <c r="E24" s="21">
        <v>0.97</v>
      </c>
      <c r="F24" s="1">
        <f>Data!F130</f>
        <v>1.06E-2</v>
      </c>
      <c r="G24" s="21">
        <v>0.94</v>
      </c>
      <c r="H24" s="20"/>
    </row>
    <row r="25" spans="1:8" x14ac:dyDescent="0.3">
      <c r="A25" s="3">
        <v>1949</v>
      </c>
      <c r="B25" s="1">
        <f>Data!B131</f>
        <v>0.18060000000000001</v>
      </c>
      <c r="C25" s="3">
        <v>1</v>
      </c>
      <c r="D25" s="1">
        <f>Data!D131</f>
        <v>7.0199999999999999E-2</v>
      </c>
      <c r="E25" s="21">
        <v>0.97</v>
      </c>
      <c r="F25" s="1">
        <f>Data!F131</f>
        <v>1.12E-2</v>
      </c>
      <c r="G25" s="21">
        <v>0.94</v>
      </c>
      <c r="H25" s="20"/>
    </row>
    <row r="26" spans="1:8" x14ac:dyDescent="0.3">
      <c r="A26" s="3">
        <v>1950</v>
      </c>
      <c r="B26" s="1">
        <f>Data!B132</f>
        <v>0.30580000000000002</v>
      </c>
      <c r="C26" s="3">
        <v>1</v>
      </c>
      <c r="D26" s="1">
        <f>Data!D132</f>
        <v>-1.44E-2</v>
      </c>
      <c r="E26" s="21">
        <v>0.97</v>
      </c>
      <c r="F26" s="1">
        <f>Data!F132</f>
        <v>1.2200000000000001E-2</v>
      </c>
      <c r="G26" s="21">
        <v>0.94</v>
      </c>
      <c r="H26" s="20"/>
    </row>
    <row r="27" spans="1:8" x14ac:dyDescent="0.3">
      <c r="A27" s="3">
        <v>1951</v>
      </c>
      <c r="B27" s="1">
        <f>Data!B133</f>
        <v>0.2455</v>
      </c>
      <c r="C27" s="3">
        <v>1</v>
      </c>
      <c r="D27" s="1">
        <f>Data!D133</f>
        <v>-3.5299999999999998E-2</v>
      </c>
      <c r="E27" s="21">
        <v>0.97</v>
      </c>
      <c r="F27" s="1">
        <f>Data!F133</f>
        <v>1.5599999999999999E-2</v>
      </c>
      <c r="G27" s="21">
        <v>0.94</v>
      </c>
      <c r="H27" s="20"/>
    </row>
    <row r="28" spans="1:8" x14ac:dyDescent="0.3">
      <c r="A28" s="3">
        <v>1952</v>
      </c>
      <c r="B28" s="1">
        <f>Data!B134</f>
        <v>0.185</v>
      </c>
      <c r="C28" s="3">
        <v>1</v>
      </c>
      <c r="D28" s="1">
        <f>Data!D134</f>
        <v>1.8200000000000001E-2</v>
      </c>
      <c r="E28" s="21">
        <v>0.97</v>
      </c>
      <c r="F28" s="1">
        <f>Data!F134</f>
        <v>1.7500000000000002E-2</v>
      </c>
      <c r="G28" s="21">
        <v>0.94</v>
      </c>
      <c r="H28" s="20"/>
    </row>
    <row r="29" spans="1:8" x14ac:dyDescent="0.3">
      <c r="A29" s="3">
        <v>1953</v>
      </c>
      <c r="B29" s="1">
        <f>Data!B135</f>
        <v>-1.0999999999999999E-2</v>
      </c>
      <c r="C29" s="3">
        <v>1</v>
      </c>
      <c r="D29" s="1">
        <f>Data!D135</f>
        <v>-8.8000000000000005E-3</v>
      </c>
      <c r="E29" s="21">
        <v>0.97</v>
      </c>
      <c r="F29" s="1">
        <f>Data!F135</f>
        <v>1.8700000000000001E-2</v>
      </c>
      <c r="G29" s="21">
        <v>0.94</v>
      </c>
      <c r="H29" s="20"/>
    </row>
    <row r="30" spans="1:8" x14ac:dyDescent="0.3">
      <c r="A30" s="3">
        <v>1954</v>
      </c>
      <c r="B30" s="1">
        <f>Data!B136</f>
        <v>0.52400000000000002</v>
      </c>
      <c r="C30" s="3">
        <v>1</v>
      </c>
      <c r="D30" s="1">
        <f>Data!D136</f>
        <v>7.8899999999999998E-2</v>
      </c>
      <c r="E30" s="21">
        <v>0.97</v>
      </c>
      <c r="F30" s="1">
        <f>Data!F136</f>
        <v>9.2999999999999992E-3</v>
      </c>
      <c r="G30" s="21">
        <v>0.94</v>
      </c>
      <c r="H30" s="20"/>
    </row>
    <row r="31" spans="1:8" x14ac:dyDescent="0.3">
      <c r="A31" s="3">
        <v>1955</v>
      </c>
      <c r="B31" s="1">
        <f>Data!B137</f>
        <v>0.31430000000000002</v>
      </c>
      <c r="C31" s="3">
        <v>1</v>
      </c>
      <c r="D31" s="1">
        <f>Data!D137</f>
        <v>-1.03E-2</v>
      </c>
      <c r="E31" s="21">
        <v>0.97</v>
      </c>
      <c r="F31" s="1">
        <f>Data!F137</f>
        <v>1.7999999999999999E-2</v>
      </c>
      <c r="G31" s="21">
        <v>0.94</v>
      </c>
      <c r="H31" s="20"/>
    </row>
    <row r="32" spans="1:8" x14ac:dyDescent="0.3">
      <c r="A32" s="3">
        <v>1956</v>
      </c>
      <c r="B32" s="1">
        <f>Data!B138</f>
        <v>6.6299999999999998E-2</v>
      </c>
      <c r="C32" s="3">
        <v>1</v>
      </c>
      <c r="D32" s="1">
        <f>Data!D138</f>
        <v>-3.1399999999999997E-2</v>
      </c>
      <c r="E32" s="21">
        <v>0.97</v>
      </c>
      <c r="F32" s="1">
        <f>Data!F138</f>
        <v>2.6599999999999999E-2</v>
      </c>
      <c r="G32" s="21">
        <v>0.94</v>
      </c>
      <c r="H32" s="20"/>
    </row>
    <row r="33" spans="1:8" x14ac:dyDescent="0.3">
      <c r="A33" s="3">
        <v>1957</v>
      </c>
      <c r="B33" s="1">
        <f>Data!B139</f>
        <v>-0.1085</v>
      </c>
      <c r="C33" s="3">
        <v>1</v>
      </c>
      <c r="D33" s="1">
        <f>Data!D139</f>
        <v>5.2499999999999998E-2</v>
      </c>
      <c r="E33" s="21">
        <v>0.97</v>
      </c>
      <c r="F33" s="1">
        <f>Data!F139</f>
        <v>3.2800000000000003E-2</v>
      </c>
      <c r="G33" s="21">
        <v>0.94</v>
      </c>
      <c r="H33" s="20"/>
    </row>
    <row r="34" spans="1:8" x14ac:dyDescent="0.3">
      <c r="A34" s="3">
        <v>1958</v>
      </c>
      <c r="B34" s="1">
        <f>Data!B140</f>
        <v>0.43340000000000001</v>
      </c>
      <c r="C34" s="3">
        <v>1</v>
      </c>
      <c r="D34" s="1">
        <f>Data!D140</f>
        <v>-6.7000000000000004E-2</v>
      </c>
      <c r="E34" s="21">
        <v>0.97</v>
      </c>
      <c r="F34" s="1">
        <f>Data!F140</f>
        <v>1.7100000000000001E-2</v>
      </c>
      <c r="G34" s="21">
        <v>0.94</v>
      </c>
      <c r="H34" s="20"/>
    </row>
    <row r="35" spans="1:8" x14ac:dyDescent="0.3">
      <c r="A35" s="3">
        <v>1959</v>
      </c>
      <c r="B35" s="1">
        <f>Data!B141</f>
        <v>0.11899999999999999</v>
      </c>
      <c r="C35" s="3">
        <v>1</v>
      </c>
      <c r="D35" s="1">
        <f>Data!D141</f>
        <v>-1.35E-2</v>
      </c>
      <c r="E35" s="21">
        <v>0.97</v>
      </c>
      <c r="F35" s="1">
        <f>Data!F141</f>
        <v>3.4799999999999998E-2</v>
      </c>
      <c r="G35" s="21">
        <v>0.94</v>
      </c>
      <c r="H35" s="20"/>
    </row>
    <row r="36" spans="1:8" x14ac:dyDescent="0.3">
      <c r="A36" s="3">
        <v>1960</v>
      </c>
      <c r="B36" s="1">
        <f>Data!B142</f>
        <v>4.7999999999999996E-3</v>
      </c>
      <c r="C36" s="3">
        <v>1</v>
      </c>
      <c r="D36" s="1">
        <f>Data!D142</f>
        <v>7.7399999999999997E-2</v>
      </c>
      <c r="E36" s="21">
        <v>0.97</v>
      </c>
      <c r="F36" s="1">
        <f>Data!F142</f>
        <v>2.81E-2</v>
      </c>
      <c r="G36" s="21">
        <v>0.94</v>
      </c>
      <c r="H36" s="20"/>
    </row>
    <row r="37" spans="1:8" x14ac:dyDescent="0.3">
      <c r="A37" s="3">
        <v>1961</v>
      </c>
      <c r="B37" s="1">
        <f>Data!B143</f>
        <v>0.2681</v>
      </c>
      <c r="C37" s="3">
        <v>1</v>
      </c>
      <c r="D37" s="1">
        <f>Data!D143</f>
        <v>3.0200000000000001E-2</v>
      </c>
      <c r="E37" s="21">
        <v>0.97</v>
      </c>
      <c r="F37" s="1">
        <f>Data!F143</f>
        <v>2.4E-2</v>
      </c>
      <c r="G37" s="21">
        <v>0.94</v>
      </c>
      <c r="H37" s="20"/>
    </row>
    <row r="38" spans="1:8" x14ac:dyDescent="0.3">
      <c r="A38" s="3">
        <v>1962</v>
      </c>
      <c r="B38" s="1">
        <f>Data!B144</f>
        <v>-8.7800000000000003E-2</v>
      </c>
      <c r="C38" s="3">
        <v>1</v>
      </c>
      <c r="D38" s="1">
        <f>Data!D144</f>
        <v>4.6300000000000001E-2</v>
      </c>
      <c r="E38" s="21">
        <v>0.97</v>
      </c>
      <c r="F38" s="1">
        <f>Data!F144</f>
        <v>2.8199999999999999E-2</v>
      </c>
      <c r="G38" s="21">
        <v>0.94</v>
      </c>
      <c r="H38" s="20"/>
    </row>
    <row r="39" spans="1:8" x14ac:dyDescent="0.3">
      <c r="A39" s="3">
        <v>1963</v>
      </c>
      <c r="B39" s="1">
        <f>Data!B145</f>
        <v>0.22689999999999999</v>
      </c>
      <c r="C39" s="3">
        <v>1</v>
      </c>
      <c r="D39" s="1">
        <f>Data!D145</f>
        <v>1.37E-2</v>
      </c>
      <c r="E39" s="21">
        <v>0.97</v>
      </c>
      <c r="F39" s="1">
        <f>Data!F145</f>
        <v>3.2300000000000002E-2</v>
      </c>
      <c r="G39" s="21">
        <v>0.94</v>
      </c>
      <c r="H39" s="20"/>
    </row>
    <row r="40" spans="1:8" x14ac:dyDescent="0.3">
      <c r="A40" s="3">
        <v>1964</v>
      </c>
      <c r="B40" s="1">
        <f>Data!B146</f>
        <v>0.1636</v>
      </c>
      <c r="C40" s="3">
        <v>1</v>
      </c>
      <c r="D40" s="1">
        <f>Data!D146</f>
        <v>4.4299999999999999E-2</v>
      </c>
      <c r="E40" s="21">
        <v>0.97</v>
      </c>
      <c r="F40" s="1">
        <f>Data!F146</f>
        <v>3.6200000000000003E-2</v>
      </c>
      <c r="G40" s="21">
        <v>0.94</v>
      </c>
      <c r="H40" s="20"/>
    </row>
    <row r="41" spans="1:8" x14ac:dyDescent="0.3">
      <c r="A41" s="3">
        <v>1965</v>
      </c>
      <c r="B41" s="1">
        <f>Data!B147</f>
        <v>0.1236</v>
      </c>
      <c r="C41" s="3">
        <v>1</v>
      </c>
      <c r="D41" s="1">
        <f>Data!D147</f>
        <v>1.4E-2</v>
      </c>
      <c r="E41" s="21">
        <v>0.97</v>
      </c>
      <c r="F41" s="1">
        <f>Data!F147</f>
        <v>4.0599999999999997E-2</v>
      </c>
      <c r="G41" s="21">
        <v>0.94</v>
      </c>
      <c r="H41" s="20"/>
    </row>
    <row r="42" spans="1:8" x14ac:dyDescent="0.3">
      <c r="A42" s="3">
        <v>1966</v>
      </c>
      <c r="B42" s="1">
        <f>Data!B148</f>
        <v>-0.10100000000000001</v>
      </c>
      <c r="C42" s="3">
        <v>1</v>
      </c>
      <c r="D42" s="1">
        <f>Data!D148</f>
        <v>-1.61E-2</v>
      </c>
      <c r="E42" s="21">
        <v>0.97</v>
      </c>
      <c r="F42" s="1">
        <f>Data!F148</f>
        <v>4.9399999999999999E-2</v>
      </c>
      <c r="G42" s="21">
        <v>0.94</v>
      </c>
      <c r="H42" s="20"/>
    </row>
    <row r="43" spans="1:8" x14ac:dyDescent="0.3">
      <c r="A43" s="3">
        <v>1967</v>
      </c>
      <c r="B43" s="1">
        <f>Data!B149</f>
        <v>0.2394</v>
      </c>
      <c r="C43" s="3">
        <v>1</v>
      </c>
      <c r="D43" s="1">
        <f>Data!D149</f>
        <v>-6.3799999999999996E-2</v>
      </c>
      <c r="E43" s="21">
        <v>0.97</v>
      </c>
      <c r="F43" s="1">
        <f>Data!F149</f>
        <v>4.3900000000000002E-2</v>
      </c>
      <c r="G43" s="21">
        <v>0.94</v>
      </c>
      <c r="H43" s="20"/>
    </row>
    <row r="44" spans="1:8" x14ac:dyDescent="0.3">
      <c r="A44" s="3">
        <v>1968</v>
      </c>
      <c r="B44" s="1">
        <f>Data!B150</f>
        <v>0.11</v>
      </c>
      <c r="C44" s="3">
        <v>1</v>
      </c>
      <c r="D44" s="1">
        <f>Data!D150</f>
        <v>5.33E-2</v>
      </c>
      <c r="E44" s="21">
        <v>0.97</v>
      </c>
      <c r="F44" s="1">
        <f>Data!F150</f>
        <v>5.4899999999999997E-2</v>
      </c>
      <c r="G44" s="21">
        <v>0.94</v>
      </c>
      <c r="H44" s="20"/>
    </row>
    <row r="45" spans="1:8" x14ac:dyDescent="0.3">
      <c r="A45" s="3">
        <v>1969</v>
      </c>
      <c r="B45" s="1">
        <f>Data!B151</f>
        <v>-8.4699999999999998E-2</v>
      </c>
      <c r="C45" s="3">
        <v>1</v>
      </c>
      <c r="D45" s="1">
        <f>Data!D151</f>
        <v>-7.4499999999999997E-2</v>
      </c>
      <c r="E45" s="21">
        <v>0.97</v>
      </c>
      <c r="F45" s="1">
        <f>Data!F151</f>
        <v>6.9000000000000006E-2</v>
      </c>
      <c r="G45" s="21">
        <v>0.94</v>
      </c>
      <c r="H45" s="20"/>
    </row>
    <row r="46" spans="1:8" x14ac:dyDescent="0.3">
      <c r="A46" s="3">
        <v>1970</v>
      </c>
      <c r="B46" s="1">
        <f>Data!B152</f>
        <v>3.9399999999999998E-2</v>
      </c>
      <c r="C46" s="3">
        <v>1</v>
      </c>
      <c r="D46" s="1">
        <f>Data!D152</f>
        <v>0.12239999999999999</v>
      </c>
      <c r="E46" s="21">
        <v>0.97</v>
      </c>
      <c r="F46" s="1">
        <f>Data!F152</f>
        <v>6.5000000000000002E-2</v>
      </c>
      <c r="G46" s="21">
        <v>0.94</v>
      </c>
      <c r="H46" s="20"/>
    </row>
    <row r="47" spans="1:8" x14ac:dyDescent="0.3">
      <c r="A47" s="3">
        <v>1971</v>
      </c>
      <c r="B47" s="1">
        <f>Data!B153</f>
        <v>0.14299999999999999</v>
      </c>
      <c r="C47" s="3">
        <v>1</v>
      </c>
      <c r="D47" s="1">
        <f>Data!D153</f>
        <v>0.12670000000000001</v>
      </c>
      <c r="E47" s="21">
        <v>0.97</v>
      </c>
      <c r="F47" s="1">
        <f>Data!F153</f>
        <v>4.36E-2</v>
      </c>
      <c r="G47" s="21">
        <v>0.94</v>
      </c>
      <c r="H47" s="20"/>
    </row>
    <row r="48" spans="1:8" x14ac:dyDescent="0.3">
      <c r="A48" s="3">
        <v>1972</v>
      </c>
      <c r="B48" s="1">
        <f>Data!B154</f>
        <v>0.18990000000000001</v>
      </c>
      <c r="C48" s="3">
        <v>1</v>
      </c>
      <c r="D48" s="1">
        <f>Data!D154</f>
        <v>9.1499999999999998E-2</v>
      </c>
      <c r="E48" s="21">
        <v>0.97</v>
      </c>
      <c r="F48" s="1">
        <f>Data!F154</f>
        <v>4.2299999999999997E-2</v>
      </c>
      <c r="G48" s="21">
        <v>0.94</v>
      </c>
      <c r="H48" s="20"/>
    </row>
    <row r="49" spans="1:8" x14ac:dyDescent="0.3">
      <c r="A49" s="3">
        <v>1973</v>
      </c>
      <c r="B49" s="1">
        <f>Data!B155</f>
        <v>-0.1469</v>
      </c>
      <c r="C49" s="3">
        <v>1</v>
      </c>
      <c r="D49" s="1">
        <f>Data!D155</f>
        <v>-0.12659999999999999</v>
      </c>
      <c r="E49" s="21">
        <v>0.97</v>
      </c>
      <c r="F49" s="1">
        <f>Data!F155</f>
        <v>7.2900000000000006E-2</v>
      </c>
      <c r="G49" s="21">
        <v>0.94</v>
      </c>
      <c r="H49" s="20"/>
    </row>
    <row r="50" spans="1:8" x14ac:dyDescent="0.3">
      <c r="A50" s="3">
        <v>1974</v>
      </c>
      <c r="B50" s="1">
        <f>Data!B156</f>
        <v>-0.26469999999999999</v>
      </c>
      <c r="C50" s="3">
        <v>1</v>
      </c>
      <c r="D50" s="1">
        <f>Data!D156</f>
        <v>-3.2800000000000003E-2</v>
      </c>
      <c r="E50" s="21">
        <v>0.97</v>
      </c>
      <c r="F50" s="1">
        <f>Data!F156</f>
        <v>7.9899999999999999E-2</v>
      </c>
      <c r="G50" s="21">
        <v>0.94</v>
      </c>
      <c r="H50" s="20"/>
    </row>
    <row r="51" spans="1:8" x14ac:dyDescent="0.3">
      <c r="A51" s="3">
        <v>1975</v>
      </c>
      <c r="B51" s="1">
        <f>Data!B157</f>
        <v>0.37230000000000002</v>
      </c>
      <c r="C51" s="3">
        <v>1</v>
      </c>
      <c r="D51" s="1">
        <f>Data!D157</f>
        <v>4.6699999999999998E-2</v>
      </c>
      <c r="E51" s="21">
        <v>0.97</v>
      </c>
      <c r="F51" s="1">
        <f>Data!F157</f>
        <v>5.8700000000000002E-2</v>
      </c>
      <c r="G51" s="21">
        <v>0.94</v>
      </c>
      <c r="H51" s="20"/>
    </row>
    <row r="52" spans="1:8" x14ac:dyDescent="0.3">
      <c r="A52" s="3">
        <v>1976</v>
      </c>
      <c r="B52" s="1">
        <f>Data!B158</f>
        <v>0.23930000000000001</v>
      </c>
      <c r="C52" s="3">
        <v>1</v>
      </c>
      <c r="D52" s="1">
        <f>Data!D158</f>
        <v>0.18340000000000001</v>
      </c>
      <c r="E52" s="21">
        <v>0.97</v>
      </c>
      <c r="F52" s="1">
        <f>Data!F158</f>
        <v>5.0700000000000002E-2</v>
      </c>
      <c r="G52" s="21">
        <v>0.94</v>
      </c>
      <c r="H52" s="20"/>
    </row>
    <row r="53" spans="1:8" x14ac:dyDescent="0.3">
      <c r="A53" s="3">
        <v>1977</v>
      </c>
      <c r="B53" s="1">
        <f>Data!B159</f>
        <v>-7.1599999999999997E-2</v>
      </c>
      <c r="C53" s="3">
        <v>1</v>
      </c>
      <c r="D53" s="1">
        <f>Data!D159</f>
        <v>2.3099999999999999E-2</v>
      </c>
      <c r="E53" s="21">
        <v>0.97</v>
      </c>
      <c r="F53" s="1">
        <f>Data!F159</f>
        <v>5.45E-2</v>
      </c>
      <c r="G53" s="21">
        <v>0.94</v>
      </c>
      <c r="H53" s="20"/>
    </row>
    <row r="54" spans="1:8" x14ac:dyDescent="0.3">
      <c r="A54" s="3">
        <v>1978</v>
      </c>
      <c r="B54" s="1">
        <f>Data!B160</f>
        <v>6.5699999999999995E-2</v>
      </c>
      <c r="C54" s="3">
        <v>1</v>
      </c>
      <c r="D54" s="1">
        <f>Data!D160</f>
        <v>-2.07E-2</v>
      </c>
      <c r="E54" s="21">
        <v>0.97</v>
      </c>
      <c r="F54" s="1">
        <f>Data!F160</f>
        <v>7.6399999999999996E-2</v>
      </c>
      <c r="G54" s="21">
        <v>0.94</v>
      </c>
      <c r="H54" s="20"/>
    </row>
    <row r="55" spans="1:8" x14ac:dyDescent="0.3">
      <c r="A55" s="3">
        <v>1979</v>
      </c>
      <c r="B55" s="1">
        <f>Data!B161</f>
        <v>0.18609999999999999</v>
      </c>
      <c r="C55" s="3">
        <v>1</v>
      </c>
      <c r="D55" s="1">
        <f>Data!D161</f>
        <v>-2.76E-2</v>
      </c>
      <c r="E55" s="21">
        <v>0.97</v>
      </c>
      <c r="F55" s="1">
        <f>Data!F161</f>
        <v>0.1056</v>
      </c>
      <c r="G55" s="21">
        <v>0.94</v>
      </c>
      <c r="H55" s="20"/>
    </row>
    <row r="56" spans="1:8" x14ac:dyDescent="0.3">
      <c r="A56" s="3">
        <v>1980</v>
      </c>
      <c r="B56" s="1">
        <f>Data!B162</f>
        <v>0.32500000000000001</v>
      </c>
      <c r="C56" s="3">
        <v>1</v>
      </c>
      <c r="D56" s="1">
        <f>Data!D162</f>
        <v>-5.91E-2</v>
      </c>
      <c r="E56" s="21">
        <v>0.97</v>
      </c>
      <c r="F56" s="1">
        <f>Data!F162</f>
        <v>0.121</v>
      </c>
      <c r="G56" s="21">
        <v>0.94</v>
      </c>
      <c r="H56" s="20"/>
    </row>
    <row r="57" spans="1:8" x14ac:dyDescent="0.3">
      <c r="A57" s="3">
        <v>1981</v>
      </c>
      <c r="B57" s="1">
        <f>Data!B163</f>
        <v>-4.9200000000000001E-2</v>
      </c>
      <c r="C57" s="3">
        <v>1</v>
      </c>
      <c r="D57" s="1">
        <f>Data!D163</f>
        <v>-1.6000000000000001E-3</v>
      </c>
      <c r="E57" s="21">
        <v>0.97</v>
      </c>
      <c r="F57" s="1">
        <f>Data!F163</f>
        <v>0.14599999999999999</v>
      </c>
      <c r="G57" s="21">
        <v>0.94</v>
      </c>
      <c r="H57" s="20"/>
    </row>
    <row r="58" spans="1:8" x14ac:dyDescent="0.3">
      <c r="A58" s="3">
        <v>1982</v>
      </c>
      <c r="B58" s="1">
        <f>Data!B164</f>
        <v>0.2155</v>
      </c>
      <c r="C58" s="3">
        <v>1</v>
      </c>
      <c r="D58" s="1">
        <f>Data!D164</f>
        <v>0.49990000000000001</v>
      </c>
      <c r="E58" s="21">
        <v>0.97</v>
      </c>
      <c r="F58" s="1">
        <f>Data!F164</f>
        <v>0.1094</v>
      </c>
      <c r="G58" s="21">
        <v>0.94</v>
      </c>
      <c r="H58" s="20"/>
    </row>
    <row r="59" spans="1:8" x14ac:dyDescent="0.3">
      <c r="A59" s="3">
        <v>1983</v>
      </c>
      <c r="B59" s="1">
        <f>Data!B165</f>
        <v>0.22559999999999999</v>
      </c>
      <c r="C59" s="3">
        <v>1</v>
      </c>
      <c r="D59" s="1">
        <f>Data!D165</f>
        <v>-2.1100000000000001E-2</v>
      </c>
      <c r="E59" s="21">
        <v>0.97</v>
      </c>
      <c r="F59" s="1">
        <f>Data!F165</f>
        <v>8.9899999999999994E-2</v>
      </c>
      <c r="G59" s="21">
        <v>0.94</v>
      </c>
      <c r="H59" s="20"/>
    </row>
    <row r="60" spans="1:8" x14ac:dyDescent="0.3">
      <c r="A60" s="3">
        <v>1984</v>
      </c>
      <c r="B60" s="1">
        <f>Data!B166</f>
        <v>6.2700000000000006E-2</v>
      </c>
      <c r="C60" s="3">
        <v>1</v>
      </c>
      <c r="D60" s="1">
        <f>Data!D166</f>
        <v>0.1653</v>
      </c>
      <c r="E60" s="21">
        <v>0.97</v>
      </c>
      <c r="F60" s="1">
        <f>Data!F166</f>
        <v>9.9000000000000005E-2</v>
      </c>
      <c r="G60" s="21">
        <v>0.94</v>
      </c>
      <c r="H60" s="20"/>
    </row>
    <row r="61" spans="1:8" x14ac:dyDescent="0.3">
      <c r="A61" s="3">
        <v>1985</v>
      </c>
      <c r="B61" s="1">
        <f>Data!B167</f>
        <v>0.31730000000000003</v>
      </c>
      <c r="C61" s="3">
        <v>1</v>
      </c>
      <c r="D61" s="1">
        <f>Data!D167</f>
        <v>0.39029999999999998</v>
      </c>
      <c r="E61" s="21">
        <v>0.97</v>
      </c>
      <c r="F61" s="1">
        <f>Data!F167</f>
        <v>7.7100000000000002E-2</v>
      </c>
      <c r="G61" s="21">
        <v>0.94</v>
      </c>
      <c r="H61" s="20"/>
    </row>
    <row r="62" spans="1:8" x14ac:dyDescent="0.3">
      <c r="A62" s="3">
        <v>1986</v>
      </c>
      <c r="B62" s="1">
        <f>Data!B168</f>
        <v>0.1867</v>
      </c>
      <c r="C62" s="3">
        <v>1</v>
      </c>
      <c r="D62" s="1">
        <f>Data!D168</f>
        <v>0.3251</v>
      </c>
      <c r="E62" s="21">
        <v>0.97</v>
      </c>
      <c r="F62" s="1">
        <f>Data!F168</f>
        <v>6.0900000000000003E-2</v>
      </c>
      <c r="G62" s="21">
        <v>0.94</v>
      </c>
      <c r="H62" s="20"/>
    </row>
    <row r="63" spans="1:8" x14ac:dyDescent="0.3">
      <c r="A63" s="3">
        <v>1987</v>
      </c>
      <c r="B63" s="1">
        <f>Data!B169</f>
        <v>5.2499999999999998E-2</v>
      </c>
      <c r="C63" s="3">
        <v>1</v>
      </c>
      <c r="D63" s="1">
        <f>Data!D169</f>
        <v>-8.09E-2</v>
      </c>
      <c r="E63" s="21">
        <v>0.97</v>
      </c>
      <c r="F63" s="1">
        <f>Data!F169</f>
        <v>5.8799999999999998E-2</v>
      </c>
      <c r="G63" s="21">
        <v>0.94</v>
      </c>
      <c r="H63" s="20"/>
    </row>
    <row r="64" spans="1:8" x14ac:dyDescent="0.3">
      <c r="A64" s="3">
        <v>1988</v>
      </c>
      <c r="B64" s="1">
        <f>Data!B170</f>
        <v>0.1661</v>
      </c>
      <c r="C64" s="3">
        <v>1</v>
      </c>
      <c r="D64" s="1">
        <f>Data!D170</f>
        <v>8.7099999999999997E-2</v>
      </c>
      <c r="E64" s="21">
        <v>0.97</v>
      </c>
      <c r="F64" s="1">
        <f>Data!F170</f>
        <v>6.9400000000000003E-2</v>
      </c>
      <c r="G64" s="21">
        <v>0.94</v>
      </c>
      <c r="H64" s="20"/>
    </row>
    <row r="65" spans="1:8" x14ac:dyDescent="0.3">
      <c r="A65" s="3">
        <v>1989</v>
      </c>
      <c r="B65" s="1">
        <f>Data!B171</f>
        <v>0.31690000000000002</v>
      </c>
      <c r="C65" s="3">
        <v>1</v>
      </c>
      <c r="D65" s="1">
        <f>Data!D171</f>
        <v>0.2215</v>
      </c>
      <c r="E65" s="21">
        <v>0.97</v>
      </c>
      <c r="F65" s="1">
        <f>Data!F171</f>
        <v>8.4400000000000003E-2</v>
      </c>
      <c r="G65" s="21">
        <v>0.94</v>
      </c>
      <c r="H65" s="20"/>
    </row>
    <row r="66" spans="1:8" x14ac:dyDescent="0.3">
      <c r="A66" s="3">
        <v>1990</v>
      </c>
      <c r="B66" s="1">
        <f>Data!B172</f>
        <v>-3.1E-2</v>
      </c>
      <c r="C66" s="3">
        <v>1</v>
      </c>
      <c r="D66" s="1">
        <f>Data!D172</f>
        <v>5.4399999999999997E-2</v>
      </c>
      <c r="E66" s="21">
        <v>0.97</v>
      </c>
      <c r="F66" s="1">
        <f>Data!F172</f>
        <v>7.6899999999999996E-2</v>
      </c>
      <c r="G66" s="21">
        <v>0.94</v>
      </c>
      <c r="H66" s="20"/>
    </row>
    <row r="67" spans="1:8" x14ac:dyDescent="0.3">
      <c r="A67" s="3">
        <v>1991</v>
      </c>
      <c r="B67" s="1">
        <f>Data!B173</f>
        <v>0.30459999999999998</v>
      </c>
      <c r="C67" s="3">
        <v>1</v>
      </c>
      <c r="D67" s="1">
        <f>Data!D173</f>
        <v>0.20039999999999999</v>
      </c>
      <c r="E67" s="21">
        <v>0.97</v>
      </c>
      <c r="F67" s="1">
        <f>Data!F173</f>
        <v>5.4300000000000001E-2</v>
      </c>
      <c r="G67" s="21">
        <v>0.94</v>
      </c>
      <c r="H67" s="20"/>
    </row>
    <row r="68" spans="1:8" x14ac:dyDescent="0.3">
      <c r="A68" s="3">
        <v>1992</v>
      </c>
      <c r="B68" s="1">
        <f>Data!B174</f>
        <v>7.6200000000000004E-2</v>
      </c>
      <c r="C68" s="3">
        <v>1</v>
      </c>
      <c r="D68" s="1">
        <f>Data!D174</f>
        <v>8.09E-2</v>
      </c>
      <c r="E68" s="21">
        <v>0.97</v>
      </c>
      <c r="F68" s="1">
        <f>Data!F174</f>
        <v>3.4799999999999998E-2</v>
      </c>
      <c r="G68" s="21">
        <v>0.94</v>
      </c>
      <c r="H68" s="20"/>
    </row>
    <row r="69" spans="1:8" x14ac:dyDescent="0.3">
      <c r="A69" s="3">
        <v>1993</v>
      </c>
      <c r="B69" s="1">
        <f>Data!B175</f>
        <v>0.1008</v>
      </c>
      <c r="C69" s="3">
        <v>1</v>
      </c>
      <c r="D69" s="1">
        <f>Data!D175</f>
        <v>0.22320000000000001</v>
      </c>
      <c r="E69" s="21">
        <v>0.97</v>
      </c>
      <c r="F69" s="1">
        <f>Data!F175</f>
        <v>3.0300000000000001E-2</v>
      </c>
      <c r="G69" s="21">
        <v>0.94</v>
      </c>
      <c r="H69" s="20"/>
    </row>
    <row r="70" spans="1:8" x14ac:dyDescent="0.3">
      <c r="A70" s="3">
        <v>1994</v>
      </c>
      <c r="B70" s="1">
        <f>Data!B176</f>
        <v>1.32E-2</v>
      </c>
      <c r="C70" s="3">
        <v>1</v>
      </c>
      <c r="D70" s="1">
        <f>Data!D176</f>
        <v>-0.11459999999999999</v>
      </c>
      <c r="E70" s="21">
        <v>0.97</v>
      </c>
      <c r="F70" s="1">
        <f>Data!F176</f>
        <v>4.3900000000000002E-2</v>
      </c>
      <c r="G70" s="21">
        <v>0.94</v>
      </c>
      <c r="H70" s="20"/>
    </row>
    <row r="71" spans="1:8" x14ac:dyDescent="0.3">
      <c r="A71" s="3">
        <v>1995</v>
      </c>
      <c r="B71" s="1">
        <f>Data!B177</f>
        <v>0.37580000000000002</v>
      </c>
      <c r="C71" s="3">
        <v>1</v>
      </c>
      <c r="D71" s="1">
        <f>Data!D177</f>
        <v>0.37280000000000002</v>
      </c>
      <c r="E71" s="21">
        <v>0.97</v>
      </c>
      <c r="F71" s="1">
        <f>Data!F177</f>
        <v>5.6099999999999997E-2</v>
      </c>
      <c r="G71" s="21">
        <v>0.94</v>
      </c>
      <c r="H71" s="20"/>
    </row>
    <row r="72" spans="1:8" x14ac:dyDescent="0.3">
      <c r="A72" s="3">
        <v>1996</v>
      </c>
      <c r="B72" s="1">
        <f>Data!B178</f>
        <v>0.2296</v>
      </c>
      <c r="C72" s="3">
        <v>1</v>
      </c>
      <c r="D72" s="1">
        <f>Data!D178</f>
        <v>-2.5899999999999999E-2</v>
      </c>
      <c r="E72" s="21">
        <v>0.97</v>
      </c>
      <c r="F72" s="1">
        <f>Data!F178</f>
        <v>5.1400000000000001E-2</v>
      </c>
      <c r="G72" s="21">
        <v>0.94</v>
      </c>
      <c r="H72" s="20"/>
    </row>
    <row r="73" spans="1:8" x14ac:dyDescent="0.3">
      <c r="A73" s="3">
        <v>1997</v>
      </c>
      <c r="B73" s="1">
        <f>Data!B179</f>
        <v>0.33360000000000001</v>
      </c>
      <c r="C73" s="3">
        <v>1</v>
      </c>
      <c r="D73" s="1">
        <f>Data!D179</f>
        <v>0.17699999999999999</v>
      </c>
      <c r="E73" s="21">
        <v>0.97</v>
      </c>
      <c r="F73" s="1">
        <f>Data!F179</f>
        <v>5.1900000000000002E-2</v>
      </c>
      <c r="G73" s="21">
        <v>0.94</v>
      </c>
      <c r="H73" s="20"/>
    </row>
    <row r="74" spans="1:8" x14ac:dyDescent="0.3">
      <c r="A74" s="3">
        <v>1998</v>
      </c>
      <c r="B74" s="1">
        <f>Data!B180</f>
        <v>0.2858</v>
      </c>
      <c r="C74" s="3">
        <v>1</v>
      </c>
      <c r="D74" s="1">
        <f>Data!D180</f>
        <v>0.19220000000000001</v>
      </c>
      <c r="E74" s="21">
        <v>0.97</v>
      </c>
      <c r="F74" s="1">
        <f>Data!F180</f>
        <v>4.8599999999999997E-2</v>
      </c>
      <c r="G74" s="21">
        <v>0.94</v>
      </c>
      <c r="H74" s="20"/>
    </row>
    <row r="75" spans="1:8" x14ac:dyDescent="0.3">
      <c r="A75" s="3">
        <v>1999</v>
      </c>
      <c r="B75" s="1">
        <f>Data!B181</f>
        <v>0.2104</v>
      </c>
      <c r="C75" s="3">
        <v>1</v>
      </c>
      <c r="D75" s="1">
        <f>Data!D181</f>
        <v>-0.12759999999999999</v>
      </c>
      <c r="E75" s="21">
        <v>0.97</v>
      </c>
      <c r="F75" s="1">
        <f>Data!F181</f>
        <v>4.8000000000000001E-2</v>
      </c>
      <c r="G75" s="21">
        <v>0.94</v>
      </c>
      <c r="H75" s="20"/>
    </row>
    <row r="76" spans="1:8" x14ac:dyDescent="0.3">
      <c r="A76" s="3">
        <v>2000</v>
      </c>
      <c r="B76" s="1">
        <f>Data!B182</f>
        <v>-9.0999999999999998E-2</v>
      </c>
      <c r="C76" s="3">
        <v>1</v>
      </c>
      <c r="D76" s="1">
        <f>Data!D182</f>
        <v>0.22159999999999999</v>
      </c>
      <c r="E76" s="21">
        <v>0.97</v>
      </c>
      <c r="F76" s="1">
        <f>Data!F182</f>
        <v>5.9799999999999999E-2</v>
      </c>
      <c r="G76" s="21">
        <v>0.94</v>
      </c>
      <c r="H76" s="20"/>
    </row>
    <row r="77" spans="1:8" x14ac:dyDescent="0.3">
      <c r="A77" s="3">
        <v>2001</v>
      </c>
      <c r="B77" s="1">
        <f>Data!B183</f>
        <v>-0.11890000000000001</v>
      </c>
      <c r="C77" s="3">
        <v>1</v>
      </c>
      <c r="D77" s="1">
        <f>Data!D183</f>
        <v>5.2999999999999999E-2</v>
      </c>
      <c r="E77" s="21">
        <v>0.97</v>
      </c>
      <c r="F77" s="1">
        <f>Data!F183</f>
        <v>3.3300000000000003E-2</v>
      </c>
      <c r="G77" s="21">
        <v>0.94</v>
      </c>
      <c r="H77" s="20"/>
    </row>
    <row r="78" spans="1:8" x14ac:dyDescent="0.3">
      <c r="A78" s="3">
        <v>2002</v>
      </c>
      <c r="B78" s="1">
        <f>Data!B184</f>
        <v>-0.221</v>
      </c>
      <c r="C78" s="3">
        <v>1</v>
      </c>
      <c r="D78" s="1">
        <f>Data!D184</f>
        <v>0.14080000000000001</v>
      </c>
      <c r="E78" s="21">
        <v>0.97</v>
      </c>
      <c r="F78" s="1">
        <f>Data!F184</f>
        <v>1.61E-2</v>
      </c>
      <c r="G78" s="21">
        <v>0.94</v>
      </c>
      <c r="H78" s="20"/>
    </row>
    <row r="79" spans="1:8" x14ac:dyDescent="0.3">
      <c r="A79" s="3">
        <v>2003</v>
      </c>
      <c r="B79" s="1">
        <f>Data!B185</f>
        <v>0.2868</v>
      </c>
      <c r="C79" s="3">
        <v>1</v>
      </c>
      <c r="D79" s="1">
        <f>Data!D185</f>
        <v>1.6199999999999999E-2</v>
      </c>
      <c r="E79" s="21">
        <v>0.97</v>
      </c>
      <c r="F79" s="1">
        <f>Data!F185</f>
        <v>1.03E-2</v>
      </c>
      <c r="G79" s="21">
        <v>0.94</v>
      </c>
      <c r="H79" s="20"/>
    </row>
    <row r="80" spans="1:8" x14ac:dyDescent="0.3">
      <c r="A80" s="3">
        <v>2004</v>
      </c>
      <c r="B80" s="1">
        <f>Data!B186</f>
        <v>0.10879999999999999</v>
      </c>
      <c r="C80" s="3">
        <v>1</v>
      </c>
      <c r="D80" s="1">
        <f>Data!D186</f>
        <v>0.10340000000000001</v>
      </c>
      <c r="E80" s="21">
        <v>0.97</v>
      </c>
      <c r="F80" s="1">
        <f>Data!F186</f>
        <v>1.43E-2</v>
      </c>
      <c r="G80" s="21">
        <v>0.94</v>
      </c>
      <c r="H80" s="20"/>
    </row>
    <row r="81" spans="1:8" x14ac:dyDescent="0.3">
      <c r="A81" s="3">
        <v>2005</v>
      </c>
      <c r="B81" s="1">
        <f>Data!B187</f>
        <v>4.9099999999999998E-2</v>
      </c>
      <c r="C81" s="3">
        <v>1</v>
      </c>
      <c r="D81" s="1">
        <f>Data!D187</f>
        <v>0.10349999999999999</v>
      </c>
      <c r="E81" s="21">
        <v>0.97</v>
      </c>
      <c r="F81" s="1">
        <f>Data!F187</f>
        <v>3.3000000000000002E-2</v>
      </c>
      <c r="G81" s="21">
        <v>0.94</v>
      </c>
      <c r="H81" s="20"/>
    </row>
    <row r="82" spans="1:8" x14ac:dyDescent="0.3">
      <c r="A82" s="3">
        <v>2006</v>
      </c>
      <c r="B82" s="1">
        <f>Data!B188</f>
        <v>0.15790000000000001</v>
      </c>
      <c r="C82" s="3">
        <v>1</v>
      </c>
      <c r="D82" s="1">
        <f>Data!D188</f>
        <v>2.8E-3</v>
      </c>
      <c r="E82" s="21">
        <v>0.97</v>
      </c>
      <c r="F82" s="1">
        <f>Data!F188</f>
        <v>4.9700000000000001E-2</v>
      </c>
      <c r="G82" s="21">
        <v>0.94</v>
      </c>
      <c r="H82" s="20"/>
    </row>
    <row r="83" spans="1:8" x14ac:dyDescent="0.3">
      <c r="A83" s="3">
        <v>2007</v>
      </c>
      <c r="B83" s="1">
        <f>Data!B189</f>
        <v>5.4899999999999997E-2</v>
      </c>
      <c r="C83" s="3">
        <v>1</v>
      </c>
      <c r="D83" s="1">
        <f>Data!D189</f>
        <v>0.1085</v>
      </c>
      <c r="E83" s="21">
        <v>0.97</v>
      </c>
      <c r="F83" s="1">
        <f>Data!F189</f>
        <v>4.5199999999999997E-2</v>
      </c>
      <c r="G83" s="21">
        <v>0.94</v>
      </c>
      <c r="H83" s="20"/>
    </row>
    <row r="84" spans="1:8" x14ac:dyDescent="0.3">
      <c r="A84" s="3">
        <v>2008</v>
      </c>
      <c r="B84" s="1">
        <f>Data!B190</f>
        <v>-0.37</v>
      </c>
      <c r="C84" s="3">
        <v>1</v>
      </c>
      <c r="D84" s="1">
        <f>Data!D190</f>
        <v>0.39460000000000001</v>
      </c>
      <c r="E84" s="21">
        <v>0.97</v>
      </c>
      <c r="F84" s="1">
        <f>Data!F190</f>
        <v>1.24E-2</v>
      </c>
      <c r="G84" s="21">
        <v>0.94</v>
      </c>
      <c r="H84" s="2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00FF"/>
  </sheetPr>
  <dimension ref="A1:F26"/>
  <sheetViews>
    <sheetView zoomScale="80" zoomScaleNormal="80" workbookViewId="0">
      <selection activeCell="G3" sqref="G3"/>
    </sheetView>
  </sheetViews>
  <sheetFormatPr defaultRowHeight="14.4" x14ac:dyDescent="0.3"/>
  <cols>
    <col min="1" max="1" width="50.88671875" customWidth="1"/>
    <col min="2" max="2" width="12.44140625" bestFit="1" customWidth="1"/>
    <col min="3" max="4" width="11.88671875" bestFit="1" customWidth="1"/>
    <col min="5" max="6" width="35.6640625" bestFit="1" customWidth="1"/>
    <col min="257" max="257" width="50.88671875" customWidth="1"/>
    <col min="258" max="258" width="12.44140625" bestFit="1" customWidth="1"/>
    <col min="259" max="260" width="11.88671875" bestFit="1" customWidth="1"/>
    <col min="261" max="262" width="35.6640625" bestFit="1" customWidth="1"/>
    <col min="513" max="513" width="50.88671875" customWidth="1"/>
    <col min="514" max="514" width="12.44140625" bestFit="1" customWidth="1"/>
    <col min="515" max="516" width="11.88671875" bestFit="1" customWidth="1"/>
    <col min="517" max="518" width="35.6640625" bestFit="1" customWidth="1"/>
    <col min="769" max="769" width="50.88671875" customWidth="1"/>
    <col min="770" max="770" width="12.44140625" bestFit="1" customWidth="1"/>
    <col min="771" max="772" width="11.88671875" bestFit="1" customWidth="1"/>
    <col min="773" max="774" width="35.6640625" bestFit="1" customWidth="1"/>
    <col min="1025" max="1025" width="50.88671875" customWidth="1"/>
    <col min="1026" max="1026" width="12.44140625" bestFit="1" customWidth="1"/>
    <col min="1027" max="1028" width="11.88671875" bestFit="1" customWidth="1"/>
    <col min="1029" max="1030" width="35.6640625" bestFit="1" customWidth="1"/>
    <col min="1281" max="1281" width="50.88671875" customWidth="1"/>
    <col min="1282" max="1282" width="12.44140625" bestFit="1" customWidth="1"/>
    <col min="1283" max="1284" width="11.88671875" bestFit="1" customWidth="1"/>
    <col min="1285" max="1286" width="35.6640625" bestFit="1" customWidth="1"/>
    <col min="1537" max="1537" width="50.88671875" customWidth="1"/>
    <col min="1538" max="1538" width="12.44140625" bestFit="1" customWidth="1"/>
    <col min="1539" max="1540" width="11.88671875" bestFit="1" customWidth="1"/>
    <col min="1541" max="1542" width="35.6640625" bestFit="1" customWidth="1"/>
    <col min="1793" max="1793" width="50.88671875" customWidth="1"/>
    <col min="1794" max="1794" width="12.44140625" bestFit="1" customWidth="1"/>
    <col min="1795" max="1796" width="11.88671875" bestFit="1" customWidth="1"/>
    <col min="1797" max="1798" width="35.6640625" bestFit="1" customWidth="1"/>
    <col min="2049" max="2049" width="50.88671875" customWidth="1"/>
    <col min="2050" max="2050" width="12.44140625" bestFit="1" customWidth="1"/>
    <col min="2051" max="2052" width="11.88671875" bestFit="1" customWidth="1"/>
    <col min="2053" max="2054" width="35.6640625" bestFit="1" customWidth="1"/>
    <col min="2305" max="2305" width="50.88671875" customWidth="1"/>
    <col min="2306" max="2306" width="12.44140625" bestFit="1" customWidth="1"/>
    <col min="2307" max="2308" width="11.88671875" bestFit="1" customWidth="1"/>
    <col min="2309" max="2310" width="35.6640625" bestFit="1" customWidth="1"/>
    <col min="2561" max="2561" width="50.88671875" customWidth="1"/>
    <col min="2562" max="2562" width="12.44140625" bestFit="1" customWidth="1"/>
    <col min="2563" max="2564" width="11.88671875" bestFit="1" customWidth="1"/>
    <col min="2565" max="2566" width="35.6640625" bestFit="1" customWidth="1"/>
    <col min="2817" max="2817" width="50.88671875" customWidth="1"/>
    <col min="2818" max="2818" width="12.44140625" bestFit="1" customWidth="1"/>
    <col min="2819" max="2820" width="11.88671875" bestFit="1" customWidth="1"/>
    <col min="2821" max="2822" width="35.6640625" bestFit="1" customWidth="1"/>
    <col min="3073" max="3073" width="50.88671875" customWidth="1"/>
    <col min="3074" max="3074" width="12.44140625" bestFit="1" customWidth="1"/>
    <col min="3075" max="3076" width="11.88671875" bestFit="1" customWidth="1"/>
    <col min="3077" max="3078" width="35.6640625" bestFit="1" customWidth="1"/>
    <col min="3329" max="3329" width="50.88671875" customWidth="1"/>
    <col min="3330" max="3330" width="12.44140625" bestFit="1" customWidth="1"/>
    <col min="3331" max="3332" width="11.88671875" bestFit="1" customWidth="1"/>
    <col min="3333" max="3334" width="35.6640625" bestFit="1" customWidth="1"/>
    <col min="3585" max="3585" width="50.88671875" customWidth="1"/>
    <col min="3586" max="3586" width="12.44140625" bestFit="1" customWidth="1"/>
    <col min="3587" max="3588" width="11.88671875" bestFit="1" customWidth="1"/>
    <col min="3589" max="3590" width="35.6640625" bestFit="1" customWidth="1"/>
    <col min="3841" max="3841" width="50.88671875" customWidth="1"/>
    <col min="3842" max="3842" width="12.44140625" bestFit="1" customWidth="1"/>
    <col min="3843" max="3844" width="11.88671875" bestFit="1" customWidth="1"/>
    <col min="3845" max="3846" width="35.6640625" bestFit="1" customWidth="1"/>
    <col min="4097" max="4097" width="50.88671875" customWidth="1"/>
    <col min="4098" max="4098" width="12.44140625" bestFit="1" customWidth="1"/>
    <col min="4099" max="4100" width="11.88671875" bestFit="1" customWidth="1"/>
    <col min="4101" max="4102" width="35.6640625" bestFit="1" customWidth="1"/>
    <col min="4353" max="4353" width="50.88671875" customWidth="1"/>
    <col min="4354" max="4354" width="12.44140625" bestFit="1" customWidth="1"/>
    <col min="4355" max="4356" width="11.88671875" bestFit="1" customWidth="1"/>
    <col min="4357" max="4358" width="35.6640625" bestFit="1" customWidth="1"/>
    <col min="4609" max="4609" width="50.88671875" customWidth="1"/>
    <col min="4610" max="4610" width="12.44140625" bestFit="1" customWidth="1"/>
    <col min="4611" max="4612" width="11.88671875" bestFit="1" customWidth="1"/>
    <col min="4613" max="4614" width="35.6640625" bestFit="1" customWidth="1"/>
    <col min="4865" max="4865" width="50.88671875" customWidth="1"/>
    <col min="4866" max="4866" width="12.44140625" bestFit="1" customWidth="1"/>
    <col min="4867" max="4868" width="11.88671875" bestFit="1" customWidth="1"/>
    <col min="4869" max="4870" width="35.6640625" bestFit="1" customWidth="1"/>
    <col min="5121" max="5121" width="50.88671875" customWidth="1"/>
    <col min="5122" max="5122" width="12.44140625" bestFit="1" customWidth="1"/>
    <col min="5123" max="5124" width="11.88671875" bestFit="1" customWidth="1"/>
    <col min="5125" max="5126" width="35.6640625" bestFit="1" customWidth="1"/>
    <col min="5377" max="5377" width="50.88671875" customWidth="1"/>
    <col min="5378" max="5378" width="12.44140625" bestFit="1" customWidth="1"/>
    <col min="5379" max="5380" width="11.88671875" bestFit="1" customWidth="1"/>
    <col min="5381" max="5382" width="35.6640625" bestFit="1" customWidth="1"/>
    <col min="5633" max="5633" width="50.88671875" customWidth="1"/>
    <col min="5634" max="5634" width="12.44140625" bestFit="1" customWidth="1"/>
    <col min="5635" max="5636" width="11.88671875" bestFit="1" customWidth="1"/>
    <col min="5637" max="5638" width="35.6640625" bestFit="1" customWidth="1"/>
    <col min="5889" max="5889" width="50.88671875" customWidth="1"/>
    <col min="5890" max="5890" width="12.44140625" bestFit="1" customWidth="1"/>
    <col min="5891" max="5892" width="11.88671875" bestFit="1" customWidth="1"/>
    <col min="5893" max="5894" width="35.6640625" bestFit="1" customWidth="1"/>
    <col min="6145" max="6145" width="50.88671875" customWidth="1"/>
    <col min="6146" max="6146" width="12.44140625" bestFit="1" customWidth="1"/>
    <col min="6147" max="6148" width="11.88671875" bestFit="1" customWidth="1"/>
    <col min="6149" max="6150" width="35.6640625" bestFit="1" customWidth="1"/>
    <col min="6401" max="6401" width="50.88671875" customWidth="1"/>
    <col min="6402" max="6402" width="12.44140625" bestFit="1" customWidth="1"/>
    <col min="6403" max="6404" width="11.88671875" bestFit="1" customWidth="1"/>
    <col min="6405" max="6406" width="35.6640625" bestFit="1" customWidth="1"/>
    <col min="6657" max="6657" width="50.88671875" customWidth="1"/>
    <col min="6658" max="6658" width="12.44140625" bestFit="1" customWidth="1"/>
    <col min="6659" max="6660" width="11.88671875" bestFit="1" customWidth="1"/>
    <col min="6661" max="6662" width="35.6640625" bestFit="1" customWidth="1"/>
    <col min="6913" max="6913" width="50.88671875" customWidth="1"/>
    <col min="6914" max="6914" width="12.44140625" bestFit="1" customWidth="1"/>
    <col min="6915" max="6916" width="11.88671875" bestFit="1" customWidth="1"/>
    <col min="6917" max="6918" width="35.6640625" bestFit="1" customWidth="1"/>
    <col min="7169" max="7169" width="50.88671875" customWidth="1"/>
    <col min="7170" max="7170" width="12.44140625" bestFit="1" customWidth="1"/>
    <col min="7171" max="7172" width="11.88671875" bestFit="1" customWidth="1"/>
    <col min="7173" max="7174" width="35.6640625" bestFit="1" customWidth="1"/>
    <col min="7425" max="7425" width="50.88671875" customWidth="1"/>
    <col min="7426" max="7426" width="12.44140625" bestFit="1" customWidth="1"/>
    <col min="7427" max="7428" width="11.88671875" bestFit="1" customWidth="1"/>
    <col min="7429" max="7430" width="35.6640625" bestFit="1" customWidth="1"/>
    <col min="7681" max="7681" width="50.88671875" customWidth="1"/>
    <col min="7682" max="7682" width="12.44140625" bestFit="1" customWidth="1"/>
    <col min="7683" max="7684" width="11.88671875" bestFit="1" customWidth="1"/>
    <col min="7685" max="7686" width="35.6640625" bestFit="1" customWidth="1"/>
    <col min="7937" max="7937" width="50.88671875" customWidth="1"/>
    <col min="7938" max="7938" width="12.44140625" bestFit="1" customWidth="1"/>
    <col min="7939" max="7940" width="11.88671875" bestFit="1" customWidth="1"/>
    <col min="7941" max="7942" width="35.6640625" bestFit="1" customWidth="1"/>
    <col min="8193" max="8193" width="50.88671875" customWidth="1"/>
    <col min="8194" max="8194" width="12.44140625" bestFit="1" customWidth="1"/>
    <col min="8195" max="8196" width="11.88671875" bestFit="1" customWidth="1"/>
    <col min="8197" max="8198" width="35.6640625" bestFit="1" customWidth="1"/>
    <col min="8449" max="8449" width="50.88671875" customWidth="1"/>
    <col min="8450" max="8450" width="12.44140625" bestFit="1" customWidth="1"/>
    <col min="8451" max="8452" width="11.88671875" bestFit="1" customWidth="1"/>
    <col min="8453" max="8454" width="35.6640625" bestFit="1" customWidth="1"/>
    <col min="8705" max="8705" width="50.88671875" customWidth="1"/>
    <col min="8706" max="8706" width="12.44140625" bestFit="1" customWidth="1"/>
    <col min="8707" max="8708" width="11.88671875" bestFit="1" customWidth="1"/>
    <col min="8709" max="8710" width="35.6640625" bestFit="1" customWidth="1"/>
    <col min="8961" max="8961" width="50.88671875" customWidth="1"/>
    <col min="8962" max="8962" width="12.44140625" bestFit="1" customWidth="1"/>
    <col min="8963" max="8964" width="11.88671875" bestFit="1" customWidth="1"/>
    <col min="8965" max="8966" width="35.6640625" bestFit="1" customWidth="1"/>
    <col min="9217" max="9217" width="50.88671875" customWidth="1"/>
    <col min="9218" max="9218" width="12.44140625" bestFit="1" customWidth="1"/>
    <col min="9219" max="9220" width="11.88671875" bestFit="1" customWidth="1"/>
    <col min="9221" max="9222" width="35.6640625" bestFit="1" customWidth="1"/>
    <col min="9473" max="9473" width="50.88671875" customWidth="1"/>
    <col min="9474" max="9474" width="12.44140625" bestFit="1" customWidth="1"/>
    <col min="9475" max="9476" width="11.88671875" bestFit="1" customWidth="1"/>
    <col min="9477" max="9478" width="35.6640625" bestFit="1" customWidth="1"/>
    <col min="9729" max="9729" width="50.88671875" customWidth="1"/>
    <col min="9730" max="9730" width="12.44140625" bestFit="1" customWidth="1"/>
    <col min="9731" max="9732" width="11.88671875" bestFit="1" customWidth="1"/>
    <col min="9733" max="9734" width="35.6640625" bestFit="1" customWidth="1"/>
    <col min="9985" max="9985" width="50.88671875" customWidth="1"/>
    <col min="9986" max="9986" width="12.44140625" bestFit="1" customWidth="1"/>
    <col min="9987" max="9988" width="11.88671875" bestFit="1" customWidth="1"/>
    <col min="9989" max="9990" width="35.6640625" bestFit="1" customWidth="1"/>
    <col min="10241" max="10241" width="50.88671875" customWidth="1"/>
    <col min="10242" max="10242" width="12.44140625" bestFit="1" customWidth="1"/>
    <col min="10243" max="10244" width="11.88671875" bestFit="1" customWidth="1"/>
    <col min="10245" max="10246" width="35.6640625" bestFit="1" customWidth="1"/>
    <col min="10497" max="10497" width="50.88671875" customWidth="1"/>
    <col min="10498" max="10498" width="12.44140625" bestFit="1" customWidth="1"/>
    <col min="10499" max="10500" width="11.88671875" bestFit="1" customWidth="1"/>
    <col min="10501" max="10502" width="35.6640625" bestFit="1" customWidth="1"/>
    <col min="10753" max="10753" width="50.88671875" customWidth="1"/>
    <col min="10754" max="10754" width="12.44140625" bestFit="1" customWidth="1"/>
    <col min="10755" max="10756" width="11.88671875" bestFit="1" customWidth="1"/>
    <col min="10757" max="10758" width="35.6640625" bestFit="1" customWidth="1"/>
    <col min="11009" max="11009" width="50.88671875" customWidth="1"/>
    <col min="11010" max="11010" width="12.44140625" bestFit="1" customWidth="1"/>
    <col min="11011" max="11012" width="11.88671875" bestFit="1" customWidth="1"/>
    <col min="11013" max="11014" width="35.6640625" bestFit="1" customWidth="1"/>
    <col min="11265" max="11265" width="50.88671875" customWidth="1"/>
    <col min="11266" max="11266" width="12.44140625" bestFit="1" customWidth="1"/>
    <col min="11267" max="11268" width="11.88671875" bestFit="1" customWidth="1"/>
    <col min="11269" max="11270" width="35.6640625" bestFit="1" customWidth="1"/>
    <col min="11521" max="11521" width="50.88671875" customWidth="1"/>
    <col min="11522" max="11522" width="12.44140625" bestFit="1" customWidth="1"/>
    <col min="11523" max="11524" width="11.88671875" bestFit="1" customWidth="1"/>
    <col min="11525" max="11526" width="35.6640625" bestFit="1" customWidth="1"/>
    <col min="11777" max="11777" width="50.88671875" customWidth="1"/>
    <col min="11778" max="11778" width="12.44140625" bestFit="1" customWidth="1"/>
    <col min="11779" max="11780" width="11.88671875" bestFit="1" customWidth="1"/>
    <col min="11781" max="11782" width="35.6640625" bestFit="1" customWidth="1"/>
    <col min="12033" max="12033" width="50.88671875" customWidth="1"/>
    <col min="12034" max="12034" width="12.44140625" bestFit="1" customWidth="1"/>
    <col min="12035" max="12036" width="11.88671875" bestFit="1" customWidth="1"/>
    <col min="12037" max="12038" width="35.6640625" bestFit="1" customWidth="1"/>
    <col min="12289" max="12289" width="50.88671875" customWidth="1"/>
    <col min="12290" max="12290" width="12.44140625" bestFit="1" customWidth="1"/>
    <col min="12291" max="12292" width="11.88671875" bestFit="1" customWidth="1"/>
    <col min="12293" max="12294" width="35.6640625" bestFit="1" customWidth="1"/>
    <col min="12545" max="12545" width="50.88671875" customWidth="1"/>
    <col min="12546" max="12546" width="12.44140625" bestFit="1" customWidth="1"/>
    <col min="12547" max="12548" width="11.88671875" bestFit="1" customWidth="1"/>
    <col min="12549" max="12550" width="35.6640625" bestFit="1" customWidth="1"/>
    <col min="12801" max="12801" width="50.88671875" customWidth="1"/>
    <col min="12802" max="12802" width="12.44140625" bestFit="1" customWidth="1"/>
    <col min="12803" max="12804" width="11.88671875" bestFit="1" customWidth="1"/>
    <col min="12805" max="12806" width="35.6640625" bestFit="1" customWidth="1"/>
    <col min="13057" max="13057" width="50.88671875" customWidth="1"/>
    <col min="13058" max="13058" width="12.44140625" bestFit="1" customWidth="1"/>
    <col min="13059" max="13060" width="11.88671875" bestFit="1" customWidth="1"/>
    <col min="13061" max="13062" width="35.6640625" bestFit="1" customWidth="1"/>
    <col min="13313" max="13313" width="50.88671875" customWidth="1"/>
    <col min="13314" max="13314" width="12.44140625" bestFit="1" customWidth="1"/>
    <col min="13315" max="13316" width="11.88671875" bestFit="1" customWidth="1"/>
    <col min="13317" max="13318" width="35.6640625" bestFit="1" customWidth="1"/>
    <col min="13569" max="13569" width="50.88671875" customWidth="1"/>
    <col min="13570" max="13570" width="12.44140625" bestFit="1" customWidth="1"/>
    <col min="13571" max="13572" width="11.88671875" bestFit="1" customWidth="1"/>
    <col min="13573" max="13574" width="35.6640625" bestFit="1" customWidth="1"/>
    <col min="13825" max="13825" width="50.88671875" customWidth="1"/>
    <col min="13826" max="13826" width="12.44140625" bestFit="1" customWidth="1"/>
    <col min="13827" max="13828" width="11.88671875" bestFit="1" customWidth="1"/>
    <col min="13829" max="13830" width="35.6640625" bestFit="1" customWidth="1"/>
    <col min="14081" max="14081" width="50.88671875" customWidth="1"/>
    <col min="14082" max="14082" width="12.44140625" bestFit="1" customWidth="1"/>
    <col min="14083" max="14084" width="11.88671875" bestFit="1" customWidth="1"/>
    <col min="14085" max="14086" width="35.6640625" bestFit="1" customWidth="1"/>
    <col min="14337" max="14337" width="50.88671875" customWidth="1"/>
    <col min="14338" max="14338" width="12.44140625" bestFit="1" customWidth="1"/>
    <col min="14339" max="14340" width="11.88671875" bestFit="1" customWidth="1"/>
    <col min="14341" max="14342" width="35.6640625" bestFit="1" customWidth="1"/>
    <col min="14593" max="14593" width="50.88671875" customWidth="1"/>
    <col min="14594" max="14594" width="12.44140625" bestFit="1" customWidth="1"/>
    <col min="14595" max="14596" width="11.88671875" bestFit="1" customWidth="1"/>
    <col min="14597" max="14598" width="35.6640625" bestFit="1" customWidth="1"/>
    <col min="14849" max="14849" width="50.88671875" customWidth="1"/>
    <col min="14850" max="14850" width="12.44140625" bestFit="1" customWidth="1"/>
    <col min="14851" max="14852" width="11.88671875" bestFit="1" customWidth="1"/>
    <col min="14853" max="14854" width="35.6640625" bestFit="1" customWidth="1"/>
    <col min="15105" max="15105" width="50.88671875" customWidth="1"/>
    <col min="15106" max="15106" width="12.44140625" bestFit="1" customWidth="1"/>
    <col min="15107" max="15108" width="11.88671875" bestFit="1" customWidth="1"/>
    <col min="15109" max="15110" width="35.6640625" bestFit="1" customWidth="1"/>
    <col min="15361" max="15361" width="50.88671875" customWidth="1"/>
    <col min="15362" max="15362" width="12.44140625" bestFit="1" customWidth="1"/>
    <col min="15363" max="15364" width="11.88671875" bestFit="1" customWidth="1"/>
    <col min="15365" max="15366" width="35.6640625" bestFit="1" customWidth="1"/>
    <col min="15617" max="15617" width="50.88671875" customWidth="1"/>
    <col min="15618" max="15618" width="12.44140625" bestFit="1" customWidth="1"/>
    <col min="15619" max="15620" width="11.88671875" bestFit="1" customWidth="1"/>
    <col min="15621" max="15622" width="35.6640625" bestFit="1" customWidth="1"/>
    <col min="15873" max="15873" width="50.88671875" customWidth="1"/>
    <col min="15874" max="15874" width="12.44140625" bestFit="1" customWidth="1"/>
    <col min="15875" max="15876" width="11.88671875" bestFit="1" customWidth="1"/>
    <col min="15877" max="15878" width="35.6640625" bestFit="1" customWidth="1"/>
    <col min="16129" max="16129" width="50.88671875" customWidth="1"/>
    <col min="16130" max="16130" width="12.44140625" bestFit="1" customWidth="1"/>
    <col min="16131" max="16132" width="11.88671875" bestFit="1" customWidth="1"/>
    <col min="16133" max="16134" width="35.6640625" bestFit="1" customWidth="1"/>
  </cols>
  <sheetData>
    <row r="1" spans="1:6" x14ac:dyDescent="0.3">
      <c r="A1" s="43" t="s">
        <v>46</v>
      </c>
      <c r="B1" s="43"/>
      <c r="C1" s="43"/>
      <c r="D1" s="43"/>
      <c r="E1" s="43"/>
      <c r="F1" s="43"/>
    </row>
    <row r="2" spans="1:6" x14ac:dyDescent="0.3">
      <c r="A2" s="44" t="s">
        <v>47</v>
      </c>
      <c r="B2" s="44"/>
      <c r="C2" s="44"/>
      <c r="D2" s="44"/>
      <c r="E2" s="44"/>
      <c r="F2" s="44"/>
    </row>
    <row r="3" spans="1:6" ht="43.2" x14ac:dyDescent="0.3">
      <c r="A3" s="44" t="s">
        <v>48</v>
      </c>
      <c r="B3" s="44"/>
      <c r="C3" s="44"/>
      <c r="D3" s="44"/>
      <c r="E3" s="44"/>
      <c r="F3" s="44"/>
    </row>
    <row r="4" spans="1:6" ht="28.8" x14ac:dyDescent="0.3">
      <c r="A4" s="43" t="s">
        <v>49</v>
      </c>
      <c r="B4" s="43"/>
      <c r="C4" s="43"/>
      <c r="D4" s="43"/>
      <c r="E4" s="43"/>
      <c r="F4" s="43"/>
    </row>
    <row r="5" spans="1:6" ht="16.8" x14ac:dyDescent="0.35">
      <c r="A5" s="44" t="s">
        <v>50</v>
      </c>
      <c r="B5" s="44"/>
      <c r="C5" s="44"/>
      <c r="D5" s="44"/>
      <c r="E5" s="44"/>
      <c r="F5" s="44"/>
    </row>
    <row r="6" spans="1:6" ht="28.8" x14ac:dyDescent="0.3">
      <c r="A6" s="44" t="s">
        <v>97</v>
      </c>
      <c r="B6" s="44"/>
      <c r="C6" s="44"/>
      <c r="D6" s="44"/>
      <c r="E6" s="44"/>
      <c r="F6" s="44"/>
    </row>
    <row r="7" spans="1:6" x14ac:dyDescent="0.3">
      <c r="A7" s="45" t="s">
        <v>51</v>
      </c>
      <c r="B7" s="45"/>
      <c r="C7" s="45"/>
      <c r="D7" s="45"/>
      <c r="E7" s="45"/>
      <c r="F7" s="45"/>
    </row>
    <row r="10" spans="1:6" x14ac:dyDescent="0.3">
      <c r="A10" s="46" t="s">
        <v>0</v>
      </c>
      <c r="B10" s="46" t="s">
        <v>52</v>
      </c>
    </row>
    <row r="11" spans="1:6" x14ac:dyDescent="0.3">
      <c r="A11" s="3">
        <v>2001</v>
      </c>
      <c r="B11" s="3">
        <v>25.75</v>
      </c>
    </row>
    <row r="13" spans="1:6" x14ac:dyDescent="0.3">
      <c r="A13" s="46" t="s">
        <v>0</v>
      </c>
      <c r="B13" s="46" t="s">
        <v>39</v>
      </c>
      <c r="C13" s="46" t="s">
        <v>53</v>
      </c>
      <c r="D13" s="46" t="s">
        <v>52</v>
      </c>
      <c r="E13" s="46" t="s">
        <v>54</v>
      </c>
      <c r="F13" s="46" t="s">
        <v>55</v>
      </c>
    </row>
    <row r="14" spans="1:6" x14ac:dyDescent="0.3">
      <c r="A14" s="3">
        <v>2002</v>
      </c>
      <c r="B14" s="3">
        <v>0.1</v>
      </c>
      <c r="C14" s="7">
        <f>1+B14</f>
        <v>1.1000000000000001</v>
      </c>
      <c r="D14" s="7">
        <f>B11*(1+B14)</f>
        <v>28.325000000000003</v>
      </c>
      <c r="E14" s="7">
        <f>B11*(1+$B$19)</f>
        <v>26.78</v>
      </c>
      <c r="F14" s="7">
        <f>B11*(1+$B$20)</f>
        <v>26.693133874586238</v>
      </c>
    </row>
    <row r="15" spans="1:6" x14ac:dyDescent="0.3">
      <c r="A15" s="3">
        <v>2003</v>
      </c>
      <c r="B15" s="3">
        <v>0.12</v>
      </c>
      <c r="C15" s="7">
        <f>1+B15</f>
        <v>1.1200000000000001</v>
      </c>
      <c r="D15" s="7">
        <f>D14*(1+B15)</f>
        <v>31.724000000000007</v>
      </c>
      <c r="E15" s="7">
        <f>E14*(1+$B$19)</f>
        <v>27.851200000000002</v>
      </c>
      <c r="F15" s="7">
        <f>F14*(1+$B$20)</f>
        <v>27.670811496954691</v>
      </c>
    </row>
    <row r="16" spans="1:6" x14ac:dyDescent="0.3">
      <c r="A16" s="3">
        <v>2004</v>
      </c>
      <c r="B16" s="3">
        <v>0.03</v>
      </c>
      <c r="C16" s="7">
        <f>1+B16</f>
        <v>1.03</v>
      </c>
      <c r="D16" s="7">
        <f>D15*(1+B16)</f>
        <v>32.675720000000005</v>
      </c>
      <c r="E16" s="7">
        <f>E15*(1+$B$19)</f>
        <v>28.965248000000003</v>
      </c>
      <c r="F16" s="7">
        <f>F15*(1+$B$20)</f>
        <v>28.684298085695207</v>
      </c>
    </row>
    <row r="17" spans="1:6" x14ac:dyDescent="0.3">
      <c r="A17" s="3">
        <v>2005</v>
      </c>
      <c r="B17" s="3">
        <v>-0.09</v>
      </c>
      <c r="C17" s="7">
        <f>1+B17</f>
        <v>0.91</v>
      </c>
      <c r="D17" s="7">
        <f>D16*(1+B17)</f>
        <v>29.734905200000007</v>
      </c>
      <c r="E17" s="7">
        <f>E16*(1+$B$19)</f>
        <v>30.123857920000003</v>
      </c>
      <c r="F17" s="7">
        <f>F16*(1+$B$20)</f>
        <v>29.734905199999996</v>
      </c>
    </row>
    <row r="19" spans="1:6" x14ac:dyDescent="0.3">
      <c r="A19" s="46" t="s">
        <v>56</v>
      </c>
      <c r="B19" s="47">
        <f>AVERAGE(B14:B17)</f>
        <v>0.04</v>
      </c>
    </row>
    <row r="20" spans="1:6" x14ac:dyDescent="0.3">
      <c r="A20" s="46" t="s">
        <v>57</v>
      </c>
      <c r="B20" s="3">
        <f>GEOMEAN(C14:C17)-1</f>
        <v>3.6626558236358742E-2</v>
      </c>
    </row>
    <row r="23" spans="1:6" x14ac:dyDescent="0.3">
      <c r="A23" s="46" t="s">
        <v>54</v>
      </c>
      <c r="B23" s="3">
        <f>$B$11*(1+B19)^COUNTA($A$14:$A$17)</f>
        <v>30.123857920000006</v>
      </c>
    </row>
    <row r="24" spans="1:6" x14ac:dyDescent="0.3">
      <c r="A24" s="46" t="s">
        <v>55</v>
      </c>
      <c r="B24" s="3">
        <f>$B$11*(1+B20)^COUNTA($A$14:$A$17)</f>
        <v>29.7349052</v>
      </c>
    </row>
    <row r="26" spans="1:6" x14ac:dyDescent="0.3">
      <c r="A26" s="46" t="s">
        <v>58</v>
      </c>
      <c r="B26" s="47">
        <f t="array" ref="B26">GEOMEAN(B14:B17+1)-1</f>
        <v>3.6626558236358742E-2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FF"/>
  </sheetPr>
  <dimension ref="A1:G18"/>
  <sheetViews>
    <sheetView workbookViewId="0">
      <selection activeCell="G3" sqref="G3"/>
    </sheetView>
  </sheetViews>
  <sheetFormatPr defaultRowHeight="14.4" x14ac:dyDescent="0.3"/>
  <cols>
    <col min="1" max="1" width="30.88671875" bestFit="1" customWidth="1"/>
    <col min="2" max="2" width="15.6640625" bestFit="1" customWidth="1"/>
    <col min="3" max="3" width="10.44140625" bestFit="1" customWidth="1"/>
    <col min="4" max="4" width="12.88671875" customWidth="1"/>
    <col min="5" max="5" width="20.109375" customWidth="1"/>
    <col min="257" max="257" width="30.88671875" bestFit="1" customWidth="1"/>
    <col min="258" max="258" width="15.6640625" bestFit="1" customWidth="1"/>
    <col min="259" max="259" width="10.44140625" bestFit="1" customWidth="1"/>
    <col min="260" max="260" width="12.88671875" customWidth="1"/>
    <col min="261" max="261" width="20.109375" customWidth="1"/>
    <col min="513" max="513" width="30.88671875" bestFit="1" customWidth="1"/>
    <col min="514" max="514" width="15.6640625" bestFit="1" customWidth="1"/>
    <col min="515" max="515" width="10.44140625" bestFit="1" customWidth="1"/>
    <col min="516" max="516" width="12.88671875" customWidth="1"/>
    <col min="517" max="517" width="20.109375" customWidth="1"/>
    <col min="769" max="769" width="30.88671875" bestFit="1" customWidth="1"/>
    <col min="770" max="770" width="15.6640625" bestFit="1" customWidth="1"/>
    <col min="771" max="771" width="10.44140625" bestFit="1" customWidth="1"/>
    <col min="772" max="772" width="12.88671875" customWidth="1"/>
    <col min="773" max="773" width="20.109375" customWidth="1"/>
    <col min="1025" max="1025" width="30.88671875" bestFit="1" customWidth="1"/>
    <col min="1026" max="1026" width="15.6640625" bestFit="1" customWidth="1"/>
    <col min="1027" max="1027" width="10.44140625" bestFit="1" customWidth="1"/>
    <col min="1028" max="1028" width="12.88671875" customWidth="1"/>
    <col min="1029" max="1029" width="20.109375" customWidth="1"/>
    <col min="1281" max="1281" width="30.88671875" bestFit="1" customWidth="1"/>
    <col min="1282" max="1282" width="15.6640625" bestFit="1" customWidth="1"/>
    <col min="1283" max="1283" width="10.44140625" bestFit="1" customWidth="1"/>
    <col min="1284" max="1284" width="12.88671875" customWidth="1"/>
    <col min="1285" max="1285" width="20.109375" customWidth="1"/>
    <col min="1537" max="1537" width="30.88671875" bestFit="1" customWidth="1"/>
    <col min="1538" max="1538" width="15.6640625" bestFit="1" customWidth="1"/>
    <col min="1539" max="1539" width="10.44140625" bestFit="1" customWidth="1"/>
    <col min="1540" max="1540" width="12.88671875" customWidth="1"/>
    <col min="1541" max="1541" width="20.109375" customWidth="1"/>
    <col min="1793" max="1793" width="30.88671875" bestFit="1" customWidth="1"/>
    <col min="1794" max="1794" width="15.6640625" bestFit="1" customWidth="1"/>
    <col min="1795" max="1795" width="10.44140625" bestFit="1" customWidth="1"/>
    <col min="1796" max="1796" width="12.88671875" customWidth="1"/>
    <col min="1797" max="1797" width="20.109375" customWidth="1"/>
    <col min="2049" max="2049" width="30.88671875" bestFit="1" customWidth="1"/>
    <col min="2050" max="2050" width="15.6640625" bestFit="1" customWidth="1"/>
    <col min="2051" max="2051" width="10.44140625" bestFit="1" customWidth="1"/>
    <col min="2052" max="2052" width="12.88671875" customWidth="1"/>
    <col min="2053" max="2053" width="20.109375" customWidth="1"/>
    <col min="2305" max="2305" width="30.88671875" bestFit="1" customWidth="1"/>
    <col min="2306" max="2306" width="15.6640625" bestFit="1" customWidth="1"/>
    <col min="2307" max="2307" width="10.44140625" bestFit="1" customWidth="1"/>
    <col min="2308" max="2308" width="12.88671875" customWidth="1"/>
    <col min="2309" max="2309" width="20.109375" customWidth="1"/>
    <col min="2561" max="2561" width="30.88671875" bestFit="1" customWidth="1"/>
    <col min="2562" max="2562" width="15.6640625" bestFit="1" customWidth="1"/>
    <col min="2563" max="2563" width="10.44140625" bestFit="1" customWidth="1"/>
    <col min="2564" max="2564" width="12.88671875" customWidth="1"/>
    <col min="2565" max="2565" width="20.109375" customWidth="1"/>
    <col min="2817" max="2817" width="30.88671875" bestFit="1" customWidth="1"/>
    <col min="2818" max="2818" width="15.6640625" bestFit="1" customWidth="1"/>
    <col min="2819" max="2819" width="10.44140625" bestFit="1" customWidth="1"/>
    <col min="2820" max="2820" width="12.88671875" customWidth="1"/>
    <col min="2821" max="2821" width="20.109375" customWidth="1"/>
    <col min="3073" max="3073" width="30.88671875" bestFit="1" customWidth="1"/>
    <col min="3074" max="3074" width="15.6640625" bestFit="1" customWidth="1"/>
    <col min="3075" max="3075" width="10.44140625" bestFit="1" customWidth="1"/>
    <col min="3076" max="3076" width="12.88671875" customWidth="1"/>
    <col min="3077" max="3077" width="20.109375" customWidth="1"/>
    <col min="3329" max="3329" width="30.88671875" bestFit="1" customWidth="1"/>
    <col min="3330" max="3330" width="15.6640625" bestFit="1" customWidth="1"/>
    <col min="3331" max="3331" width="10.44140625" bestFit="1" customWidth="1"/>
    <col min="3332" max="3332" width="12.88671875" customWidth="1"/>
    <col min="3333" max="3333" width="20.109375" customWidth="1"/>
    <col min="3585" max="3585" width="30.88671875" bestFit="1" customWidth="1"/>
    <col min="3586" max="3586" width="15.6640625" bestFit="1" customWidth="1"/>
    <col min="3587" max="3587" width="10.44140625" bestFit="1" customWidth="1"/>
    <col min="3588" max="3588" width="12.88671875" customWidth="1"/>
    <col min="3589" max="3589" width="20.109375" customWidth="1"/>
    <col min="3841" max="3841" width="30.88671875" bestFit="1" customWidth="1"/>
    <col min="3842" max="3842" width="15.6640625" bestFit="1" customWidth="1"/>
    <col min="3843" max="3843" width="10.44140625" bestFit="1" customWidth="1"/>
    <col min="3844" max="3844" width="12.88671875" customWidth="1"/>
    <col min="3845" max="3845" width="20.109375" customWidth="1"/>
    <col min="4097" max="4097" width="30.88671875" bestFit="1" customWidth="1"/>
    <col min="4098" max="4098" width="15.6640625" bestFit="1" customWidth="1"/>
    <col min="4099" max="4099" width="10.44140625" bestFit="1" customWidth="1"/>
    <col min="4100" max="4100" width="12.88671875" customWidth="1"/>
    <col min="4101" max="4101" width="20.109375" customWidth="1"/>
    <col min="4353" max="4353" width="30.88671875" bestFit="1" customWidth="1"/>
    <col min="4354" max="4354" width="15.6640625" bestFit="1" customWidth="1"/>
    <col min="4355" max="4355" width="10.44140625" bestFit="1" customWidth="1"/>
    <col min="4356" max="4356" width="12.88671875" customWidth="1"/>
    <col min="4357" max="4357" width="20.109375" customWidth="1"/>
    <col min="4609" max="4609" width="30.88671875" bestFit="1" customWidth="1"/>
    <col min="4610" max="4610" width="15.6640625" bestFit="1" customWidth="1"/>
    <col min="4611" max="4611" width="10.44140625" bestFit="1" customWidth="1"/>
    <col min="4612" max="4612" width="12.88671875" customWidth="1"/>
    <col min="4613" max="4613" width="20.109375" customWidth="1"/>
    <col min="4865" max="4865" width="30.88671875" bestFit="1" customWidth="1"/>
    <col min="4866" max="4866" width="15.6640625" bestFit="1" customWidth="1"/>
    <col min="4867" max="4867" width="10.44140625" bestFit="1" customWidth="1"/>
    <col min="4868" max="4868" width="12.88671875" customWidth="1"/>
    <col min="4869" max="4869" width="20.109375" customWidth="1"/>
    <col min="5121" max="5121" width="30.88671875" bestFit="1" customWidth="1"/>
    <col min="5122" max="5122" width="15.6640625" bestFit="1" customWidth="1"/>
    <col min="5123" max="5123" width="10.44140625" bestFit="1" customWidth="1"/>
    <col min="5124" max="5124" width="12.88671875" customWidth="1"/>
    <col min="5125" max="5125" width="20.109375" customWidth="1"/>
    <col min="5377" max="5377" width="30.88671875" bestFit="1" customWidth="1"/>
    <col min="5378" max="5378" width="15.6640625" bestFit="1" customWidth="1"/>
    <col min="5379" max="5379" width="10.44140625" bestFit="1" customWidth="1"/>
    <col min="5380" max="5380" width="12.88671875" customWidth="1"/>
    <col min="5381" max="5381" width="20.109375" customWidth="1"/>
    <col min="5633" max="5633" width="30.88671875" bestFit="1" customWidth="1"/>
    <col min="5634" max="5634" width="15.6640625" bestFit="1" customWidth="1"/>
    <col min="5635" max="5635" width="10.44140625" bestFit="1" customWidth="1"/>
    <col min="5636" max="5636" width="12.88671875" customWidth="1"/>
    <col min="5637" max="5637" width="20.109375" customWidth="1"/>
    <col min="5889" max="5889" width="30.88671875" bestFit="1" customWidth="1"/>
    <col min="5890" max="5890" width="15.6640625" bestFit="1" customWidth="1"/>
    <col min="5891" max="5891" width="10.44140625" bestFit="1" customWidth="1"/>
    <col min="5892" max="5892" width="12.88671875" customWidth="1"/>
    <col min="5893" max="5893" width="20.109375" customWidth="1"/>
    <col min="6145" max="6145" width="30.88671875" bestFit="1" customWidth="1"/>
    <col min="6146" max="6146" width="15.6640625" bestFit="1" customWidth="1"/>
    <col min="6147" max="6147" width="10.44140625" bestFit="1" customWidth="1"/>
    <col min="6148" max="6148" width="12.88671875" customWidth="1"/>
    <col min="6149" max="6149" width="20.109375" customWidth="1"/>
    <col min="6401" max="6401" width="30.88671875" bestFit="1" customWidth="1"/>
    <col min="6402" max="6402" width="15.6640625" bestFit="1" customWidth="1"/>
    <col min="6403" max="6403" width="10.44140625" bestFit="1" customWidth="1"/>
    <col min="6404" max="6404" width="12.88671875" customWidth="1"/>
    <col min="6405" max="6405" width="20.109375" customWidth="1"/>
    <col min="6657" max="6657" width="30.88671875" bestFit="1" customWidth="1"/>
    <col min="6658" max="6658" width="15.6640625" bestFit="1" customWidth="1"/>
    <col min="6659" max="6659" width="10.44140625" bestFit="1" customWidth="1"/>
    <col min="6660" max="6660" width="12.88671875" customWidth="1"/>
    <col min="6661" max="6661" width="20.109375" customWidth="1"/>
    <col min="6913" max="6913" width="30.88671875" bestFit="1" customWidth="1"/>
    <col min="6914" max="6914" width="15.6640625" bestFit="1" customWidth="1"/>
    <col min="6915" max="6915" width="10.44140625" bestFit="1" customWidth="1"/>
    <col min="6916" max="6916" width="12.88671875" customWidth="1"/>
    <col min="6917" max="6917" width="20.109375" customWidth="1"/>
    <col min="7169" max="7169" width="30.88671875" bestFit="1" customWidth="1"/>
    <col min="7170" max="7170" width="15.6640625" bestFit="1" customWidth="1"/>
    <col min="7171" max="7171" width="10.44140625" bestFit="1" customWidth="1"/>
    <col min="7172" max="7172" width="12.88671875" customWidth="1"/>
    <col min="7173" max="7173" width="20.109375" customWidth="1"/>
    <col min="7425" max="7425" width="30.88671875" bestFit="1" customWidth="1"/>
    <col min="7426" max="7426" width="15.6640625" bestFit="1" customWidth="1"/>
    <col min="7427" max="7427" width="10.44140625" bestFit="1" customWidth="1"/>
    <col min="7428" max="7428" width="12.88671875" customWidth="1"/>
    <col min="7429" max="7429" width="20.109375" customWidth="1"/>
    <col min="7681" max="7681" width="30.88671875" bestFit="1" customWidth="1"/>
    <col min="7682" max="7682" width="15.6640625" bestFit="1" customWidth="1"/>
    <col min="7683" max="7683" width="10.44140625" bestFit="1" customWidth="1"/>
    <col min="7684" max="7684" width="12.88671875" customWidth="1"/>
    <col min="7685" max="7685" width="20.109375" customWidth="1"/>
    <col min="7937" max="7937" width="30.88671875" bestFit="1" customWidth="1"/>
    <col min="7938" max="7938" width="15.6640625" bestFit="1" customWidth="1"/>
    <col min="7939" max="7939" width="10.44140625" bestFit="1" customWidth="1"/>
    <col min="7940" max="7940" width="12.88671875" customWidth="1"/>
    <col min="7941" max="7941" width="20.109375" customWidth="1"/>
    <col min="8193" max="8193" width="30.88671875" bestFit="1" customWidth="1"/>
    <col min="8194" max="8194" width="15.6640625" bestFit="1" customWidth="1"/>
    <col min="8195" max="8195" width="10.44140625" bestFit="1" customWidth="1"/>
    <col min="8196" max="8196" width="12.88671875" customWidth="1"/>
    <col min="8197" max="8197" width="20.109375" customWidth="1"/>
    <col min="8449" max="8449" width="30.88671875" bestFit="1" customWidth="1"/>
    <col min="8450" max="8450" width="15.6640625" bestFit="1" customWidth="1"/>
    <col min="8451" max="8451" width="10.44140625" bestFit="1" customWidth="1"/>
    <col min="8452" max="8452" width="12.88671875" customWidth="1"/>
    <col min="8453" max="8453" width="20.109375" customWidth="1"/>
    <col min="8705" max="8705" width="30.88671875" bestFit="1" customWidth="1"/>
    <col min="8706" max="8706" width="15.6640625" bestFit="1" customWidth="1"/>
    <col min="8707" max="8707" width="10.44140625" bestFit="1" customWidth="1"/>
    <col min="8708" max="8708" width="12.88671875" customWidth="1"/>
    <col min="8709" max="8709" width="20.109375" customWidth="1"/>
    <col min="8961" max="8961" width="30.88671875" bestFit="1" customWidth="1"/>
    <col min="8962" max="8962" width="15.6640625" bestFit="1" customWidth="1"/>
    <col min="8963" max="8963" width="10.44140625" bestFit="1" customWidth="1"/>
    <col min="8964" max="8964" width="12.88671875" customWidth="1"/>
    <col min="8965" max="8965" width="20.109375" customWidth="1"/>
    <col min="9217" max="9217" width="30.88671875" bestFit="1" customWidth="1"/>
    <col min="9218" max="9218" width="15.6640625" bestFit="1" customWidth="1"/>
    <col min="9219" max="9219" width="10.44140625" bestFit="1" customWidth="1"/>
    <col min="9220" max="9220" width="12.88671875" customWidth="1"/>
    <col min="9221" max="9221" width="20.109375" customWidth="1"/>
    <col min="9473" max="9473" width="30.88671875" bestFit="1" customWidth="1"/>
    <col min="9474" max="9474" width="15.6640625" bestFit="1" customWidth="1"/>
    <col min="9475" max="9475" width="10.44140625" bestFit="1" customWidth="1"/>
    <col min="9476" max="9476" width="12.88671875" customWidth="1"/>
    <col min="9477" max="9477" width="20.109375" customWidth="1"/>
    <col min="9729" max="9729" width="30.88671875" bestFit="1" customWidth="1"/>
    <col min="9730" max="9730" width="15.6640625" bestFit="1" customWidth="1"/>
    <col min="9731" max="9731" width="10.44140625" bestFit="1" customWidth="1"/>
    <col min="9732" max="9732" width="12.88671875" customWidth="1"/>
    <col min="9733" max="9733" width="20.109375" customWidth="1"/>
    <col min="9985" max="9985" width="30.88671875" bestFit="1" customWidth="1"/>
    <col min="9986" max="9986" width="15.6640625" bestFit="1" customWidth="1"/>
    <col min="9987" max="9987" width="10.44140625" bestFit="1" customWidth="1"/>
    <col min="9988" max="9988" width="12.88671875" customWidth="1"/>
    <col min="9989" max="9989" width="20.109375" customWidth="1"/>
    <col min="10241" max="10241" width="30.88671875" bestFit="1" customWidth="1"/>
    <col min="10242" max="10242" width="15.6640625" bestFit="1" customWidth="1"/>
    <col min="10243" max="10243" width="10.44140625" bestFit="1" customWidth="1"/>
    <col min="10244" max="10244" width="12.88671875" customWidth="1"/>
    <col min="10245" max="10245" width="20.109375" customWidth="1"/>
    <col min="10497" max="10497" width="30.88671875" bestFit="1" customWidth="1"/>
    <col min="10498" max="10498" width="15.6640625" bestFit="1" customWidth="1"/>
    <col min="10499" max="10499" width="10.44140625" bestFit="1" customWidth="1"/>
    <col min="10500" max="10500" width="12.88671875" customWidth="1"/>
    <col min="10501" max="10501" width="20.109375" customWidth="1"/>
    <col min="10753" max="10753" width="30.88671875" bestFit="1" customWidth="1"/>
    <col min="10754" max="10754" width="15.6640625" bestFit="1" customWidth="1"/>
    <col min="10755" max="10755" width="10.44140625" bestFit="1" customWidth="1"/>
    <col min="10756" max="10756" width="12.88671875" customWidth="1"/>
    <col min="10757" max="10757" width="20.109375" customWidth="1"/>
    <col min="11009" max="11009" width="30.88671875" bestFit="1" customWidth="1"/>
    <col min="11010" max="11010" width="15.6640625" bestFit="1" customWidth="1"/>
    <col min="11011" max="11011" width="10.44140625" bestFit="1" customWidth="1"/>
    <col min="11012" max="11012" width="12.88671875" customWidth="1"/>
    <col min="11013" max="11013" width="20.109375" customWidth="1"/>
    <col min="11265" max="11265" width="30.88671875" bestFit="1" customWidth="1"/>
    <col min="11266" max="11266" width="15.6640625" bestFit="1" customWidth="1"/>
    <col min="11267" max="11267" width="10.44140625" bestFit="1" customWidth="1"/>
    <col min="11268" max="11268" width="12.88671875" customWidth="1"/>
    <col min="11269" max="11269" width="20.109375" customWidth="1"/>
    <col min="11521" max="11521" width="30.88671875" bestFit="1" customWidth="1"/>
    <col min="11522" max="11522" width="15.6640625" bestFit="1" customWidth="1"/>
    <col min="11523" max="11523" width="10.44140625" bestFit="1" customWidth="1"/>
    <col min="11524" max="11524" width="12.88671875" customWidth="1"/>
    <col min="11525" max="11525" width="20.109375" customWidth="1"/>
    <col min="11777" max="11777" width="30.88671875" bestFit="1" customWidth="1"/>
    <col min="11778" max="11778" width="15.6640625" bestFit="1" customWidth="1"/>
    <col min="11779" max="11779" width="10.44140625" bestFit="1" customWidth="1"/>
    <col min="11780" max="11780" width="12.88671875" customWidth="1"/>
    <col min="11781" max="11781" width="20.109375" customWidth="1"/>
    <col min="12033" max="12033" width="30.88671875" bestFit="1" customWidth="1"/>
    <col min="12034" max="12034" width="15.6640625" bestFit="1" customWidth="1"/>
    <col min="12035" max="12035" width="10.44140625" bestFit="1" customWidth="1"/>
    <col min="12036" max="12036" width="12.88671875" customWidth="1"/>
    <col min="12037" max="12037" width="20.109375" customWidth="1"/>
    <col min="12289" max="12289" width="30.88671875" bestFit="1" customWidth="1"/>
    <col min="12290" max="12290" width="15.6640625" bestFit="1" customWidth="1"/>
    <col min="12291" max="12291" width="10.44140625" bestFit="1" customWidth="1"/>
    <col min="12292" max="12292" width="12.88671875" customWidth="1"/>
    <col min="12293" max="12293" width="20.109375" customWidth="1"/>
    <col min="12545" max="12545" width="30.88671875" bestFit="1" customWidth="1"/>
    <col min="12546" max="12546" width="15.6640625" bestFit="1" customWidth="1"/>
    <col min="12547" max="12547" width="10.44140625" bestFit="1" customWidth="1"/>
    <col min="12548" max="12548" width="12.88671875" customWidth="1"/>
    <col min="12549" max="12549" width="20.109375" customWidth="1"/>
    <col min="12801" max="12801" width="30.88671875" bestFit="1" customWidth="1"/>
    <col min="12802" max="12802" width="15.6640625" bestFit="1" customWidth="1"/>
    <col min="12803" max="12803" width="10.44140625" bestFit="1" customWidth="1"/>
    <col min="12804" max="12804" width="12.88671875" customWidth="1"/>
    <col min="12805" max="12805" width="20.109375" customWidth="1"/>
    <col min="13057" max="13057" width="30.88671875" bestFit="1" customWidth="1"/>
    <col min="13058" max="13058" width="15.6640625" bestFit="1" customWidth="1"/>
    <col min="13059" max="13059" width="10.44140625" bestFit="1" customWidth="1"/>
    <col min="13060" max="13060" width="12.88671875" customWidth="1"/>
    <col min="13061" max="13061" width="20.109375" customWidth="1"/>
    <col min="13313" max="13313" width="30.88671875" bestFit="1" customWidth="1"/>
    <col min="13314" max="13314" width="15.6640625" bestFit="1" customWidth="1"/>
    <col min="13315" max="13315" width="10.44140625" bestFit="1" customWidth="1"/>
    <col min="13316" max="13316" width="12.88671875" customWidth="1"/>
    <col min="13317" max="13317" width="20.109375" customWidth="1"/>
    <col min="13569" max="13569" width="30.88671875" bestFit="1" customWidth="1"/>
    <col min="13570" max="13570" width="15.6640625" bestFit="1" customWidth="1"/>
    <col min="13571" max="13571" width="10.44140625" bestFit="1" customWidth="1"/>
    <col min="13572" max="13572" width="12.88671875" customWidth="1"/>
    <col min="13573" max="13573" width="20.109375" customWidth="1"/>
    <col min="13825" max="13825" width="30.88671875" bestFit="1" customWidth="1"/>
    <col min="13826" max="13826" width="15.6640625" bestFit="1" customWidth="1"/>
    <col min="13827" max="13827" width="10.44140625" bestFit="1" customWidth="1"/>
    <col min="13828" max="13828" width="12.88671875" customWidth="1"/>
    <col min="13829" max="13829" width="20.109375" customWidth="1"/>
    <col min="14081" max="14081" width="30.88671875" bestFit="1" customWidth="1"/>
    <col min="14082" max="14082" width="15.6640625" bestFit="1" customWidth="1"/>
    <col min="14083" max="14083" width="10.44140625" bestFit="1" customWidth="1"/>
    <col min="14084" max="14084" width="12.88671875" customWidth="1"/>
    <col min="14085" max="14085" width="20.109375" customWidth="1"/>
    <col min="14337" max="14337" width="30.88671875" bestFit="1" customWidth="1"/>
    <col min="14338" max="14338" width="15.6640625" bestFit="1" customWidth="1"/>
    <col min="14339" max="14339" width="10.44140625" bestFit="1" customWidth="1"/>
    <col min="14340" max="14340" width="12.88671875" customWidth="1"/>
    <col min="14341" max="14341" width="20.109375" customWidth="1"/>
    <col min="14593" max="14593" width="30.88671875" bestFit="1" customWidth="1"/>
    <col min="14594" max="14594" width="15.6640625" bestFit="1" customWidth="1"/>
    <col min="14595" max="14595" width="10.44140625" bestFit="1" customWidth="1"/>
    <col min="14596" max="14596" width="12.88671875" customWidth="1"/>
    <col min="14597" max="14597" width="20.109375" customWidth="1"/>
    <col min="14849" max="14849" width="30.88671875" bestFit="1" customWidth="1"/>
    <col min="14850" max="14850" width="15.6640625" bestFit="1" customWidth="1"/>
    <col min="14851" max="14851" width="10.44140625" bestFit="1" customWidth="1"/>
    <col min="14852" max="14852" width="12.88671875" customWidth="1"/>
    <col min="14853" max="14853" width="20.109375" customWidth="1"/>
    <col min="15105" max="15105" width="30.88671875" bestFit="1" customWidth="1"/>
    <col min="15106" max="15106" width="15.6640625" bestFit="1" customWidth="1"/>
    <col min="15107" max="15107" width="10.44140625" bestFit="1" customWidth="1"/>
    <col min="15108" max="15108" width="12.88671875" customWidth="1"/>
    <col min="15109" max="15109" width="20.109375" customWidth="1"/>
    <col min="15361" max="15361" width="30.88671875" bestFit="1" customWidth="1"/>
    <col min="15362" max="15362" width="15.6640625" bestFit="1" customWidth="1"/>
    <col min="15363" max="15363" width="10.44140625" bestFit="1" customWidth="1"/>
    <col min="15364" max="15364" width="12.88671875" customWidth="1"/>
    <col min="15365" max="15365" width="20.109375" customWidth="1"/>
    <col min="15617" max="15617" width="30.88671875" bestFit="1" customWidth="1"/>
    <col min="15618" max="15618" width="15.6640625" bestFit="1" customWidth="1"/>
    <col min="15619" max="15619" width="10.44140625" bestFit="1" customWidth="1"/>
    <col min="15620" max="15620" width="12.88671875" customWidth="1"/>
    <col min="15621" max="15621" width="20.109375" customWidth="1"/>
    <col min="15873" max="15873" width="30.88671875" bestFit="1" customWidth="1"/>
    <col min="15874" max="15874" width="15.6640625" bestFit="1" customWidth="1"/>
    <col min="15875" max="15875" width="10.44140625" bestFit="1" customWidth="1"/>
    <col min="15876" max="15876" width="12.88671875" customWidth="1"/>
    <col min="15877" max="15877" width="20.109375" customWidth="1"/>
    <col min="16129" max="16129" width="30.88671875" bestFit="1" customWidth="1"/>
    <col min="16130" max="16130" width="15.6640625" bestFit="1" customWidth="1"/>
    <col min="16131" max="16131" width="10.44140625" bestFit="1" customWidth="1"/>
    <col min="16132" max="16132" width="12.88671875" customWidth="1"/>
    <col min="16133" max="16133" width="20.109375" customWidth="1"/>
  </cols>
  <sheetData>
    <row r="1" spans="1:7" x14ac:dyDescent="0.3">
      <c r="A1" s="48"/>
      <c r="B1" s="43" t="s">
        <v>59</v>
      </c>
      <c r="C1" s="43"/>
      <c r="D1" s="48"/>
      <c r="E1" s="48"/>
    </row>
    <row r="2" spans="1:7" s="38" customFormat="1" ht="43.2" x14ac:dyDescent="0.3">
      <c r="A2" s="49" t="s">
        <v>60</v>
      </c>
      <c r="B2" s="49" t="s">
        <v>61</v>
      </c>
      <c r="C2" s="49" t="s">
        <v>62</v>
      </c>
      <c r="D2" s="49" t="s">
        <v>42</v>
      </c>
      <c r="E2" s="49" t="s">
        <v>63</v>
      </c>
      <c r="G2" s="38" t="s">
        <v>64</v>
      </c>
    </row>
    <row r="3" spans="1:7" x14ac:dyDescent="0.3">
      <c r="A3" s="48" t="s">
        <v>65</v>
      </c>
      <c r="B3" s="18">
        <v>0.104</v>
      </c>
      <c r="C3" s="18">
        <v>0.123</v>
      </c>
      <c r="D3" s="18">
        <v>0.20100000000000001</v>
      </c>
      <c r="E3" s="50">
        <f>C3-D3^2/2</f>
        <v>0.10279949999999999</v>
      </c>
      <c r="G3" s="51">
        <f t="shared" ref="G3:G9" si="0">C3-(D3^2/2)</f>
        <v>0.10279949999999999</v>
      </c>
    </row>
    <row r="4" spans="1:7" x14ac:dyDescent="0.3">
      <c r="A4" s="48" t="s">
        <v>66</v>
      </c>
      <c r="B4" s="18">
        <v>0.127</v>
      </c>
      <c r="C4" s="18">
        <v>0.17399999999999999</v>
      </c>
      <c r="D4" s="18">
        <v>0.32700000000000001</v>
      </c>
      <c r="E4" s="50">
        <f t="shared" ref="E4:E9" si="1">C4-D4^2/2</f>
        <v>0.12053549999999999</v>
      </c>
      <c r="G4" s="51">
        <f t="shared" si="0"/>
        <v>0.12053549999999999</v>
      </c>
    </row>
    <row r="5" spans="1:7" x14ac:dyDescent="0.3">
      <c r="A5" s="48" t="s">
        <v>27</v>
      </c>
      <c r="B5" s="18">
        <v>5.8999999999999997E-2</v>
      </c>
      <c r="C5" s="18">
        <v>6.2E-2</v>
      </c>
      <c r="D5" s="18">
        <v>8.5000000000000006E-2</v>
      </c>
      <c r="E5" s="50">
        <f t="shared" si="1"/>
        <v>5.8387500000000002E-2</v>
      </c>
      <c r="G5" s="51">
        <f t="shared" si="0"/>
        <v>5.8387500000000002E-2</v>
      </c>
    </row>
    <row r="6" spans="1:7" x14ac:dyDescent="0.3">
      <c r="A6" s="48" t="s">
        <v>28</v>
      </c>
      <c r="B6" s="18">
        <v>5.3999999999999999E-2</v>
      </c>
      <c r="C6" s="18">
        <v>5.8000000000000003E-2</v>
      </c>
      <c r="D6" s="18">
        <v>9.1999999999999998E-2</v>
      </c>
      <c r="E6" s="52">
        <f t="shared" si="1"/>
        <v>5.3768000000000003E-2</v>
      </c>
      <c r="G6" s="51">
        <f t="shared" si="0"/>
        <v>5.3768000000000003E-2</v>
      </c>
    </row>
    <row r="7" spans="1:7" x14ac:dyDescent="0.3">
      <c r="A7" s="48" t="s">
        <v>67</v>
      </c>
      <c r="B7" s="18">
        <v>5.2999999999999999E-2</v>
      </c>
      <c r="C7" s="18">
        <v>5.3999999999999999E-2</v>
      </c>
      <c r="D7" s="18">
        <v>5.7000000000000002E-2</v>
      </c>
      <c r="E7" s="50">
        <f t="shared" si="1"/>
        <v>5.2375499999999998E-2</v>
      </c>
      <c r="G7" s="51">
        <f t="shared" si="0"/>
        <v>5.2375499999999998E-2</v>
      </c>
    </row>
    <row r="8" spans="1:7" x14ac:dyDescent="0.3">
      <c r="A8" s="48" t="s">
        <v>3</v>
      </c>
      <c r="B8" s="18">
        <v>3.6999999999999998E-2</v>
      </c>
      <c r="C8" s="18">
        <v>3.7999999999999999E-2</v>
      </c>
      <c r="D8" s="18">
        <v>3.1E-2</v>
      </c>
      <c r="E8" s="50">
        <f t="shared" si="1"/>
        <v>3.7519499999999997E-2</v>
      </c>
      <c r="G8" s="51">
        <f t="shared" si="0"/>
        <v>3.7519499999999997E-2</v>
      </c>
    </row>
    <row r="9" spans="1:7" x14ac:dyDescent="0.3">
      <c r="A9" s="48" t="s">
        <v>29</v>
      </c>
      <c r="B9" s="18">
        <v>0.03</v>
      </c>
      <c r="C9" s="18">
        <v>3.1E-2</v>
      </c>
      <c r="D9" s="18">
        <v>4.2999999999999997E-2</v>
      </c>
      <c r="E9" s="50">
        <f t="shared" si="1"/>
        <v>3.0075500000000002E-2</v>
      </c>
      <c r="G9" s="51">
        <f t="shared" si="0"/>
        <v>3.0075500000000002E-2</v>
      </c>
    </row>
    <row r="12" spans="1:7" x14ac:dyDescent="0.3">
      <c r="A12" s="53" t="s">
        <v>0</v>
      </c>
    </row>
    <row r="13" spans="1:7" x14ac:dyDescent="0.3">
      <c r="A13" s="54">
        <v>1926</v>
      </c>
    </row>
    <row r="14" spans="1:7" x14ac:dyDescent="0.3">
      <c r="A14" s="55">
        <v>2006</v>
      </c>
    </row>
    <row r="15" spans="1:7" x14ac:dyDescent="0.3">
      <c r="A15" t="s">
        <v>68</v>
      </c>
      <c r="B15">
        <f>A14-A13+1</f>
        <v>81</v>
      </c>
    </row>
    <row r="16" spans="1:7" x14ac:dyDescent="0.3">
      <c r="A16" t="s">
        <v>69</v>
      </c>
      <c r="B16" s="6">
        <v>1</v>
      </c>
    </row>
    <row r="17" spans="1:2" x14ac:dyDescent="0.3">
      <c r="A17" t="s">
        <v>70</v>
      </c>
      <c r="B17">
        <f>B16*(1+B3)^B15</f>
        <v>3023.3953782304743</v>
      </c>
    </row>
    <row r="18" spans="1:2" x14ac:dyDescent="0.3">
      <c r="A18" t="s">
        <v>71</v>
      </c>
      <c r="B18">
        <f>(B17/B16)^(1/B15)-1</f>
        <v>0.10400000000000009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L21"/>
  <sheetViews>
    <sheetView zoomScale="70" zoomScaleNormal="70" workbookViewId="0"/>
  </sheetViews>
  <sheetFormatPr defaultRowHeight="14.4" x14ac:dyDescent="0.3"/>
  <cols>
    <col min="1" max="1" width="25.88671875" bestFit="1" customWidth="1"/>
    <col min="2" max="2" width="18.109375" customWidth="1"/>
    <col min="3" max="3" width="16.33203125" customWidth="1"/>
    <col min="4" max="4" width="13.21875" customWidth="1"/>
    <col min="9" max="9" width="16.33203125" customWidth="1"/>
    <col min="10" max="10" width="13.21875" customWidth="1"/>
  </cols>
  <sheetData>
    <row r="1" spans="1:12" x14ac:dyDescent="0.3">
      <c r="A1" s="58" t="s">
        <v>170</v>
      </c>
      <c r="B1" s="58"/>
      <c r="C1" s="58"/>
      <c r="D1" s="58"/>
      <c r="E1" s="58"/>
      <c r="I1" s="81" t="s">
        <v>203</v>
      </c>
    </row>
    <row r="2" spans="1:12" ht="30.6" x14ac:dyDescent="0.35">
      <c r="A2" s="2" t="s">
        <v>24</v>
      </c>
      <c r="B2" s="2" t="s">
        <v>30</v>
      </c>
      <c r="C2" s="2" t="s">
        <v>31</v>
      </c>
      <c r="D2" s="2" t="s">
        <v>195</v>
      </c>
      <c r="E2" t="s">
        <v>146</v>
      </c>
      <c r="I2" s="2" t="s">
        <v>31</v>
      </c>
      <c r="J2" s="2" t="s">
        <v>195</v>
      </c>
    </row>
    <row r="3" spans="1:12" x14ac:dyDescent="0.3">
      <c r="A3" s="3" t="s">
        <v>25</v>
      </c>
      <c r="B3" s="1">
        <v>0.11700000000000001</v>
      </c>
      <c r="C3" s="19">
        <f>B3-$B$7</f>
        <v>7.9000000000000015E-2</v>
      </c>
      <c r="D3" s="19">
        <f>(1+B3)/(1+$B$8)-1</f>
        <v>8.3414161008729559E-2</v>
      </c>
      <c r="F3" s="4">
        <f>C14</f>
        <v>0.20599999999999999</v>
      </c>
      <c r="I3" s="19" cm="1">
        <f t="array" ref="I3:I7">B3:B7-B7</f>
        <v>7.9000000000000015E-2</v>
      </c>
      <c r="J3" s="19" cm="1">
        <f t="array" ref="J3:J7">(1+B3:B7)/(1+B8)-1</f>
        <v>8.3414161008729559E-2</v>
      </c>
    </row>
    <row r="4" spans="1:12" x14ac:dyDescent="0.3">
      <c r="A4" s="3" t="s">
        <v>26</v>
      </c>
      <c r="B4" s="1">
        <v>0.16400000000000001</v>
      </c>
      <c r="C4" s="19">
        <f t="shared" ref="C4:C7" si="0">B4-$B$7</f>
        <v>0.126</v>
      </c>
      <c r="D4" s="19">
        <f t="shared" ref="D4:D7" si="1">(1+B4)/(1+$B$8)-1</f>
        <v>0.12900096993210486</v>
      </c>
      <c r="F4" s="4">
        <f t="shared" ref="F4:F8" si="2">C15</f>
        <v>0.33</v>
      </c>
      <c r="I4" s="19">
        <v>0.126</v>
      </c>
      <c r="J4" s="19">
        <v>0.12900096993210486</v>
      </c>
    </row>
    <row r="5" spans="1:12" x14ac:dyDescent="0.3">
      <c r="A5" s="3" t="s">
        <v>27</v>
      </c>
      <c r="B5" s="1">
        <v>6.2E-2</v>
      </c>
      <c r="C5" s="19">
        <f t="shared" si="0"/>
        <v>2.4E-2</v>
      </c>
      <c r="D5" s="19">
        <f t="shared" si="1"/>
        <v>3.0067895247332777E-2</v>
      </c>
      <c r="F5" s="4">
        <f t="shared" si="2"/>
        <v>8.4000000000000005E-2</v>
      </c>
      <c r="I5" s="19">
        <v>2.4E-2</v>
      </c>
      <c r="J5" s="19">
        <v>3.0067895247332777E-2</v>
      </c>
    </row>
    <row r="6" spans="1:12" x14ac:dyDescent="0.3">
      <c r="A6" s="3" t="s">
        <v>28</v>
      </c>
      <c r="B6" s="1">
        <v>6.0999999999999999E-2</v>
      </c>
      <c r="C6" s="19">
        <f t="shared" si="0"/>
        <v>2.3E-2</v>
      </c>
      <c r="D6" s="19">
        <f t="shared" si="1"/>
        <v>2.9097963142580063E-2</v>
      </c>
      <c r="F6" s="4">
        <f t="shared" si="2"/>
        <v>9.4E-2</v>
      </c>
      <c r="I6" s="19">
        <v>2.3E-2</v>
      </c>
      <c r="J6" s="19">
        <v>2.9097963142580063E-2</v>
      </c>
    </row>
    <row r="7" spans="1:12" ht="15.6" x14ac:dyDescent="0.35">
      <c r="A7" s="3" t="s">
        <v>32</v>
      </c>
      <c r="B7" s="1">
        <v>3.7999999999999999E-2</v>
      </c>
      <c r="C7" s="19">
        <f t="shared" si="0"/>
        <v>0</v>
      </c>
      <c r="D7" s="19">
        <f t="shared" si="1"/>
        <v>6.7895247332687703E-3</v>
      </c>
      <c r="F7" s="4">
        <f t="shared" si="2"/>
        <v>3.1E-2</v>
      </c>
      <c r="I7" s="19">
        <v>0</v>
      </c>
      <c r="J7" s="19">
        <v>6.7895247332687703E-3</v>
      </c>
    </row>
    <row r="8" spans="1:12" x14ac:dyDescent="0.3">
      <c r="A8" s="3" t="s">
        <v>33</v>
      </c>
      <c r="B8" s="1">
        <v>3.1E-2</v>
      </c>
      <c r="C8" s="3"/>
      <c r="D8" s="19"/>
      <c r="F8" s="4">
        <f t="shared" si="2"/>
        <v>4.2000000000000003E-2</v>
      </c>
    </row>
    <row r="10" spans="1:12" ht="28.8" x14ac:dyDescent="0.3">
      <c r="A10" s="59" t="s">
        <v>81</v>
      </c>
      <c r="B10" s="59"/>
      <c r="C10" s="59"/>
      <c r="D10" s="59"/>
      <c r="E10" s="59"/>
    </row>
    <row r="12" spans="1:12" ht="72.599999999999994" customHeight="1" x14ac:dyDescent="0.45">
      <c r="A12" s="39" t="s">
        <v>171</v>
      </c>
      <c r="D12" s="42" t="s">
        <v>43</v>
      </c>
      <c r="E12" s="42"/>
      <c r="F12" s="42" t="s">
        <v>141</v>
      </c>
      <c r="G12" s="42"/>
      <c r="I12" s="81" t="s">
        <v>203</v>
      </c>
    </row>
    <row r="13" spans="1:12" ht="30" x14ac:dyDescent="0.35">
      <c r="A13" s="2" t="s">
        <v>24</v>
      </c>
      <c r="B13" s="2" t="s">
        <v>30</v>
      </c>
      <c r="C13" s="40" t="s">
        <v>98</v>
      </c>
      <c r="D13" s="40" t="s">
        <v>44</v>
      </c>
      <c r="E13" s="40" t="s">
        <v>45</v>
      </c>
      <c r="F13" s="40" t="s">
        <v>44</v>
      </c>
      <c r="G13" s="40" t="s">
        <v>45</v>
      </c>
      <c r="I13" s="40" t="s">
        <v>44</v>
      </c>
      <c r="J13" s="40" t="s">
        <v>45</v>
      </c>
      <c r="K13" s="40" t="s">
        <v>44</v>
      </c>
      <c r="L13" s="40" t="s">
        <v>45</v>
      </c>
    </row>
    <row r="14" spans="1:12" x14ac:dyDescent="0.3">
      <c r="A14" s="3" t="s">
        <v>25</v>
      </c>
      <c r="B14" s="1">
        <v>0.11700000000000001</v>
      </c>
      <c r="C14" s="41">
        <v>0.20599999999999999</v>
      </c>
      <c r="D14" s="19">
        <f>B14-C14</f>
        <v>-8.8999999999999982E-2</v>
      </c>
      <c r="E14" s="19">
        <f>B14+C14</f>
        <v>0.32300000000000001</v>
      </c>
      <c r="F14" s="67">
        <f>B14-C14*2</f>
        <v>-0.29499999999999998</v>
      </c>
      <c r="G14" s="67">
        <f>B14+C14*2</f>
        <v>0.52900000000000003</v>
      </c>
      <c r="I14" s="19" cm="1">
        <f t="array" ref="I14:I19">B14:B19-C14:C19</f>
        <v>-8.8999999999999982E-2</v>
      </c>
      <c r="J14" s="19" cm="1">
        <f t="array" ref="J14:J19">B14:B19+C14:C19</f>
        <v>0.32300000000000001</v>
      </c>
      <c r="K14" s="67" cm="1">
        <f t="array" ref="K14:K19">B14:B19-C14:C19*2</f>
        <v>-0.29499999999999998</v>
      </c>
      <c r="L14" s="67" cm="1">
        <f t="array" ref="L14:L19">B14:B19+C14:C19*2</f>
        <v>0.52900000000000003</v>
      </c>
    </row>
    <row r="15" spans="1:12" x14ac:dyDescent="0.3">
      <c r="A15" s="3" t="s">
        <v>26</v>
      </c>
      <c r="B15" s="1">
        <v>0.16400000000000001</v>
      </c>
      <c r="C15" s="41">
        <v>0.33</v>
      </c>
      <c r="D15" s="19">
        <f t="shared" ref="D15:D19" si="3">B15-C15</f>
        <v>-0.16600000000000001</v>
      </c>
      <c r="E15" s="19">
        <f t="shared" ref="E15:E19" si="4">B15+C15</f>
        <v>0.49399999999999999</v>
      </c>
      <c r="F15" s="67">
        <f t="shared" ref="F15:F19" si="5">B15-C15*2</f>
        <v>-0.496</v>
      </c>
      <c r="G15" s="67">
        <f t="shared" ref="G15:G19" si="6">B15+C15*2</f>
        <v>0.82400000000000007</v>
      </c>
      <c r="I15" s="19">
        <v>-0.16600000000000001</v>
      </c>
      <c r="J15" s="19">
        <v>0.49399999999999999</v>
      </c>
      <c r="K15" s="67">
        <v>-0.496</v>
      </c>
      <c r="L15" s="67">
        <v>0.82400000000000007</v>
      </c>
    </row>
    <row r="16" spans="1:12" x14ac:dyDescent="0.3">
      <c r="A16" s="3" t="s">
        <v>27</v>
      </c>
      <c r="B16" s="1">
        <v>6.2E-2</v>
      </c>
      <c r="C16" s="41">
        <v>8.4000000000000005E-2</v>
      </c>
      <c r="D16" s="19">
        <f t="shared" si="3"/>
        <v>-2.2000000000000006E-2</v>
      </c>
      <c r="E16" s="19">
        <f t="shared" si="4"/>
        <v>0.14600000000000002</v>
      </c>
      <c r="F16" s="67">
        <f t="shared" si="5"/>
        <v>-0.10600000000000001</v>
      </c>
      <c r="G16" s="67">
        <f t="shared" si="6"/>
        <v>0.23</v>
      </c>
      <c r="I16" s="19">
        <v>-2.2000000000000006E-2</v>
      </c>
      <c r="J16" s="19">
        <v>0.14600000000000002</v>
      </c>
      <c r="K16" s="67">
        <v>-0.10600000000000001</v>
      </c>
      <c r="L16" s="67">
        <v>0.23</v>
      </c>
    </row>
    <row r="17" spans="1:12" x14ac:dyDescent="0.3">
      <c r="A17" s="3" t="s">
        <v>28</v>
      </c>
      <c r="B17" s="1">
        <v>6.0999999999999999E-2</v>
      </c>
      <c r="C17" s="41">
        <v>9.4E-2</v>
      </c>
      <c r="D17" s="19">
        <f t="shared" si="3"/>
        <v>-3.3000000000000002E-2</v>
      </c>
      <c r="E17" s="19">
        <f t="shared" si="4"/>
        <v>0.155</v>
      </c>
      <c r="F17" s="67">
        <f t="shared" si="5"/>
        <v>-0.127</v>
      </c>
      <c r="G17" s="67">
        <f t="shared" si="6"/>
        <v>0.249</v>
      </c>
      <c r="I17" s="19">
        <v>-3.3000000000000002E-2</v>
      </c>
      <c r="J17" s="19">
        <v>0.155</v>
      </c>
      <c r="K17" s="67">
        <v>-0.127</v>
      </c>
      <c r="L17" s="67">
        <v>0.249</v>
      </c>
    </row>
    <row r="18" spans="1:12" ht="15.6" x14ac:dyDescent="0.35">
      <c r="A18" s="3" t="s">
        <v>32</v>
      </c>
      <c r="B18" s="1">
        <v>3.7999999999999999E-2</v>
      </c>
      <c r="C18" s="41">
        <v>3.1E-2</v>
      </c>
      <c r="D18" s="19">
        <f t="shared" si="3"/>
        <v>6.9999999999999993E-3</v>
      </c>
      <c r="E18" s="19">
        <f t="shared" si="4"/>
        <v>6.9000000000000006E-2</v>
      </c>
      <c r="F18" s="67">
        <f t="shared" si="5"/>
        <v>-2.4E-2</v>
      </c>
      <c r="G18" s="67">
        <f t="shared" si="6"/>
        <v>0.1</v>
      </c>
      <c r="I18" s="19">
        <v>6.9999999999999993E-3</v>
      </c>
      <c r="J18" s="19">
        <v>6.9000000000000006E-2</v>
      </c>
      <c r="K18" s="67">
        <v>-2.4E-2</v>
      </c>
      <c r="L18" s="67">
        <v>0.1</v>
      </c>
    </row>
    <row r="19" spans="1:12" x14ac:dyDescent="0.3">
      <c r="A19" s="3" t="s">
        <v>33</v>
      </c>
      <c r="B19" s="1">
        <v>3.1E-2</v>
      </c>
      <c r="C19" s="41">
        <v>4.2000000000000003E-2</v>
      </c>
      <c r="D19" s="19">
        <f t="shared" si="3"/>
        <v>-1.1000000000000003E-2</v>
      </c>
      <c r="E19" s="19">
        <f t="shared" si="4"/>
        <v>7.3000000000000009E-2</v>
      </c>
      <c r="F19" s="67">
        <f t="shared" si="5"/>
        <v>-5.3000000000000005E-2</v>
      </c>
      <c r="G19" s="67">
        <f t="shared" si="6"/>
        <v>0.115</v>
      </c>
      <c r="I19" s="19">
        <v>-1.1000000000000003E-2</v>
      </c>
      <c r="J19" s="19">
        <v>7.3000000000000009E-2</v>
      </c>
      <c r="K19" s="67">
        <v>-5.3000000000000005E-2</v>
      </c>
      <c r="L19" s="67">
        <v>0.115</v>
      </c>
    </row>
    <row r="21" spans="1:12" ht="28.8" x14ac:dyDescent="0.3">
      <c r="A21" s="59" t="s">
        <v>82</v>
      </c>
      <c r="B21" s="59"/>
      <c r="C21" s="59"/>
      <c r="D21" s="59"/>
      <c r="E21" s="5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G11"/>
  <sheetViews>
    <sheetView zoomScale="115" zoomScaleNormal="115" workbookViewId="0"/>
  </sheetViews>
  <sheetFormatPr defaultRowHeight="14.4" x14ac:dyDescent="0.3"/>
  <cols>
    <col min="1" max="1" width="11" bestFit="1" customWidth="1"/>
    <col min="2" max="2" width="11.77734375" customWidth="1"/>
    <col min="3" max="4" width="14.109375" customWidth="1"/>
  </cols>
  <sheetData>
    <row r="1" spans="1:7" ht="28.8" x14ac:dyDescent="0.3">
      <c r="A1" s="2" t="s">
        <v>0</v>
      </c>
      <c r="B1" s="2" t="s">
        <v>138</v>
      </c>
      <c r="C1" s="66" t="s">
        <v>139</v>
      </c>
      <c r="D1" s="2" t="s">
        <v>197</v>
      </c>
      <c r="G1" t="s">
        <v>135</v>
      </c>
    </row>
    <row r="2" spans="1:7" x14ac:dyDescent="0.3">
      <c r="A2" s="3">
        <f>Data!A108</f>
        <v>1926</v>
      </c>
      <c r="B2" s="18">
        <f>Data!F108</f>
        <v>3.3000000000000002E-2</v>
      </c>
      <c r="C2" s="18">
        <f>Data!G108</f>
        <v>-1.12E-2</v>
      </c>
      <c r="D2" s="7"/>
      <c r="F2">
        <f>2/0.5</f>
        <v>4</v>
      </c>
      <c r="G2" t="s">
        <v>136</v>
      </c>
    </row>
    <row r="3" spans="1:7" x14ac:dyDescent="0.3">
      <c r="A3" s="3">
        <f>Data!A109</f>
        <v>1927</v>
      </c>
      <c r="B3" s="18">
        <f>Data!F109</f>
        <v>3.15E-2</v>
      </c>
      <c r="C3" s="18">
        <f>Data!G109</f>
        <v>-2.2599999999999999E-2</v>
      </c>
      <c r="D3" s="7"/>
      <c r="G3" t="s">
        <v>137</v>
      </c>
    </row>
    <row r="4" spans="1:7" x14ac:dyDescent="0.3">
      <c r="A4" s="3">
        <f>Data!A110</f>
        <v>1928</v>
      </c>
      <c r="B4" s="18">
        <f>Data!F110</f>
        <v>4.0500000000000001E-2</v>
      </c>
      <c r="C4" s="18">
        <f>Data!G110</f>
        <v>-1.1599999999999999E-2</v>
      </c>
      <c r="D4" s="7"/>
    </row>
    <row r="5" spans="1:7" x14ac:dyDescent="0.3">
      <c r="A5" s="3">
        <f>Data!A111</f>
        <v>1929</v>
      </c>
      <c r="B5" s="18">
        <f>Data!F111</f>
        <v>4.4699999999999997E-2</v>
      </c>
      <c r="C5" s="18">
        <f>Data!G111</f>
        <v>5.7999999999999996E-3</v>
      </c>
      <c r="D5" s="7"/>
    </row>
    <row r="6" spans="1:7" x14ac:dyDescent="0.3">
      <c r="A6" s="3">
        <f>Data!A112</f>
        <v>1930</v>
      </c>
      <c r="B6" s="18">
        <f>Data!F112</f>
        <v>2.2700000000000001E-2</v>
      </c>
      <c r="C6" s="18">
        <f>Data!G112</f>
        <v>-6.4000000000000001E-2</v>
      </c>
      <c r="D6" s="7"/>
    </row>
    <row r="7" spans="1:7" x14ac:dyDescent="0.3">
      <c r="A7" s="3">
        <f>Data!A113</f>
        <v>1931</v>
      </c>
      <c r="B7" s="18">
        <f>Data!F113</f>
        <v>1.15E-2</v>
      </c>
      <c r="C7" s="18">
        <f>Data!G113</f>
        <v>-9.3200000000000005E-2</v>
      </c>
      <c r="D7" s="7"/>
    </row>
    <row r="8" spans="1:7" x14ac:dyDescent="0.3">
      <c r="A8" s="3">
        <f>Data!A114</f>
        <v>1932</v>
      </c>
      <c r="B8" s="18">
        <f>Data!F114</f>
        <v>8.8000000000000005E-3</v>
      </c>
      <c r="C8" s="18">
        <f>Data!G114</f>
        <v>-0.1027</v>
      </c>
      <c r="D8" s="7"/>
    </row>
    <row r="9" spans="1:7" x14ac:dyDescent="0.3">
      <c r="A9" t="s">
        <v>34</v>
      </c>
      <c r="B9" s="80"/>
      <c r="D9" s="7"/>
    </row>
    <row r="11" spans="1:7" x14ac:dyDescent="0.3">
      <c r="A11" t="s">
        <v>140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11"/>
  <sheetViews>
    <sheetView zoomScale="115" zoomScaleNormal="115" workbookViewId="0"/>
  </sheetViews>
  <sheetFormatPr defaultRowHeight="14.4" x14ac:dyDescent="0.3"/>
  <cols>
    <col min="1" max="1" width="11" bestFit="1" customWidth="1"/>
    <col min="2" max="2" width="11.77734375" customWidth="1"/>
    <col min="3" max="4" width="14.109375" customWidth="1"/>
    <col min="5" max="5" width="1.5546875" customWidth="1"/>
    <col min="6" max="6" width="3.33203125" customWidth="1"/>
    <col min="11" max="11" width="18.88671875" customWidth="1"/>
  </cols>
  <sheetData>
    <row r="1" spans="1:11" ht="43.2" x14ac:dyDescent="0.3">
      <c r="A1" s="2" t="s">
        <v>0</v>
      </c>
      <c r="B1" s="2" t="s">
        <v>138</v>
      </c>
      <c r="C1" s="66" t="s">
        <v>139</v>
      </c>
      <c r="D1" s="2" t="s">
        <v>197</v>
      </c>
      <c r="G1" t="s">
        <v>135</v>
      </c>
      <c r="K1" s="2" t="s">
        <v>205</v>
      </c>
    </row>
    <row r="2" spans="1:11" x14ac:dyDescent="0.3">
      <c r="A2" s="3">
        <f>Data!A108</f>
        <v>1926</v>
      </c>
      <c r="B2" s="18">
        <f>Data!F108</f>
        <v>3.3000000000000002E-2</v>
      </c>
      <c r="C2" s="18">
        <f>Data!G108</f>
        <v>-1.12E-2</v>
      </c>
      <c r="D2" s="7">
        <f>(1+B2)/(1+C2)-1</f>
        <v>4.4700647249190872E-2</v>
      </c>
      <c r="F2">
        <f>2/0.5</f>
        <v>4</v>
      </c>
      <c r="G2" t="s">
        <v>136</v>
      </c>
      <c r="K2" s="84" cm="1">
        <f t="array" ref="K2:K8">(1+B2:B8)/(1+C2:C8)-1</f>
        <v>4.4700647249190872E-2</v>
      </c>
    </row>
    <row r="3" spans="1:11" x14ac:dyDescent="0.3">
      <c r="A3" s="3">
        <f>Data!A109</f>
        <v>1927</v>
      </c>
      <c r="B3" s="18">
        <f>Data!F109</f>
        <v>3.15E-2</v>
      </c>
      <c r="C3" s="18">
        <f>Data!G109</f>
        <v>-2.2599999999999999E-2</v>
      </c>
      <c r="D3" s="7">
        <f t="shared" ref="D3:D8" si="0">(1+B3)/(1+C3)-1</f>
        <v>5.5350931041538765E-2</v>
      </c>
      <c r="G3" t="s">
        <v>137</v>
      </c>
      <c r="K3" s="7">
        <v>5.5350931041538765E-2</v>
      </c>
    </row>
    <row r="4" spans="1:11" x14ac:dyDescent="0.3">
      <c r="A4" s="3">
        <f>Data!A110</f>
        <v>1928</v>
      </c>
      <c r="B4" s="18">
        <f>Data!F110</f>
        <v>4.0500000000000001E-2</v>
      </c>
      <c r="C4" s="18">
        <f>Data!G110</f>
        <v>-1.1599999999999999E-2</v>
      </c>
      <c r="D4" s="7">
        <f t="shared" si="0"/>
        <v>5.2711452853095864E-2</v>
      </c>
      <c r="K4" s="7">
        <v>5.2711452853095864E-2</v>
      </c>
    </row>
    <row r="5" spans="1:11" x14ac:dyDescent="0.3">
      <c r="A5" s="3">
        <f>Data!A111</f>
        <v>1929</v>
      </c>
      <c r="B5" s="18">
        <f>Data!F111</f>
        <v>4.4699999999999997E-2</v>
      </c>
      <c r="C5" s="18">
        <f>Data!G111</f>
        <v>5.7999999999999996E-3</v>
      </c>
      <c r="D5" s="7">
        <f t="shared" si="0"/>
        <v>3.8675681049910482E-2</v>
      </c>
      <c r="K5" s="7">
        <v>3.8675681049910482E-2</v>
      </c>
    </row>
    <row r="6" spans="1:11" x14ac:dyDescent="0.3">
      <c r="A6" s="3">
        <f>Data!A112</f>
        <v>1930</v>
      </c>
      <c r="B6" s="18">
        <f>Data!F112</f>
        <v>2.2700000000000001E-2</v>
      </c>
      <c r="C6" s="18">
        <f>Data!G112</f>
        <v>-6.4000000000000001E-2</v>
      </c>
      <c r="D6" s="7">
        <f t="shared" si="0"/>
        <v>9.2628205128205243E-2</v>
      </c>
      <c r="K6" s="7">
        <v>9.2628205128205243E-2</v>
      </c>
    </row>
    <row r="7" spans="1:11" x14ac:dyDescent="0.3">
      <c r="A7" s="3">
        <f>Data!A113</f>
        <v>1931</v>
      </c>
      <c r="B7" s="18">
        <f>Data!F113</f>
        <v>1.15E-2</v>
      </c>
      <c r="C7" s="18">
        <f>Data!G113</f>
        <v>-9.3200000000000005E-2</v>
      </c>
      <c r="D7" s="7">
        <f t="shared" si="0"/>
        <v>0.11546096162329067</v>
      </c>
      <c r="K7" s="7">
        <v>0.11546096162329067</v>
      </c>
    </row>
    <row r="8" spans="1:11" x14ac:dyDescent="0.3">
      <c r="A8" s="3">
        <f>Data!A114</f>
        <v>1932</v>
      </c>
      <c r="B8" s="18">
        <f>Data!F114</f>
        <v>8.8000000000000005E-3</v>
      </c>
      <c r="C8" s="18">
        <f>Data!G114</f>
        <v>-0.1027</v>
      </c>
      <c r="D8" s="7">
        <f t="shared" si="0"/>
        <v>0.1242616739106206</v>
      </c>
      <c r="K8" s="7">
        <v>0.1242616739106206</v>
      </c>
    </row>
    <row r="9" spans="1:11" x14ac:dyDescent="0.3">
      <c r="A9" t="s">
        <v>34</v>
      </c>
      <c r="B9" s="80">
        <f>AVERAGE(B2:B8)</f>
        <v>2.752857142857143E-2</v>
      </c>
      <c r="D9" s="7">
        <f>AVERAGE(D2:D8)</f>
        <v>7.4827078979407505E-2</v>
      </c>
    </row>
    <row r="11" spans="1:11" x14ac:dyDescent="0.3">
      <c r="A11" t="s">
        <v>140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00FF"/>
  </sheetPr>
  <dimension ref="A1:D13"/>
  <sheetViews>
    <sheetView zoomScale="115" zoomScaleNormal="115" workbookViewId="0">
      <selection activeCell="D2" sqref="D2"/>
    </sheetView>
  </sheetViews>
  <sheetFormatPr defaultRowHeight="14.4" x14ac:dyDescent="0.3"/>
  <cols>
    <col min="1" max="1" width="15.109375" bestFit="1" customWidth="1"/>
    <col min="2" max="2" width="14.44140625" bestFit="1" customWidth="1"/>
    <col min="3" max="3" width="19" bestFit="1" customWidth="1"/>
    <col min="4" max="4" width="25.6640625" customWidth="1"/>
  </cols>
  <sheetData>
    <row r="1" spans="1:4" ht="43.2" x14ac:dyDescent="0.3">
      <c r="A1" s="23" t="str">
        <f>Data!A107</f>
        <v>Year</v>
      </c>
      <c r="B1" s="23" t="str">
        <f>Data!F107</f>
        <v>US Treasury Bills</v>
      </c>
      <c r="C1" s="23" t="str">
        <f>Data!G107</f>
        <v>Consumer Price Index</v>
      </c>
      <c r="D1" s="2" t="s">
        <v>145</v>
      </c>
    </row>
    <row r="2" spans="1:4" x14ac:dyDescent="0.3">
      <c r="A2" s="3">
        <f>Data!A155</f>
        <v>1973</v>
      </c>
      <c r="B2" s="18">
        <f>Data!F155</f>
        <v>7.2900000000000006E-2</v>
      </c>
      <c r="C2" s="18">
        <f>Data!G155</f>
        <v>8.7099999999999997E-2</v>
      </c>
      <c r="D2" s="7"/>
    </row>
    <row r="3" spans="1:4" x14ac:dyDescent="0.3">
      <c r="A3" s="3">
        <f>Data!A156</f>
        <v>1974</v>
      </c>
      <c r="B3" s="18">
        <f>Data!F156</f>
        <v>7.9899999999999999E-2</v>
      </c>
      <c r="C3" s="18">
        <f>Data!G156</f>
        <v>0.1234</v>
      </c>
      <c r="D3" s="7"/>
    </row>
    <row r="4" spans="1:4" x14ac:dyDescent="0.3">
      <c r="A4" s="3">
        <f>Data!A157</f>
        <v>1975</v>
      </c>
      <c r="B4" s="18">
        <f>Data!F157</f>
        <v>5.8700000000000002E-2</v>
      </c>
      <c r="C4" s="18">
        <f>Data!G157</f>
        <v>6.9400000000000003E-2</v>
      </c>
      <c r="D4" s="7"/>
    </row>
    <row r="5" spans="1:4" x14ac:dyDescent="0.3">
      <c r="A5" s="3">
        <f>Data!A158</f>
        <v>1976</v>
      </c>
      <c r="B5" s="18">
        <f>Data!F158</f>
        <v>5.0700000000000002E-2</v>
      </c>
      <c r="C5" s="18">
        <f>Data!G158</f>
        <v>4.8599999999999997E-2</v>
      </c>
      <c r="D5" s="7"/>
    </row>
    <row r="6" spans="1:4" x14ac:dyDescent="0.3">
      <c r="A6" s="3">
        <f>Data!A159</f>
        <v>1977</v>
      </c>
      <c r="B6" s="18">
        <f>Data!F159</f>
        <v>5.45E-2</v>
      </c>
      <c r="C6" s="18">
        <f>Data!G159</f>
        <v>6.7000000000000004E-2</v>
      </c>
      <c r="D6" s="7"/>
    </row>
    <row r="7" spans="1:4" x14ac:dyDescent="0.3">
      <c r="A7" s="3">
        <f>Data!A160</f>
        <v>1978</v>
      </c>
      <c r="B7" s="18">
        <f>Data!F160</f>
        <v>7.6399999999999996E-2</v>
      </c>
      <c r="C7" s="18">
        <f>Data!G160</f>
        <v>9.0200000000000002E-2</v>
      </c>
      <c r="D7" s="7"/>
    </row>
    <row r="8" spans="1:4" x14ac:dyDescent="0.3">
      <c r="A8" s="3">
        <f>Data!A161</f>
        <v>1979</v>
      </c>
      <c r="B8" s="18">
        <f>Data!F161</f>
        <v>0.1056</v>
      </c>
      <c r="C8" s="18">
        <f>Data!G161</f>
        <v>0.13289999999999999</v>
      </c>
      <c r="D8" s="7"/>
    </row>
    <row r="9" spans="1:4" ht="15" thickBot="1" x14ac:dyDescent="0.35">
      <c r="A9" s="3">
        <f>Data!A162</f>
        <v>1980</v>
      </c>
      <c r="B9" s="18">
        <f>Data!F162</f>
        <v>0.121</v>
      </c>
      <c r="C9" s="18">
        <f>Data!G162</f>
        <v>0.12520000000000001</v>
      </c>
      <c r="D9" s="7"/>
    </row>
    <row r="10" spans="1:4" x14ac:dyDescent="0.3">
      <c r="A10" s="68" t="s">
        <v>11</v>
      </c>
      <c r="B10" s="19"/>
      <c r="D10" s="69"/>
    </row>
    <row r="13" spans="1:4" ht="72" x14ac:dyDescent="0.3">
      <c r="B13" s="85" t="s">
        <v>198</v>
      </c>
      <c r="C13" s="86"/>
      <c r="D13" s="85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F13"/>
  <sheetViews>
    <sheetView zoomScaleNormal="100" workbookViewId="0">
      <selection activeCell="E1" sqref="E1"/>
    </sheetView>
  </sheetViews>
  <sheetFormatPr defaultRowHeight="14.4" x14ac:dyDescent="0.3"/>
  <cols>
    <col min="1" max="1" width="15.109375" bestFit="1" customWidth="1"/>
    <col min="2" max="2" width="14.44140625" bestFit="1" customWidth="1"/>
    <col min="3" max="3" width="19" bestFit="1" customWidth="1"/>
    <col min="4" max="4" width="25.6640625" customWidth="1"/>
    <col min="6" max="6" width="31" customWidth="1"/>
  </cols>
  <sheetData>
    <row r="1" spans="1:6" ht="43.2" x14ac:dyDescent="0.3">
      <c r="A1" s="23" t="str">
        <f>Data!A107</f>
        <v>Year</v>
      </c>
      <c r="B1" s="23" t="str">
        <f>Data!F107</f>
        <v>US Treasury Bills</v>
      </c>
      <c r="C1" s="23" t="str">
        <f>Data!G107</f>
        <v>Consumer Price Index</v>
      </c>
      <c r="D1" s="2" t="s">
        <v>145</v>
      </c>
      <c r="F1" s="2" t="s">
        <v>206</v>
      </c>
    </row>
    <row r="2" spans="1:6" x14ac:dyDescent="0.3">
      <c r="A2" s="3">
        <f>Data!A155</f>
        <v>1973</v>
      </c>
      <c r="B2" s="18">
        <f>Data!F155</f>
        <v>7.2900000000000006E-2</v>
      </c>
      <c r="C2" s="18">
        <f>Data!G155</f>
        <v>8.7099999999999997E-2</v>
      </c>
      <c r="D2" s="7">
        <f>(1+B2)/(1+C2)-1</f>
        <v>-1.3062275779597066E-2</v>
      </c>
      <c r="F2" s="84" cm="1">
        <f t="array" ref="F2:F9">(1+B2:B9)/(1+C2:C9)-1</f>
        <v>-1.3062275779597066E-2</v>
      </c>
    </row>
    <row r="3" spans="1:6" x14ac:dyDescent="0.3">
      <c r="A3" s="3">
        <f>Data!A156</f>
        <v>1974</v>
      </c>
      <c r="B3" s="18">
        <f>Data!F156</f>
        <v>7.9899999999999999E-2</v>
      </c>
      <c r="C3" s="18">
        <f>Data!G156</f>
        <v>0.1234</v>
      </c>
      <c r="D3" s="7">
        <f t="shared" ref="D3:F9" si="0">(1+B3)/(1+C3)-1</f>
        <v>-3.8721737582339211E-2</v>
      </c>
      <c r="F3" s="7">
        <v>-3.8721737582339211E-2</v>
      </c>
    </row>
    <row r="4" spans="1:6" x14ac:dyDescent="0.3">
      <c r="A4" s="3">
        <f>Data!A157</f>
        <v>1975</v>
      </c>
      <c r="B4" s="18">
        <f>Data!F157</f>
        <v>5.8700000000000002E-2</v>
      </c>
      <c r="C4" s="18">
        <f>Data!G157</f>
        <v>6.9400000000000003E-2</v>
      </c>
      <c r="D4" s="7">
        <f t="shared" si="0"/>
        <v>-1.0005610622779049E-2</v>
      </c>
      <c r="F4" s="7">
        <v>-1.0005610622779049E-2</v>
      </c>
    </row>
    <row r="5" spans="1:6" x14ac:dyDescent="0.3">
      <c r="A5" s="3">
        <f>Data!A158</f>
        <v>1976</v>
      </c>
      <c r="B5" s="18">
        <f>Data!F158</f>
        <v>5.0700000000000002E-2</v>
      </c>
      <c r="C5" s="18">
        <f>Data!G158</f>
        <v>4.8599999999999997E-2</v>
      </c>
      <c r="D5" s="7">
        <f t="shared" si="0"/>
        <v>2.0026702269693164E-3</v>
      </c>
      <c r="F5" s="7">
        <v>2.0026702269693164E-3</v>
      </c>
    </row>
    <row r="6" spans="1:6" x14ac:dyDescent="0.3">
      <c r="A6" s="3">
        <f>Data!A159</f>
        <v>1977</v>
      </c>
      <c r="B6" s="18">
        <f>Data!F159</f>
        <v>5.45E-2</v>
      </c>
      <c r="C6" s="18">
        <f>Data!G159</f>
        <v>6.7000000000000004E-2</v>
      </c>
      <c r="D6" s="7">
        <f t="shared" si="0"/>
        <v>-1.1715089034676662E-2</v>
      </c>
      <c r="F6" s="7">
        <v>-1.1715089034676662E-2</v>
      </c>
    </row>
    <row r="7" spans="1:6" x14ac:dyDescent="0.3">
      <c r="A7" s="3">
        <f>Data!A160</f>
        <v>1978</v>
      </c>
      <c r="B7" s="18">
        <f>Data!F160</f>
        <v>7.6399999999999996E-2</v>
      </c>
      <c r="C7" s="18">
        <f>Data!G160</f>
        <v>9.0200000000000002E-2</v>
      </c>
      <c r="D7" s="7">
        <f t="shared" si="0"/>
        <v>-1.2658227848101333E-2</v>
      </c>
      <c r="F7" s="7">
        <v>-1.2658227848101333E-2</v>
      </c>
    </row>
    <row r="8" spans="1:6" x14ac:dyDescent="0.3">
      <c r="A8" s="3">
        <f>Data!A161</f>
        <v>1979</v>
      </c>
      <c r="B8" s="18">
        <f>Data!F161</f>
        <v>0.1056</v>
      </c>
      <c r="C8" s="18">
        <f>Data!G161</f>
        <v>0.13289999999999999</v>
      </c>
      <c r="D8" s="7">
        <f t="shared" si="0"/>
        <v>-2.4097449024627182E-2</v>
      </c>
      <c r="F8" s="7">
        <v>-2.4097449024627182E-2</v>
      </c>
    </row>
    <row r="9" spans="1:6" ht="15" thickBot="1" x14ac:dyDescent="0.35">
      <c r="A9" s="3">
        <f>Data!A162</f>
        <v>1980</v>
      </c>
      <c r="B9" s="18">
        <f>Data!F162</f>
        <v>0.121</v>
      </c>
      <c r="C9" s="18">
        <f>Data!G162</f>
        <v>0.12520000000000001</v>
      </c>
      <c r="D9" s="7">
        <f t="shared" si="0"/>
        <v>-3.7326697476004478E-3</v>
      </c>
      <c r="F9" s="7">
        <v>-3.7326697476004478E-3</v>
      </c>
    </row>
    <row r="10" spans="1:6" x14ac:dyDescent="0.3">
      <c r="A10" s="68" t="s">
        <v>11</v>
      </c>
      <c r="B10" s="19">
        <f>AVERAGE(B2:B9)</f>
        <v>7.7462500000000004E-2</v>
      </c>
      <c r="D10" s="69">
        <f>AVERAGE(D2:D9)</f>
        <v>-1.3998798676593954E-2</v>
      </c>
      <c r="F10" s="69"/>
    </row>
    <row r="13" spans="1:6" ht="72" x14ac:dyDescent="0.3">
      <c r="B13" s="85" t="s">
        <v>198</v>
      </c>
      <c r="C13" s="86"/>
      <c r="D13" s="8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00FF"/>
  </sheetPr>
  <dimension ref="A1:G19"/>
  <sheetViews>
    <sheetView zoomScale="85" zoomScaleNormal="85" workbookViewId="0">
      <selection activeCell="D1" sqref="D1"/>
    </sheetView>
  </sheetViews>
  <sheetFormatPr defaultRowHeight="14.4" x14ac:dyDescent="0.3"/>
  <cols>
    <col min="1" max="1" width="29.44140625" bestFit="1" customWidth="1"/>
    <col min="2" max="2" width="12" bestFit="1" customWidth="1"/>
    <col min="3" max="3" width="15.6640625" customWidth="1"/>
    <col min="257" max="257" width="29.44140625" bestFit="1" customWidth="1"/>
    <col min="513" max="513" width="29.44140625" bestFit="1" customWidth="1"/>
    <col min="769" max="769" width="29.44140625" bestFit="1" customWidth="1"/>
    <col min="1025" max="1025" width="29.44140625" bestFit="1" customWidth="1"/>
    <col min="1281" max="1281" width="29.44140625" bestFit="1" customWidth="1"/>
    <col min="1537" max="1537" width="29.44140625" bestFit="1" customWidth="1"/>
    <col min="1793" max="1793" width="29.44140625" bestFit="1" customWidth="1"/>
    <col min="2049" max="2049" width="29.44140625" bestFit="1" customWidth="1"/>
    <col min="2305" max="2305" width="29.44140625" bestFit="1" customWidth="1"/>
    <col min="2561" max="2561" width="29.44140625" bestFit="1" customWidth="1"/>
    <col min="2817" max="2817" width="29.44140625" bestFit="1" customWidth="1"/>
    <col min="3073" max="3073" width="29.44140625" bestFit="1" customWidth="1"/>
    <col min="3329" max="3329" width="29.44140625" bestFit="1" customWidth="1"/>
    <col min="3585" max="3585" width="29.44140625" bestFit="1" customWidth="1"/>
    <col min="3841" max="3841" width="29.44140625" bestFit="1" customWidth="1"/>
    <col min="4097" max="4097" width="29.44140625" bestFit="1" customWidth="1"/>
    <col min="4353" max="4353" width="29.44140625" bestFit="1" customWidth="1"/>
    <col min="4609" max="4609" width="29.44140625" bestFit="1" customWidth="1"/>
    <col min="4865" max="4865" width="29.44140625" bestFit="1" customWidth="1"/>
    <col min="5121" max="5121" width="29.44140625" bestFit="1" customWidth="1"/>
    <col min="5377" max="5377" width="29.44140625" bestFit="1" customWidth="1"/>
    <col min="5633" max="5633" width="29.44140625" bestFit="1" customWidth="1"/>
    <col min="5889" max="5889" width="29.44140625" bestFit="1" customWidth="1"/>
    <col min="6145" max="6145" width="29.44140625" bestFit="1" customWidth="1"/>
    <col min="6401" max="6401" width="29.44140625" bestFit="1" customWidth="1"/>
    <col min="6657" max="6657" width="29.44140625" bestFit="1" customWidth="1"/>
    <col min="6913" max="6913" width="29.44140625" bestFit="1" customWidth="1"/>
    <col min="7169" max="7169" width="29.44140625" bestFit="1" customWidth="1"/>
    <col min="7425" max="7425" width="29.44140625" bestFit="1" customWidth="1"/>
    <col min="7681" max="7681" width="29.44140625" bestFit="1" customWidth="1"/>
    <col min="7937" max="7937" width="29.44140625" bestFit="1" customWidth="1"/>
    <col min="8193" max="8193" width="29.44140625" bestFit="1" customWidth="1"/>
    <col min="8449" max="8449" width="29.44140625" bestFit="1" customWidth="1"/>
    <col min="8705" max="8705" width="29.44140625" bestFit="1" customWidth="1"/>
    <col min="8961" max="8961" width="29.44140625" bestFit="1" customWidth="1"/>
    <col min="9217" max="9217" width="29.44140625" bestFit="1" customWidth="1"/>
    <col min="9473" max="9473" width="29.44140625" bestFit="1" customWidth="1"/>
    <col min="9729" max="9729" width="29.44140625" bestFit="1" customWidth="1"/>
    <col min="9985" max="9985" width="29.44140625" bestFit="1" customWidth="1"/>
    <col min="10241" max="10241" width="29.44140625" bestFit="1" customWidth="1"/>
    <col min="10497" max="10497" width="29.44140625" bestFit="1" customWidth="1"/>
    <col min="10753" max="10753" width="29.44140625" bestFit="1" customWidth="1"/>
    <col min="11009" max="11009" width="29.44140625" bestFit="1" customWidth="1"/>
    <col min="11265" max="11265" width="29.44140625" bestFit="1" customWidth="1"/>
    <col min="11521" max="11521" width="29.44140625" bestFit="1" customWidth="1"/>
    <col min="11777" max="11777" width="29.44140625" bestFit="1" customWidth="1"/>
    <col min="12033" max="12033" width="29.44140625" bestFit="1" customWidth="1"/>
    <col min="12289" max="12289" width="29.44140625" bestFit="1" customWidth="1"/>
    <col min="12545" max="12545" width="29.44140625" bestFit="1" customWidth="1"/>
    <col min="12801" max="12801" width="29.44140625" bestFit="1" customWidth="1"/>
    <col min="13057" max="13057" width="29.44140625" bestFit="1" customWidth="1"/>
    <col min="13313" max="13313" width="29.44140625" bestFit="1" customWidth="1"/>
    <col min="13569" max="13569" width="29.44140625" bestFit="1" customWidth="1"/>
    <col min="13825" max="13825" width="29.44140625" bestFit="1" customWidth="1"/>
    <col min="14081" max="14081" width="29.44140625" bestFit="1" customWidth="1"/>
    <col min="14337" max="14337" width="29.44140625" bestFit="1" customWidth="1"/>
    <col min="14593" max="14593" width="29.44140625" bestFit="1" customWidth="1"/>
    <col min="14849" max="14849" width="29.44140625" bestFit="1" customWidth="1"/>
    <col min="15105" max="15105" width="29.44140625" bestFit="1" customWidth="1"/>
    <col min="15361" max="15361" width="29.44140625" bestFit="1" customWidth="1"/>
    <col min="15617" max="15617" width="29.44140625" bestFit="1" customWidth="1"/>
    <col min="15873" max="15873" width="29.44140625" bestFit="1" customWidth="1"/>
    <col min="16129" max="16129" width="29.44140625" bestFit="1" customWidth="1"/>
  </cols>
  <sheetData>
    <row r="1" spans="1:7" ht="36" x14ac:dyDescent="0.35">
      <c r="A1" s="74" t="s">
        <v>101</v>
      </c>
      <c r="B1" s="74"/>
      <c r="C1" s="74"/>
    </row>
    <row r="2" spans="1:7" x14ac:dyDescent="0.3">
      <c r="A2" s="23" t="s">
        <v>0</v>
      </c>
      <c r="B2" s="23" t="s">
        <v>102</v>
      </c>
    </row>
    <row r="3" spans="1:7" x14ac:dyDescent="0.3">
      <c r="A3" s="3">
        <v>1</v>
      </c>
      <c r="B3" s="3">
        <v>-0.09</v>
      </c>
    </row>
    <row r="4" spans="1:7" x14ac:dyDescent="0.3">
      <c r="A4" s="3">
        <v>2</v>
      </c>
      <c r="B4" s="3">
        <v>0.15</v>
      </c>
    </row>
    <row r="5" spans="1:7" x14ac:dyDescent="0.3">
      <c r="A5" s="3">
        <v>3</v>
      </c>
      <c r="B5" s="3">
        <v>0.09</v>
      </c>
    </row>
    <row r="6" spans="1:7" x14ac:dyDescent="0.3">
      <c r="A6" s="3">
        <v>4</v>
      </c>
      <c r="B6" s="3">
        <v>-0.05</v>
      </c>
    </row>
    <row r="7" spans="1:7" x14ac:dyDescent="0.3">
      <c r="A7" s="3">
        <v>5</v>
      </c>
      <c r="B7" s="3">
        <v>0.17</v>
      </c>
    </row>
    <row r="9" spans="1:7" x14ac:dyDescent="0.3">
      <c r="A9" s="23" t="s">
        <v>11</v>
      </c>
      <c r="B9" s="7"/>
      <c r="C9" t="s">
        <v>103</v>
      </c>
    </row>
    <row r="10" spans="1:7" x14ac:dyDescent="0.3">
      <c r="A10" s="23" t="s">
        <v>104</v>
      </c>
      <c r="B10" s="63">
        <v>0.02</v>
      </c>
    </row>
    <row r="11" spans="1:7" ht="43.2" x14ac:dyDescent="0.3">
      <c r="A11" s="23" t="s">
        <v>105</v>
      </c>
      <c r="B11" s="63">
        <v>3.5000000000000003E-2</v>
      </c>
      <c r="C11" s="75" t="s">
        <v>186</v>
      </c>
      <c r="D11" s="76"/>
      <c r="E11" s="76"/>
      <c r="F11" s="76"/>
      <c r="G11" s="77"/>
    </row>
    <row r="12" spans="1:7" x14ac:dyDescent="0.3">
      <c r="A12" s="23" t="s">
        <v>100</v>
      </c>
      <c r="B12" s="61"/>
    </row>
    <row r="13" spans="1:7" x14ac:dyDescent="0.3">
      <c r="A13" s="23" t="s">
        <v>106</v>
      </c>
      <c r="B13" s="61"/>
      <c r="C13" t="s">
        <v>146</v>
      </c>
      <c r="D13" t="s">
        <v>107</v>
      </c>
    </row>
    <row r="14" spans="1:7" x14ac:dyDescent="0.3">
      <c r="A14" s="23" t="s">
        <v>108</v>
      </c>
      <c r="B14" s="61"/>
      <c r="C14" t="s">
        <v>146</v>
      </c>
      <c r="D14" t="s">
        <v>109</v>
      </c>
    </row>
    <row r="15" spans="1:7" x14ac:dyDescent="0.3">
      <c r="A15" s="23" t="s">
        <v>99</v>
      </c>
      <c r="B15" s="61"/>
      <c r="C15" t="s">
        <v>134</v>
      </c>
      <c r="D15" t="s">
        <v>110</v>
      </c>
    </row>
    <row r="17" spans="3:3" x14ac:dyDescent="0.3">
      <c r="C17" t="s">
        <v>135</v>
      </c>
    </row>
    <row r="18" spans="3:3" x14ac:dyDescent="0.3">
      <c r="C18" t="s">
        <v>136</v>
      </c>
    </row>
    <row r="19" spans="3:3" x14ac:dyDescent="0.3">
      <c r="C19" t="s">
        <v>137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G19"/>
  <sheetViews>
    <sheetView zoomScaleNormal="100" workbookViewId="0">
      <selection activeCell="D1" sqref="D1"/>
    </sheetView>
  </sheetViews>
  <sheetFormatPr defaultRowHeight="14.4" x14ac:dyDescent="0.3"/>
  <cols>
    <col min="1" max="1" width="29.44140625" bestFit="1" customWidth="1"/>
    <col min="3" max="3" width="15.6640625" customWidth="1"/>
    <col min="257" max="257" width="29.44140625" bestFit="1" customWidth="1"/>
    <col min="513" max="513" width="29.44140625" bestFit="1" customWidth="1"/>
    <col min="769" max="769" width="29.44140625" bestFit="1" customWidth="1"/>
    <col min="1025" max="1025" width="29.44140625" bestFit="1" customWidth="1"/>
    <col min="1281" max="1281" width="29.44140625" bestFit="1" customWidth="1"/>
    <col min="1537" max="1537" width="29.44140625" bestFit="1" customWidth="1"/>
    <col min="1793" max="1793" width="29.44140625" bestFit="1" customWidth="1"/>
    <col min="2049" max="2049" width="29.44140625" bestFit="1" customWidth="1"/>
    <col min="2305" max="2305" width="29.44140625" bestFit="1" customWidth="1"/>
    <col min="2561" max="2561" width="29.44140625" bestFit="1" customWidth="1"/>
    <col min="2817" max="2817" width="29.44140625" bestFit="1" customWidth="1"/>
    <col min="3073" max="3073" width="29.44140625" bestFit="1" customWidth="1"/>
    <col min="3329" max="3329" width="29.44140625" bestFit="1" customWidth="1"/>
    <col min="3585" max="3585" width="29.44140625" bestFit="1" customWidth="1"/>
    <col min="3841" max="3841" width="29.44140625" bestFit="1" customWidth="1"/>
    <col min="4097" max="4097" width="29.44140625" bestFit="1" customWidth="1"/>
    <col min="4353" max="4353" width="29.44140625" bestFit="1" customWidth="1"/>
    <col min="4609" max="4609" width="29.44140625" bestFit="1" customWidth="1"/>
    <col min="4865" max="4865" width="29.44140625" bestFit="1" customWidth="1"/>
    <col min="5121" max="5121" width="29.44140625" bestFit="1" customWidth="1"/>
    <col min="5377" max="5377" width="29.44140625" bestFit="1" customWidth="1"/>
    <col min="5633" max="5633" width="29.44140625" bestFit="1" customWidth="1"/>
    <col min="5889" max="5889" width="29.44140625" bestFit="1" customWidth="1"/>
    <col min="6145" max="6145" width="29.44140625" bestFit="1" customWidth="1"/>
    <col min="6401" max="6401" width="29.44140625" bestFit="1" customWidth="1"/>
    <col min="6657" max="6657" width="29.44140625" bestFit="1" customWidth="1"/>
    <col min="6913" max="6913" width="29.44140625" bestFit="1" customWidth="1"/>
    <col min="7169" max="7169" width="29.44140625" bestFit="1" customWidth="1"/>
    <col min="7425" max="7425" width="29.44140625" bestFit="1" customWidth="1"/>
    <col min="7681" max="7681" width="29.44140625" bestFit="1" customWidth="1"/>
    <col min="7937" max="7937" width="29.44140625" bestFit="1" customWidth="1"/>
    <col min="8193" max="8193" width="29.44140625" bestFit="1" customWidth="1"/>
    <col min="8449" max="8449" width="29.44140625" bestFit="1" customWidth="1"/>
    <col min="8705" max="8705" width="29.44140625" bestFit="1" customWidth="1"/>
    <col min="8961" max="8961" width="29.44140625" bestFit="1" customWidth="1"/>
    <col min="9217" max="9217" width="29.44140625" bestFit="1" customWidth="1"/>
    <col min="9473" max="9473" width="29.44140625" bestFit="1" customWidth="1"/>
    <col min="9729" max="9729" width="29.44140625" bestFit="1" customWidth="1"/>
    <col min="9985" max="9985" width="29.44140625" bestFit="1" customWidth="1"/>
    <col min="10241" max="10241" width="29.44140625" bestFit="1" customWidth="1"/>
    <col min="10497" max="10497" width="29.44140625" bestFit="1" customWidth="1"/>
    <col min="10753" max="10753" width="29.44140625" bestFit="1" customWidth="1"/>
    <col min="11009" max="11009" width="29.44140625" bestFit="1" customWidth="1"/>
    <col min="11265" max="11265" width="29.44140625" bestFit="1" customWidth="1"/>
    <col min="11521" max="11521" width="29.44140625" bestFit="1" customWidth="1"/>
    <col min="11777" max="11777" width="29.44140625" bestFit="1" customWidth="1"/>
    <col min="12033" max="12033" width="29.44140625" bestFit="1" customWidth="1"/>
    <col min="12289" max="12289" width="29.44140625" bestFit="1" customWidth="1"/>
    <col min="12545" max="12545" width="29.44140625" bestFit="1" customWidth="1"/>
    <col min="12801" max="12801" width="29.44140625" bestFit="1" customWidth="1"/>
    <col min="13057" max="13057" width="29.44140625" bestFit="1" customWidth="1"/>
    <col min="13313" max="13313" width="29.44140625" bestFit="1" customWidth="1"/>
    <col min="13569" max="13569" width="29.44140625" bestFit="1" customWidth="1"/>
    <col min="13825" max="13825" width="29.44140625" bestFit="1" customWidth="1"/>
    <col min="14081" max="14081" width="29.44140625" bestFit="1" customWidth="1"/>
    <col min="14337" max="14337" width="29.44140625" bestFit="1" customWidth="1"/>
    <col min="14593" max="14593" width="29.44140625" bestFit="1" customWidth="1"/>
    <col min="14849" max="14849" width="29.44140625" bestFit="1" customWidth="1"/>
    <col min="15105" max="15105" width="29.44140625" bestFit="1" customWidth="1"/>
    <col min="15361" max="15361" width="29.44140625" bestFit="1" customWidth="1"/>
    <col min="15617" max="15617" width="29.44140625" bestFit="1" customWidth="1"/>
    <col min="15873" max="15873" width="29.44140625" bestFit="1" customWidth="1"/>
    <col min="16129" max="16129" width="29.44140625" bestFit="1" customWidth="1"/>
  </cols>
  <sheetData>
    <row r="1" spans="1:7" ht="36" x14ac:dyDescent="0.35">
      <c r="A1" s="74" t="s">
        <v>101</v>
      </c>
      <c r="B1" s="74"/>
      <c r="C1" s="74"/>
    </row>
    <row r="2" spans="1:7" x14ac:dyDescent="0.3">
      <c r="A2" s="23" t="s">
        <v>0</v>
      </c>
      <c r="B2" s="23" t="s">
        <v>102</v>
      </c>
    </row>
    <row r="3" spans="1:7" x14ac:dyDescent="0.3">
      <c r="A3" s="3">
        <v>1</v>
      </c>
      <c r="B3" s="3">
        <v>-0.09</v>
      </c>
    </row>
    <row r="4" spans="1:7" x14ac:dyDescent="0.3">
      <c r="A4" s="3">
        <v>2</v>
      </c>
      <c r="B4" s="3">
        <v>0.15</v>
      </c>
    </row>
    <row r="5" spans="1:7" x14ac:dyDescent="0.3">
      <c r="A5" s="3">
        <v>3</v>
      </c>
      <c r="B5" s="3">
        <v>0.09</v>
      </c>
    </row>
    <row r="6" spans="1:7" x14ac:dyDescent="0.3">
      <c r="A6" s="3">
        <v>4</v>
      </c>
      <c r="B6" s="3">
        <v>-0.05</v>
      </c>
    </row>
    <row r="7" spans="1:7" x14ac:dyDescent="0.3">
      <c r="A7" s="3">
        <v>5</v>
      </c>
      <c r="B7" s="3">
        <v>0.17</v>
      </c>
    </row>
    <row r="9" spans="1:7" x14ac:dyDescent="0.3">
      <c r="A9" s="23" t="s">
        <v>11</v>
      </c>
      <c r="B9" s="7">
        <f>AVERAGE(B3:B7)</f>
        <v>5.4000000000000006E-2</v>
      </c>
      <c r="C9" t="s">
        <v>103</v>
      </c>
    </row>
    <row r="10" spans="1:7" x14ac:dyDescent="0.3">
      <c r="A10" s="23" t="s">
        <v>104</v>
      </c>
      <c r="B10" s="63">
        <v>0.02</v>
      </c>
    </row>
    <row r="11" spans="1:7" ht="43.2" x14ac:dyDescent="0.3">
      <c r="A11" s="23" t="s">
        <v>105</v>
      </c>
      <c r="B11" s="63">
        <v>3.5000000000000003E-2</v>
      </c>
      <c r="C11" s="75" t="s">
        <v>186</v>
      </c>
      <c r="D11" s="76"/>
      <c r="E11" s="76"/>
      <c r="F11" s="76"/>
      <c r="G11" s="77"/>
    </row>
    <row r="12" spans="1:7" x14ac:dyDescent="0.3">
      <c r="A12" s="23" t="s">
        <v>100</v>
      </c>
      <c r="B12" s="61">
        <f>B9-B11</f>
        <v>1.9000000000000003E-2</v>
      </c>
    </row>
    <row r="13" spans="1:7" x14ac:dyDescent="0.3">
      <c r="A13" s="23" t="s">
        <v>106</v>
      </c>
      <c r="B13" s="7">
        <f>(1+B9)/(1+B10)-1</f>
        <v>3.3333333333333437E-2</v>
      </c>
      <c r="C13" t="s">
        <v>146</v>
      </c>
      <c r="D13" t="s">
        <v>107</v>
      </c>
    </row>
    <row r="14" spans="1:7" x14ac:dyDescent="0.3">
      <c r="A14" s="23" t="s">
        <v>108</v>
      </c>
      <c r="B14" s="7">
        <f>(1+B11)/(1+B10)-1</f>
        <v>1.4705882352941124E-2</v>
      </c>
      <c r="C14" t="s">
        <v>146</v>
      </c>
      <c r="D14" t="s">
        <v>109</v>
      </c>
    </row>
    <row r="15" spans="1:7" x14ac:dyDescent="0.3">
      <c r="A15" s="23" t="s">
        <v>99</v>
      </c>
      <c r="B15" s="7">
        <f>B13-B14</f>
        <v>1.8627450980392313E-2</v>
      </c>
      <c r="C15" t="s">
        <v>134</v>
      </c>
      <c r="D15" t="s">
        <v>110</v>
      </c>
    </row>
    <row r="17" spans="3:3" x14ac:dyDescent="0.3">
      <c r="C17" t="s">
        <v>135</v>
      </c>
    </row>
    <row r="18" spans="3:3" x14ac:dyDescent="0.3">
      <c r="C18" t="s">
        <v>136</v>
      </c>
    </row>
    <row r="19" spans="3:3" x14ac:dyDescent="0.3">
      <c r="C19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Ex(1)</vt:lpstr>
      <vt:lpstr>Ex(1an)</vt:lpstr>
      <vt:lpstr>Ex(1x)</vt:lpstr>
      <vt:lpstr>Ex(2)</vt:lpstr>
      <vt:lpstr>Ex(2an)</vt:lpstr>
      <vt:lpstr>Ex(3)</vt:lpstr>
      <vt:lpstr>Ex(3an)</vt:lpstr>
      <vt:lpstr>Ex(4)</vt:lpstr>
      <vt:lpstr>Ex(4an)</vt:lpstr>
      <vt:lpstr>Ex(5)</vt:lpstr>
      <vt:lpstr>Ex(5an)</vt:lpstr>
      <vt:lpstr>Ex(6)</vt:lpstr>
      <vt:lpstr>Ex(6an)</vt:lpstr>
      <vt:lpstr>Ex(7)</vt:lpstr>
      <vt:lpstr>Ex(7an)</vt:lpstr>
      <vt:lpstr>Ex(8)</vt:lpstr>
      <vt:lpstr>Ex(8an)</vt:lpstr>
      <vt:lpstr>Ex(9a)</vt:lpstr>
      <vt:lpstr>Ex(9b)</vt:lpstr>
      <vt:lpstr>Ex(9an)</vt:lpstr>
      <vt:lpstr>Data</vt:lpstr>
      <vt:lpstr>Ex(10)</vt:lpstr>
      <vt:lpstr>Ex(3n)</vt:lpstr>
      <vt:lpstr>Ex(4n)</vt:lpstr>
      <vt:lpstr>MEAN V GEOMEAN</vt:lpstr>
      <vt:lpstr>Estimate From Standard Deviatio</vt:lpstr>
      <vt:lpstr>Ex(10an)</vt:lpstr>
      <vt:lpstr>Ex(11)</vt:lpstr>
      <vt:lpstr>Ex(11an)</vt:lpstr>
      <vt:lpstr>Ex(12)</vt:lpstr>
      <vt:lpstr>Ex(12an)</vt:lpstr>
      <vt:lpstr>Ex(13)</vt:lpstr>
      <vt:lpstr>Ex(13an)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Girvin</dc:creator>
  <cp:lastModifiedBy>Girvin, Michael</cp:lastModifiedBy>
  <dcterms:created xsi:type="dcterms:W3CDTF">2010-11-16T21:49:49Z</dcterms:created>
  <dcterms:modified xsi:type="dcterms:W3CDTF">2025-02-13T01:42:09Z</dcterms:modified>
</cp:coreProperties>
</file>