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4"/>
  <workbookPr defaultThemeVersion="124226"/>
  <mc:AlternateContent xmlns:mc="http://schemas.openxmlformats.org/markup-compatibility/2006">
    <mc:Choice Requires="x15">
      <x15ac:absPath xmlns:x15ac="http://schemas.microsoft.com/office/spreadsheetml/2010/11/ac" url="C:\Users\mgirvin\Desktop\00-455-2025\02-VideosFilesHomework\Ch09\Files\"/>
    </mc:Choice>
  </mc:AlternateContent>
  <xr:revisionPtr revIDLastSave="0" documentId="13_ncr:1_{18E920A6-87EB-440D-940E-1692AFA898ED}" xr6:coauthVersionLast="47" xr6:coauthVersionMax="47" xr10:uidLastSave="{00000000-0000-0000-0000-000000000000}"/>
  <bookViews>
    <workbookView xWindow="-90" yWindow="-90" windowWidth="19380" windowHeight="10380" xr2:uid="{00000000-000D-0000-FFFF-FFFF00000000}"/>
  </bookViews>
  <sheets>
    <sheet name="Ex(1)" sheetId="33" r:id="rId1"/>
    <sheet name="Ex(1an)" sheetId="36" r:id="rId2"/>
    <sheet name="Ex(2)" sheetId="35" r:id="rId3"/>
    <sheet name="Ex(2an)" sheetId="37" r:id="rId4"/>
    <sheet name="EX(3)" sheetId="75" r:id="rId5"/>
    <sheet name="EX(3an)" sheetId="82" r:id="rId6"/>
    <sheet name="Ex(4)" sheetId="77" r:id="rId7"/>
    <sheet name="Ex(4an)" sheetId="83" r:id="rId8"/>
    <sheet name="Ex(5)" sheetId="16" r:id="rId9"/>
    <sheet name="Ex(5an)" sheetId="23" r:id="rId10"/>
    <sheet name="Ex(6)" sheetId="15" r:id="rId11"/>
    <sheet name="Ex(6an)" sheetId="24" r:id="rId12"/>
    <sheet name="Ex(7auto)" sheetId="17" r:id="rId13"/>
    <sheet name="Ex(7)" sheetId="85" r:id="rId14"/>
    <sheet name="Ex(7an)" sheetId="25" r:id="rId15"/>
    <sheet name="MACRS" sheetId="18" r:id="rId16"/>
    <sheet name="MMCC" sheetId="19" state="hidden" r:id="rId17"/>
    <sheet name="Ex(8)" sheetId="21" r:id="rId18"/>
    <sheet name="Sheet4" sheetId="30" state="hidden" r:id="rId19"/>
    <sheet name="Sheet2" sheetId="27" state="hidden" r:id="rId20"/>
    <sheet name="Ex(8an)" sheetId="26" r:id="rId21"/>
    <sheet name="EX(9)" sheetId="80" r:id="rId22"/>
    <sheet name="EX(9an)" sheetId="86" r:id="rId23"/>
    <sheet name="Ex(10)" sheetId="81" r:id="rId24"/>
    <sheet name="Ex(10.1)" sheetId="88" r:id="rId25"/>
    <sheet name="Ex(10an)" sheetId="87" r:id="rId26"/>
    <sheet name="Ex(11)" sheetId="31" r:id="rId27"/>
    <sheet name="Ex(11.2)" sheetId="32" state="hidden" r:id="rId28"/>
    <sheet name="Ex(7old)" sheetId="29" state="hidden" r:id="rId29"/>
    <sheet name="Ex(11an)" sheetId="90" r:id="rId30"/>
  </sheets>
  <definedNames>
    <definedName name="Class">'Ex(7auto)'!$C$3:$C$5</definedName>
    <definedName name="Property">'Ex(7auto)'!$A$2:$A$7</definedName>
    <definedName name="PropertyClass">'Ex(7auto)'!$D$3:$E$5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90" l="1" a="1"/>
  <c r="E11" i="90" s="1"/>
  <c r="R12" i="87" a="1"/>
  <c r="R12" i="87" s="1"/>
  <c r="R18" i="87" s="1"/>
  <c r="R19" i="87" s="1"/>
  <c r="R10" i="87" a="1"/>
  <c r="R10" i="87" s="1"/>
  <c r="L12" i="87" a="1"/>
  <c r="L12" i="87" s="1"/>
  <c r="L18" i="87" s="1"/>
  <c r="L19" i="87" s="1"/>
  <c r="L10" i="87" a="1"/>
  <c r="L10" i="87" s="1"/>
  <c r="O19" i="87"/>
  <c r="O18" i="87"/>
  <c r="L27" i="87"/>
  <c r="L26" i="87"/>
  <c r="L25" i="87"/>
  <c r="O24" i="87"/>
  <c r="Q19" i="87"/>
  <c r="N19" i="87"/>
  <c r="K19" i="87"/>
  <c r="Q18" i="87"/>
  <c r="N18" i="87"/>
  <c r="K18" i="87"/>
  <c r="R16" i="87"/>
  <c r="L16" i="87"/>
  <c r="R15" i="87"/>
  <c r="L15" i="87"/>
  <c r="R14" i="87"/>
  <c r="L14" i="87"/>
  <c r="O9" i="87"/>
  <c r="R8" i="87"/>
  <c r="L8" i="87"/>
  <c r="R7" i="87"/>
  <c r="L7" i="87"/>
  <c r="R6" i="87"/>
  <c r="L6" i="87"/>
  <c r="R5" i="87"/>
  <c r="R9" i="87" s="1"/>
  <c r="L5" i="87"/>
  <c r="L9" i="87" s="1"/>
  <c r="K3" i="87"/>
  <c r="U41" i="26"/>
  <c r="U42" i="26" a="1"/>
  <c r="U42" i="26" s="1"/>
  <c r="U40" i="26"/>
  <c r="U39" i="26"/>
  <c r="V29" i="26" a="1"/>
  <c r="V29" i="26" s="1"/>
  <c r="U29" i="26" a="1"/>
  <c r="U29" i="26" s="1"/>
  <c r="S37" i="26"/>
  <c r="S29" i="26"/>
  <c r="R37" i="26"/>
  <c r="R31" i="26"/>
  <c r="R32" i="26"/>
  <c r="R33" i="26"/>
  <c r="R34" i="26"/>
  <c r="R35" i="26"/>
  <c r="R36" i="26"/>
  <c r="R30" i="26"/>
  <c r="R29" i="26"/>
  <c r="O29" i="26"/>
  <c r="Q30" i="26" a="1"/>
  <c r="Q30" i="26" s="1"/>
  <c r="O30" i="26" a="1"/>
  <c r="O30" i="26" s="1"/>
  <c r="N30" i="26" a="1"/>
  <c r="N30" i="26" s="1"/>
  <c r="M30" i="26" a="1"/>
  <c r="M30" i="26" s="1"/>
  <c r="L30" i="26" a="1"/>
  <c r="L30" i="26" s="1"/>
  <c r="K30" i="26" a="1"/>
  <c r="J30" i="26" a="1"/>
  <c r="J30" i="26" s="1"/>
  <c r="I30" i="26" a="1"/>
  <c r="I30" i="26" s="1"/>
  <c r="H30" i="26" a="1"/>
  <c r="H30" i="26" s="1"/>
  <c r="G30" i="26" a="1"/>
  <c r="G30" i="26" s="1"/>
  <c r="F30" i="26" a="1"/>
  <c r="F30" i="26" s="1"/>
  <c r="E30" i="26" a="1"/>
  <c r="E30" i="26" s="1"/>
  <c r="AC39" i="26"/>
  <c r="AC41" i="26"/>
  <c r="AC42" i="26"/>
  <c r="AC43" i="26"/>
  <c r="AC47" i="26" s="1"/>
  <c r="AC44" i="26"/>
  <c r="AC45" i="26"/>
  <c r="AC46" i="26"/>
  <c r="B24" i="26" a="1"/>
  <c r="B24" i="26" s="1"/>
  <c r="Q7" i="25" a="1"/>
  <c r="Q7" i="25" s="1"/>
  <c r="R7" i="25" s="1"/>
  <c r="O8" i="25" s="1"/>
  <c r="R8" i="25" s="1"/>
  <c r="O9" i="25" s="1"/>
  <c r="R9" i="25" s="1"/>
  <c r="O10" i="25" s="1"/>
  <c r="R10" i="25" s="1"/>
  <c r="O11" i="25" s="1"/>
  <c r="R11" i="25" s="1"/>
  <c r="O12" i="25" s="1"/>
  <c r="R12" i="25" s="1"/>
  <c r="P7" i="25" a="1"/>
  <c r="P7" i="25" s="1"/>
  <c r="O7" i="25"/>
  <c r="P4" i="25" a="1"/>
  <c r="P4" i="25" s="1"/>
  <c r="A23" i="25" a="1"/>
  <c r="A12" i="17" a="1"/>
  <c r="A12" i="17" s="1"/>
  <c r="E26" i="15"/>
  <c r="D32" i="23"/>
  <c r="C32" i="23"/>
  <c r="A22" i="23"/>
  <c r="B21" i="23"/>
  <c r="B18" i="23" a="1"/>
  <c r="B18" i="23" s="1"/>
  <c r="B20" i="23" s="1"/>
  <c r="B15" i="23"/>
  <c r="G6" i="83" a="1"/>
  <c r="G6" i="83" s="1"/>
  <c r="I17" i="37" a="1"/>
  <c r="I17" i="37" s="1"/>
  <c r="N4" i="37" a="1"/>
  <c r="N4" i="37" s="1"/>
  <c r="M4" i="37" a="1"/>
  <c r="M4" i="37" s="1"/>
  <c r="M5" i="36" a="1"/>
  <c r="M5" i="36" s="1"/>
  <c r="N5" i="36" a="1"/>
  <c r="N5" i="36" s="1"/>
  <c r="C13" i="36"/>
  <c r="D13" i="36"/>
  <c r="C14" i="36"/>
  <c r="D14" i="36"/>
  <c r="C15" i="36"/>
  <c r="D15" i="36"/>
  <c r="C16" i="36"/>
  <c r="D16" i="36"/>
  <c r="C17" i="36"/>
  <c r="D17" i="36"/>
  <c r="D12" i="90" a="1"/>
  <c r="D13" i="90" s="1"/>
  <c r="B6" i="90"/>
  <c r="F7" i="90" s="1"/>
  <c r="F8" i="90" s="1"/>
  <c r="C5" i="88"/>
  <c r="C14" i="88" s="1"/>
  <c r="C15" i="88" s="1"/>
  <c r="B27" i="81"/>
  <c r="B26" i="81"/>
  <c r="B25" i="81"/>
  <c r="E24" i="81"/>
  <c r="G19" i="81"/>
  <c r="D19" i="81"/>
  <c r="A19" i="81"/>
  <c r="G18" i="81"/>
  <c r="D18" i="81"/>
  <c r="A18" i="81"/>
  <c r="H16" i="81"/>
  <c r="B16" i="81"/>
  <c r="H15" i="81"/>
  <c r="B15" i="81"/>
  <c r="H14" i="81"/>
  <c r="B14" i="81"/>
  <c r="H8" i="81"/>
  <c r="B8" i="81"/>
  <c r="H7" i="81"/>
  <c r="B7" i="81"/>
  <c r="H6" i="81"/>
  <c r="B6" i="81"/>
  <c r="H5" i="81"/>
  <c r="B5" i="81"/>
  <c r="A3" i="81"/>
  <c r="E24" i="87"/>
  <c r="B27" i="87"/>
  <c r="B26" i="87"/>
  <c r="B25" i="87"/>
  <c r="G8" i="86"/>
  <c r="B6" i="86"/>
  <c r="H5" i="86"/>
  <c r="E5" i="86"/>
  <c r="H4" i="86"/>
  <c r="E4" i="86"/>
  <c r="G3" i="86"/>
  <c r="F3" i="86"/>
  <c r="F8" i="86" s="1"/>
  <c r="B5" i="87"/>
  <c r="B6" i="87"/>
  <c r="B7" i="87"/>
  <c r="B8" i="87"/>
  <c r="B14" i="87"/>
  <c r="B15" i="87"/>
  <c r="B16" i="87"/>
  <c r="H5" i="87"/>
  <c r="H6" i="87"/>
  <c r="H7" i="87"/>
  <c r="H8" i="87"/>
  <c r="H14" i="87"/>
  <c r="H15" i="87"/>
  <c r="H16" i="87"/>
  <c r="G19" i="87"/>
  <c r="A19" i="87"/>
  <c r="D19" i="87"/>
  <c r="G18" i="87"/>
  <c r="A18" i="87"/>
  <c r="D18" i="87"/>
  <c r="H13" i="87"/>
  <c r="B13" i="87"/>
  <c r="H12" i="87"/>
  <c r="B12" i="87"/>
  <c r="H11" i="87"/>
  <c r="B11" i="87"/>
  <c r="H10" i="87"/>
  <c r="B10" i="87"/>
  <c r="H9" i="87"/>
  <c r="E9" i="87"/>
  <c r="E18" i="87" s="1"/>
  <c r="E19" i="87" s="1"/>
  <c r="B9" i="87"/>
  <c r="A3" i="87"/>
  <c r="B27" i="26"/>
  <c r="B29" i="26" s="1"/>
  <c r="S11" i="26" s="1"/>
  <c r="A26" i="26"/>
  <c r="AC20" i="26"/>
  <c r="A20" i="26"/>
  <c r="AC19" i="26"/>
  <c r="AC18" i="26"/>
  <c r="AC17" i="26"/>
  <c r="A17" i="26"/>
  <c r="AC16" i="26"/>
  <c r="AC15" i="26"/>
  <c r="K11" i="26"/>
  <c r="J11" i="26"/>
  <c r="H11" i="26"/>
  <c r="F11" i="26"/>
  <c r="E11" i="26"/>
  <c r="I11" i="26" s="1"/>
  <c r="K10" i="26"/>
  <c r="J10" i="26"/>
  <c r="H10" i="26"/>
  <c r="F10" i="26"/>
  <c r="E10" i="26"/>
  <c r="I10" i="26" s="1"/>
  <c r="K9" i="26"/>
  <c r="J9" i="26"/>
  <c r="H9" i="26"/>
  <c r="F9" i="26"/>
  <c r="E9" i="26"/>
  <c r="K8" i="26"/>
  <c r="J8" i="26"/>
  <c r="H8" i="26"/>
  <c r="F8" i="26"/>
  <c r="E8" i="26"/>
  <c r="I8" i="26" s="1"/>
  <c r="K7" i="26"/>
  <c r="J7" i="26"/>
  <c r="H7" i="26"/>
  <c r="F7" i="26"/>
  <c r="E7" i="26"/>
  <c r="I7" i="26" s="1"/>
  <c r="K6" i="26"/>
  <c r="J6" i="26"/>
  <c r="H6" i="26"/>
  <c r="F6" i="26"/>
  <c r="E6" i="26"/>
  <c r="K5" i="26"/>
  <c r="J5" i="26"/>
  <c r="H5" i="26"/>
  <c r="F5" i="26"/>
  <c r="E5" i="26"/>
  <c r="I5" i="26" s="1"/>
  <c r="K4" i="26"/>
  <c r="K13" i="26" s="1"/>
  <c r="J4" i="26"/>
  <c r="H4" i="26"/>
  <c r="F4" i="26"/>
  <c r="E4" i="26"/>
  <c r="S3" i="26"/>
  <c r="R3" i="26"/>
  <c r="U3" i="26" s="1"/>
  <c r="O3" i="26"/>
  <c r="A3" i="26"/>
  <c r="O3" i="21"/>
  <c r="I29" i="25"/>
  <c r="I22" i="25"/>
  <c r="I20" i="25"/>
  <c r="F19" i="25"/>
  <c r="E19" i="25"/>
  <c r="D19" i="25"/>
  <c r="K12" i="25"/>
  <c r="J12" i="25"/>
  <c r="K11" i="25"/>
  <c r="J11" i="25"/>
  <c r="K10" i="25"/>
  <c r="J10" i="25"/>
  <c r="K9" i="25"/>
  <c r="J9" i="25"/>
  <c r="D9" i="25" a="1"/>
  <c r="K8" i="25"/>
  <c r="J8" i="25"/>
  <c r="L7" i="25"/>
  <c r="I8" i="25" s="1"/>
  <c r="L8" i="25" s="1"/>
  <c r="K7" i="25"/>
  <c r="J7" i="25"/>
  <c r="I7" i="25"/>
  <c r="I29" i="85"/>
  <c r="I20" i="85"/>
  <c r="F19" i="85"/>
  <c r="E19" i="85"/>
  <c r="D19" i="85"/>
  <c r="D9" i="85" a="1"/>
  <c r="F9" i="85" s="1"/>
  <c r="A7" i="85"/>
  <c r="A6" i="85"/>
  <c r="A5" i="85"/>
  <c r="A4" i="85"/>
  <c r="A3" i="85"/>
  <c r="A2" i="85"/>
  <c r="AC13" i="26"/>
  <c r="L28" i="87" l="1"/>
  <c r="L29" i="87" s="1"/>
  <c r="K21" i="87"/>
  <c r="K30" i="26"/>
  <c r="K39" i="26" s="1"/>
  <c r="B24" i="25" a="1"/>
  <c r="B24" i="25" s="1"/>
  <c r="B27" i="25" a="1"/>
  <c r="B27" i="25" s="1"/>
  <c r="B28" i="25" a="1"/>
  <c r="B28" i="25" s="1"/>
  <c r="B25" i="25" a="1"/>
  <c r="B25" i="25" s="1"/>
  <c r="B26" i="25" a="1"/>
  <c r="B26" i="25" s="1"/>
  <c r="A23" i="25"/>
  <c r="B23" i="25" s="1" a="1"/>
  <c r="B23" i="25" s="1"/>
  <c r="C35" i="23"/>
  <c r="E32" i="23"/>
  <c r="B22" i="23"/>
  <c r="B23" i="23" s="1"/>
  <c r="B28" i="23"/>
  <c r="K15" i="25"/>
  <c r="I9" i="26"/>
  <c r="I6" i="26"/>
  <c r="H18" i="87"/>
  <c r="H19" i="87" s="1"/>
  <c r="B18" i="87"/>
  <c r="B19" i="87" s="1"/>
  <c r="I4" i="26"/>
  <c r="AC21" i="26"/>
  <c r="B19" i="81"/>
  <c r="E8" i="86"/>
  <c r="E7" i="86"/>
  <c r="H7" i="86" s="1"/>
  <c r="E6" i="86"/>
  <c r="H6" i="86" s="1"/>
  <c r="E9" i="25"/>
  <c r="F9" i="25"/>
  <c r="D9" i="25"/>
  <c r="E7" i="90"/>
  <c r="G7" i="90"/>
  <c r="G8" i="90" s="1"/>
  <c r="D10" i="90"/>
  <c r="D12" i="90"/>
  <c r="D14" i="90"/>
  <c r="B28" i="81"/>
  <c r="B29" i="81" s="1"/>
  <c r="B28" i="87"/>
  <c r="B29" i="87" s="1"/>
  <c r="H8" i="86"/>
  <c r="H3" i="86"/>
  <c r="V3" i="26"/>
  <c r="G5" i="26"/>
  <c r="G7" i="26"/>
  <c r="G9" i="26"/>
  <c r="G11" i="26"/>
  <c r="G4" i="26"/>
  <c r="G6" i="26"/>
  <c r="G8" i="26"/>
  <c r="G10" i="26"/>
  <c r="I9" i="25"/>
  <c r="L9" i="25" s="1"/>
  <c r="I10" i="25" s="1"/>
  <c r="L10" i="25" s="1"/>
  <c r="I31" i="25"/>
  <c r="J29" i="25"/>
  <c r="J30" i="25" s="1"/>
  <c r="J31" i="25" s="1"/>
  <c r="J32" i="25" s="1"/>
  <c r="E9" i="85"/>
  <c r="D9" i="85"/>
  <c r="D26" i="24"/>
  <c r="B26" i="24"/>
  <c r="E26" i="24" s="1"/>
  <c r="D25" i="24"/>
  <c r="B25" i="24"/>
  <c r="E25" i="24" s="1"/>
  <c r="D24" i="24"/>
  <c r="D27" i="24" s="1"/>
  <c r="D30" i="24" s="1"/>
  <c r="B24" i="24"/>
  <c r="E24" i="24" s="1"/>
  <c r="D22" i="24"/>
  <c r="C22" i="24"/>
  <c r="E21" i="24"/>
  <c r="E20" i="24"/>
  <c r="E19" i="24"/>
  <c r="C16" i="24"/>
  <c r="D11" i="24"/>
  <c r="D7" i="24"/>
  <c r="D5" i="24"/>
  <c r="B37" i="83"/>
  <c r="A37" i="83"/>
  <c r="B36" i="83"/>
  <c r="A36" i="83"/>
  <c r="A35" i="83"/>
  <c r="B34" i="83"/>
  <c r="B35" i="83" s="1"/>
  <c r="A34" i="83"/>
  <c r="A33" i="83"/>
  <c r="B32" i="83"/>
  <c r="A32" i="83"/>
  <c r="A28" i="83"/>
  <c r="A27" i="83"/>
  <c r="A25" i="83"/>
  <c r="A24" i="83"/>
  <c r="A22" i="83"/>
  <c r="A21" i="83"/>
  <c r="A20" i="83"/>
  <c r="A13" i="83"/>
  <c r="B12" i="83"/>
  <c r="A12" i="83"/>
  <c r="B11" i="83"/>
  <c r="A11" i="83"/>
  <c r="E8" i="83"/>
  <c r="B13" i="83" s="1"/>
  <c r="E7" i="83"/>
  <c r="E6" i="83"/>
  <c r="B7" i="82"/>
  <c r="A28" i="77"/>
  <c r="A27" i="77"/>
  <c r="A35" i="77"/>
  <c r="A11" i="77"/>
  <c r="A12" i="77"/>
  <c r="A13" i="77"/>
  <c r="A37" i="77"/>
  <c r="A36" i="77"/>
  <c r="A34" i="77"/>
  <c r="A33" i="77"/>
  <c r="A32" i="77"/>
  <c r="A25" i="77"/>
  <c r="A24" i="77"/>
  <c r="A22" i="77"/>
  <c r="A21" i="77"/>
  <c r="A20" i="77"/>
  <c r="L30" i="87" l="1"/>
  <c r="L31" i="87"/>
  <c r="L32" i="87" s="1"/>
  <c r="F32" i="23"/>
  <c r="B24" i="23"/>
  <c r="B25" i="23" s="1"/>
  <c r="B27" i="23" s="1"/>
  <c r="D31" i="24"/>
  <c r="E8" i="90"/>
  <c r="B30" i="81"/>
  <c r="B31" i="81" s="1"/>
  <c r="B32" i="81" s="1"/>
  <c r="B30" i="87"/>
  <c r="B31" i="87"/>
  <c r="B32" i="87" s="1"/>
  <c r="H11" i="86"/>
  <c r="H10" i="86"/>
  <c r="A21" i="87"/>
  <c r="O10" i="26"/>
  <c r="L10" i="26"/>
  <c r="O6" i="26"/>
  <c r="L6" i="26"/>
  <c r="L11" i="26"/>
  <c r="O11" i="26"/>
  <c r="R11" i="26" s="1"/>
  <c r="L7" i="26"/>
  <c r="O7" i="26"/>
  <c r="R7" i="26" s="1"/>
  <c r="O8" i="26"/>
  <c r="R8" i="26" s="1"/>
  <c r="L8" i="26"/>
  <c r="O4" i="26"/>
  <c r="R4" i="26" s="1"/>
  <c r="L4" i="26"/>
  <c r="L9" i="26"/>
  <c r="O9" i="26"/>
  <c r="L5" i="26"/>
  <c r="O5" i="26"/>
  <c r="I11" i="25"/>
  <c r="L11" i="25" s="1"/>
  <c r="I12" i="25" s="1"/>
  <c r="L12" i="25" s="1"/>
  <c r="J20" i="25"/>
  <c r="J21" i="25" s="1"/>
  <c r="J22" i="25" s="1"/>
  <c r="J23" i="25" s="1"/>
  <c r="I22" i="85"/>
  <c r="B14" i="83"/>
  <c r="B33" i="83"/>
  <c r="B38" i="83" s="1"/>
  <c r="O29" i="87" l="1"/>
  <c r="O27" i="87"/>
  <c r="O28" i="87"/>
  <c r="O26" i="87"/>
  <c r="O25" i="87"/>
  <c r="O32" i="87" s="1"/>
  <c r="B34" i="23"/>
  <c r="E34" i="23" s="1"/>
  <c r="B35" i="23"/>
  <c r="E35" i="23" s="1"/>
  <c r="B33" i="23"/>
  <c r="E33" i="23" s="1"/>
  <c r="R9" i="26"/>
  <c r="R5" i="26"/>
  <c r="E29" i="81"/>
  <c r="E28" i="81"/>
  <c r="E27" i="81"/>
  <c r="E26" i="81"/>
  <c r="E25" i="81"/>
  <c r="E32" i="81" s="1"/>
  <c r="E26" i="87"/>
  <c r="E28" i="87"/>
  <c r="E25" i="87"/>
  <c r="E27" i="87"/>
  <c r="E29" i="87"/>
  <c r="M4" i="26"/>
  <c r="N4" i="26"/>
  <c r="Q4" i="26" s="1"/>
  <c r="U4" i="26" s="1"/>
  <c r="M8" i="26"/>
  <c r="N8" i="26"/>
  <c r="Q8" i="26" s="1"/>
  <c r="U8" i="26" s="1"/>
  <c r="M6" i="26"/>
  <c r="N6" i="26" s="1"/>
  <c r="Q6" i="26" s="1"/>
  <c r="M10" i="26"/>
  <c r="N10" i="26"/>
  <c r="Q10" i="26" s="1"/>
  <c r="M5" i="26"/>
  <c r="N5" i="26" s="1"/>
  <c r="Q5" i="26" s="1"/>
  <c r="U5" i="26" s="1"/>
  <c r="M9" i="26"/>
  <c r="N9" i="26" s="1"/>
  <c r="Q9" i="26" s="1"/>
  <c r="U9" i="26" s="1"/>
  <c r="M7" i="26"/>
  <c r="N7" i="26" s="1"/>
  <c r="Q7" i="26" s="1"/>
  <c r="U7" i="26" s="1"/>
  <c r="M11" i="26"/>
  <c r="N11" i="26" s="1"/>
  <c r="Q11" i="26" s="1"/>
  <c r="U11" i="26" s="1"/>
  <c r="R6" i="26"/>
  <c r="R10" i="26"/>
  <c r="B39" i="83"/>
  <c r="B40" i="83" s="1"/>
  <c r="Q5" i="37"/>
  <c r="Q6" i="37"/>
  <c r="Q7" i="37"/>
  <c r="Q8" i="37"/>
  <c r="Q9" i="37"/>
  <c r="Q10" i="37"/>
  <c r="Q11" i="37"/>
  <c r="Q12" i="37"/>
  <c r="Q13" i="37"/>
  <c r="Q14" i="37"/>
  <c r="Q4" i="37"/>
  <c r="E37" i="23" l="1"/>
  <c r="F33" i="23"/>
  <c r="F34" i="23"/>
  <c r="E39" i="23" s="1"/>
  <c r="F35" i="23"/>
  <c r="E38" i="23"/>
  <c r="H38" i="23" s="1"/>
  <c r="H39" i="23" a="1"/>
  <c r="H39" i="23" s="1"/>
  <c r="F16" i="90"/>
  <c r="E32" i="87"/>
  <c r="U10" i="26"/>
  <c r="U6" i="26"/>
  <c r="U14" i="26" s="1"/>
  <c r="V11" i="26"/>
  <c r="V4" i="26"/>
  <c r="V9" i="26"/>
  <c r="V5" i="26"/>
  <c r="U13" i="26"/>
  <c r="V10" i="26"/>
  <c r="V6" i="26"/>
  <c r="U15" i="26" s="1"/>
  <c r="V7" i="26"/>
  <c r="I31" i="85"/>
  <c r="E26" i="37"/>
  <c r="E25" i="37"/>
  <c r="E24" i="37"/>
  <c r="E23" i="37"/>
  <c r="F22" i="37"/>
  <c r="E22" i="37"/>
  <c r="E21" i="37"/>
  <c r="E20" i="37"/>
  <c r="E19" i="37"/>
  <c r="E18" i="37"/>
  <c r="F17" i="37"/>
  <c r="E17" i="37"/>
  <c r="F19" i="37" s="1"/>
  <c r="F14" i="37"/>
  <c r="E14" i="37"/>
  <c r="F13" i="37"/>
  <c r="E13" i="37"/>
  <c r="F12" i="37"/>
  <c r="E12" i="37"/>
  <c r="F11" i="37"/>
  <c r="E11" i="37"/>
  <c r="F10" i="37"/>
  <c r="E10" i="37"/>
  <c r="F9" i="37"/>
  <c r="E9" i="37"/>
  <c r="H8" i="37"/>
  <c r="F8" i="37"/>
  <c r="E8" i="37"/>
  <c r="F7" i="37"/>
  <c r="E7" i="37"/>
  <c r="F6" i="37"/>
  <c r="E6" i="37"/>
  <c r="F5" i="37"/>
  <c r="E5" i="37"/>
  <c r="H4" i="37"/>
  <c r="F4" i="37"/>
  <c r="E4" i="37"/>
  <c r="J4" i="37" s="1"/>
  <c r="D12" i="36"/>
  <c r="N4" i="36" s="1"/>
  <c r="C12" i="36"/>
  <c r="M4" i="36" s="1"/>
  <c r="C10" i="36"/>
  <c r="D9" i="36"/>
  <c r="D8" i="36"/>
  <c r="D7" i="36"/>
  <c r="D6" i="36"/>
  <c r="D5" i="36"/>
  <c r="M14" i="33"/>
  <c r="M15" i="33"/>
  <c r="M16" i="33"/>
  <c r="M17" i="33"/>
  <c r="M13" i="33"/>
  <c r="I4" i="37" l="1"/>
  <c r="V8" i="26"/>
  <c r="D10" i="36"/>
  <c r="D6" i="33"/>
  <c r="D7" i="33"/>
  <c r="D8" i="33"/>
  <c r="D9" i="33"/>
  <c r="D5" i="33"/>
  <c r="C12" i="33"/>
  <c r="M12" i="33" s="1"/>
  <c r="D12" i="33"/>
  <c r="N12" i="33" s="1"/>
  <c r="N13" i="33" l="1"/>
  <c r="N14" i="33"/>
  <c r="N15" i="33"/>
  <c r="N16" i="33"/>
  <c r="N17" i="33"/>
  <c r="G23" i="32" a="1"/>
  <c r="G23" i="32" s="1"/>
  <c r="F22" i="32" s="1"/>
  <c r="C19" i="32"/>
  <c r="D19" i="32"/>
  <c r="B19" i="32"/>
  <c r="F24" i="32" a="1"/>
  <c r="F24" i="32" s="1"/>
  <c r="D12" i="31" a="1"/>
  <c r="D12" i="31" s="1"/>
  <c r="B18" i="32"/>
  <c r="C18" i="32"/>
  <c r="D18" i="32"/>
  <c r="C17" i="32"/>
  <c r="D17" i="32"/>
  <c r="B17" i="32"/>
  <c r="D26" i="32"/>
  <c r="C26" i="32"/>
  <c r="B26" i="32"/>
  <c r="D25" i="32"/>
  <c r="C25" i="32"/>
  <c r="B25" i="32"/>
  <c r="I11" i="32"/>
  <c r="H11" i="32"/>
  <c r="G11" i="32"/>
  <c r="B6" i="32"/>
  <c r="D10" i="31"/>
  <c r="C17" i="29"/>
  <c r="D17" i="29"/>
  <c r="C18" i="29"/>
  <c r="D18" i="29"/>
  <c r="C19" i="29"/>
  <c r="D19" i="29"/>
  <c r="C25" i="29"/>
  <c r="D25" i="29"/>
  <c r="C26" i="29"/>
  <c r="D26" i="29"/>
  <c r="C20" i="32" l="1"/>
  <c r="B20" i="32"/>
  <c r="B21" i="32" s="1"/>
  <c r="B22" i="32" s="1"/>
  <c r="B24" i="32" s="1"/>
  <c r="G26" i="32"/>
  <c r="G24" i="32"/>
  <c r="G25" i="32"/>
  <c r="F25" i="32"/>
  <c r="F26" i="32"/>
  <c r="D13" i="31"/>
  <c r="D14" i="31"/>
  <c r="D20" i="32"/>
  <c r="D21" i="32" s="1"/>
  <c r="C21" i="32"/>
  <c r="B18" i="29"/>
  <c r="G11" i="29"/>
  <c r="H11" i="29"/>
  <c r="I11" i="29"/>
  <c r="B26" i="29"/>
  <c r="B25" i="29"/>
  <c r="B19" i="29"/>
  <c r="B17" i="29"/>
  <c r="B6" i="29"/>
  <c r="B2" i="30"/>
  <c r="E2" i="27"/>
  <c r="F2" i="27"/>
  <c r="G2" i="27"/>
  <c r="E3" i="27"/>
  <c r="F3" i="27"/>
  <c r="G3" i="27"/>
  <c r="E4" i="27"/>
  <c r="F4" i="27"/>
  <c r="G4" i="27"/>
  <c r="E5" i="27"/>
  <c r="F5" i="27"/>
  <c r="G5" i="27"/>
  <c r="F1" i="27"/>
  <c r="G1" i="27"/>
  <c r="E1" i="27"/>
  <c r="F7" i="30" l="1"/>
  <c r="E9" i="30"/>
  <c r="E10" i="30"/>
  <c r="E5" i="30"/>
  <c r="E6" i="30"/>
  <c r="F6" i="30"/>
  <c r="G6" i="30"/>
  <c r="E7" i="30"/>
  <c r="E8" i="30"/>
  <c r="G8" i="30"/>
  <c r="G9" i="30"/>
  <c r="F5" i="30"/>
  <c r="G7" i="30"/>
  <c r="F8" i="30"/>
  <c r="F9" i="30"/>
  <c r="G5" i="30"/>
  <c r="F10" i="30"/>
  <c r="G10" i="30"/>
  <c r="E11" i="30"/>
  <c r="F11" i="30"/>
  <c r="G11" i="30"/>
  <c r="E12" i="30"/>
  <c r="F12" i="30"/>
  <c r="G12" i="30"/>
  <c r="E13" i="30"/>
  <c r="F13" i="30"/>
  <c r="G13" i="30"/>
  <c r="E14" i="30"/>
  <c r="F14" i="30"/>
  <c r="G14" i="30"/>
  <c r="E15" i="30"/>
  <c r="G15" i="30"/>
  <c r="E16" i="30"/>
  <c r="G16" i="30"/>
  <c r="F15" i="30"/>
  <c r="F16" i="30"/>
  <c r="D22" i="32"/>
  <c r="D24" i="32" s="1"/>
  <c r="I16" i="32" s="1"/>
  <c r="G13" i="32"/>
  <c r="G16" i="32"/>
  <c r="G14" i="32"/>
  <c r="G12" i="32"/>
  <c r="G15" i="32"/>
  <c r="B23" i="32"/>
  <c r="C22" i="32"/>
  <c r="C23" i="32" s="1"/>
  <c r="B20" i="29"/>
  <c r="C20" i="29"/>
  <c r="C21" i="29" s="1"/>
  <c r="D20" i="29"/>
  <c r="D21" i="29" s="1"/>
  <c r="B21" i="29"/>
  <c r="I15" i="32" l="1"/>
  <c r="I13" i="32"/>
  <c r="I12" i="32"/>
  <c r="I14" i="32"/>
  <c r="D23" i="32"/>
  <c r="C24" i="32"/>
  <c r="H16" i="32" s="1"/>
  <c r="G20" i="32"/>
  <c r="G19" i="32"/>
  <c r="C22" i="29"/>
  <c r="B22" i="29"/>
  <c r="B23" i="29" s="1"/>
  <c r="D22" i="29"/>
  <c r="B24" i="29"/>
  <c r="G16" i="29" s="1"/>
  <c r="A17" i="21"/>
  <c r="A26" i="21"/>
  <c r="A20" i="21"/>
  <c r="A3" i="21"/>
  <c r="AC14" i="19"/>
  <c r="H5" i="19"/>
  <c r="H6" i="19"/>
  <c r="H7" i="19"/>
  <c r="H8" i="19"/>
  <c r="H9" i="19"/>
  <c r="H10" i="19"/>
  <c r="H11" i="19"/>
  <c r="H4" i="19"/>
  <c r="A17" i="19"/>
  <c r="I19" i="32" l="1"/>
  <c r="I20" i="32"/>
  <c r="C23" i="29"/>
  <c r="C24" i="29"/>
  <c r="D23" i="29"/>
  <c r="D24" i="29"/>
  <c r="H13" i="32"/>
  <c r="H14" i="32"/>
  <c r="H12" i="32"/>
  <c r="H15" i="32"/>
  <c r="I13" i="29"/>
  <c r="G13" i="29"/>
  <c r="G15" i="29"/>
  <c r="G12" i="29"/>
  <c r="G14" i="29"/>
  <c r="S3" i="19"/>
  <c r="O3" i="19"/>
  <c r="R3" i="19" s="1"/>
  <c r="T3" i="19" s="1"/>
  <c r="A20" i="19"/>
  <c r="K4" i="19"/>
  <c r="K5" i="19"/>
  <c r="K6" i="19"/>
  <c r="K7" i="19"/>
  <c r="K8" i="19"/>
  <c r="K9" i="19"/>
  <c r="K10" i="19"/>
  <c r="K11" i="19"/>
  <c r="J4" i="19"/>
  <c r="J5" i="19"/>
  <c r="J6" i="19"/>
  <c r="J7" i="19"/>
  <c r="J8" i="19"/>
  <c r="J9" i="19"/>
  <c r="J10" i="19"/>
  <c r="J11" i="19"/>
  <c r="F4" i="19"/>
  <c r="F5" i="19"/>
  <c r="F6" i="19"/>
  <c r="F7" i="19"/>
  <c r="F8" i="19"/>
  <c r="F9" i="19"/>
  <c r="F10" i="19"/>
  <c r="F11" i="19"/>
  <c r="A3" i="19"/>
  <c r="E4" i="19"/>
  <c r="I4" i="19" s="1"/>
  <c r="E5" i="19"/>
  <c r="I5" i="19" s="1"/>
  <c r="E6" i="19"/>
  <c r="I6" i="19" s="1"/>
  <c r="E7" i="19"/>
  <c r="I7" i="19" s="1"/>
  <c r="E8" i="19"/>
  <c r="I8" i="19" s="1"/>
  <c r="E9" i="19"/>
  <c r="I9" i="19" s="1"/>
  <c r="E10" i="19"/>
  <c r="I10" i="19" s="1"/>
  <c r="E11" i="19"/>
  <c r="I11" i="19" s="1"/>
  <c r="B26" i="19"/>
  <c r="S11" i="19" s="1"/>
  <c r="A25" i="19"/>
  <c r="B23" i="19"/>
  <c r="J4" i="17"/>
  <c r="A4" i="17"/>
  <c r="A3" i="17"/>
  <c r="A2" i="17"/>
  <c r="I29" i="17"/>
  <c r="I20" i="17"/>
  <c r="A5" i="17"/>
  <c r="A6" i="17"/>
  <c r="A7" i="17"/>
  <c r="H16" i="29" l="1"/>
  <c r="H12" i="29"/>
  <c r="H14" i="29"/>
  <c r="H13" i="29"/>
  <c r="H15" i="29"/>
  <c r="I16" i="29"/>
  <c r="I15" i="29"/>
  <c r="I12" i="29"/>
  <c r="I14" i="29"/>
  <c r="H19" i="32"/>
  <c r="H23" i="32" s="1" a="1"/>
  <c r="H20" i="32"/>
  <c r="G19" i="29"/>
  <c r="I19" i="29"/>
  <c r="H19" i="29"/>
  <c r="H20" i="29"/>
  <c r="G20" i="29"/>
  <c r="I20" i="29"/>
  <c r="U3" i="19"/>
  <c r="AC16" i="19"/>
  <c r="AC13" i="19"/>
  <c r="AC17" i="19"/>
  <c r="AC15" i="19"/>
  <c r="AC18" i="19"/>
  <c r="G10" i="19"/>
  <c r="G8" i="19"/>
  <c r="G6" i="19"/>
  <c r="G4" i="19"/>
  <c r="G11" i="19"/>
  <c r="G9" i="19"/>
  <c r="O9" i="19" s="1"/>
  <c r="G5" i="19"/>
  <c r="O5" i="19" s="1"/>
  <c r="G7" i="19"/>
  <c r="O7" i="19" s="1"/>
  <c r="L9" i="19"/>
  <c r="M9" i="19" s="1"/>
  <c r="Q9" i="19" s="1"/>
  <c r="L5" i="19"/>
  <c r="M5" i="19" s="1"/>
  <c r="N5" i="19" s="1"/>
  <c r="L7" i="19"/>
  <c r="D9" i="17" a="1"/>
  <c r="D9" i="17" s="1"/>
  <c r="D19" i="17"/>
  <c r="E19" i="17"/>
  <c r="F19" i="17"/>
  <c r="C16" i="15"/>
  <c r="D11" i="15"/>
  <c r="D5" i="15"/>
  <c r="D7" i="15"/>
  <c r="H23" i="32" l="1"/>
  <c r="H26" i="32"/>
  <c r="H24" i="32"/>
  <c r="H25" i="32"/>
  <c r="O10" i="19"/>
  <c r="R10" i="19" s="1"/>
  <c r="L10" i="19"/>
  <c r="O8" i="19"/>
  <c r="R9" i="19" s="1"/>
  <c r="T9" i="19" s="1"/>
  <c r="L8" i="19"/>
  <c r="O6" i="19"/>
  <c r="L6" i="19"/>
  <c r="O4" i="19"/>
  <c r="R4" i="19" s="1"/>
  <c r="L4" i="19"/>
  <c r="O11" i="19"/>
  <c r="R11" i="19" s="1"/>
  <c r="L11" i="19"/>
  <c r="AC19" i="19"/>
  <c r="R5" i="19"/>
  <c r="R8" i="19"/>
  <c r="N9" i="19"/>
  <c r="Q5" i="19"/>
  <c r="M7" i="19"/>
  <c r="N7" i="19" s="1"/>
  <c r="E9" i="17"/>
  <c r="F9" i="17"/>
  <c r="E19" i="15"/>
  <c r="B24" i="15"/>
  <c r="E24" i="15" s="1"/>
  <c r="B25" i="15"/>
  <c r="E25" i="15" s="1"/>
  <c r="B26" i="15"/>
  <c r="E20" i="15"/>
  <c r="E21" i="15"/>
  <c r="A22" i="16"/>
  <c r="M6" i="19" l="1"/>
  <c r="Q6" i="19" s="1"/>
  <c r="N6" i="19"/>
  <c r="M4" i="19"/>
  <c r="Q4" i="19" s="1"/>
  <c r="T4" i="19" s="1"/>
  <c r="U4" i="19" s="1"/>
  <c r="N4" i="19"/>
  <c r="M10" i="19"/>
  <c r="Q10" i="19" s="1"/>
  <c r="T10" i="19" s="1"/>
  <c r="N10" i="19"/>
  <c r="M8" i="19"/>
  <c r="Q8" i="19" s="1"/>
  <c r="T8" i="19" s="1"/>
  <c r="N8" i="19"/>
  <c r="M11" i="19"/>
  <c r="Q11" i="19" s="1"/>
  <c r="T11" i="19" s="1"/>
  <c r="N11" i="19"/>
  <c r="R7" i="19"/>
  <c r="R6" i="19"/>
  <c r="T6" i="19" s="1"/>
  <c r="H28" i="32"/>
  <c r="K12" i="17"/>
  <c r="J12" i="17" s="1"/>
  <c r="K9" i="17"/>
  <c r="J9" i="17" s="1"/>
  <c r="K13" i="17"/>
  <c r="K11" i="17"/>
  <c r="J11" i="17" s="1"/>
  <c r="K10" i="17"/>
  <c r="J10" i="17" s="1"/>
  <c r="K7" i="17"/>
  <c r="J7" i="17" s="1"/>
  <c r="I7" i="17" s="1"/>
  <c r="L7" i="17" s="1"/>
  <c r="K14" i="17"/>
  <c r="K8" i="17"/>
  <c r="J8" i="17" s="1"/>
  <c r="I8" i="17" s="1"/>
  <c r="L8" i="17" s="1"/>
  <c r="T5" i="19"/>
  <c r="U6" i="19"/>
  <c r="Q7" i="19"/>
  <c r="J13" i="17" l="1"/>
  <c r="L13" i="17"/>
  <c r="J14" i="17"/>
  <c r="L14" i="17"/>
  <c r="T7" i="19"/>
  <c r="U14" i="19"/>
  <c r="U5" i="19"/>
  <c r="K15" i="17"/>
  <c r="U8" i="19" l="1"/>
  <c r="U11" i="19"/>
  <c r="U10" i="19"/>
  <c r="U9" i="19"/>
  <c r="U13" i="19"/>
  <c r="U7" i="19"/>
  <c r="U17" i="19" s="1"/>
  <c r="U15" i="19"/>
  <c r="I9" i="17"/>
  <c r="L9" i="17" s="1"/>
  <c r="I10" i="17" l="1"/>
  <c r="I31" i="17"/>
  <c r="J29" i="17"/>
  <c r="J30" i="17" s="1"/>
  <c r="J31" i="17" s="1"/>
  <c r="J32" i="17" s="1"/>
  <c r="L10" i="17" l="1"/>
  <c r="I11" i="17" s="1"/>
  <c r="I22" i="17"/>
  <c r="L11" i="17" l="1"/>
  <c r="I12" i="17" s="1"/>
  <c r="J20" i="17"/>
  <c r="J21" i="17" s="1"/>
  <c r="J22" i="17" s="1"/>
  <c r="J23" i="17" s="1"/>
  <c r="I13" i="17" l="1"/>
  <c r="I14" i="17" s="1"/>
  <c r="L12" i="1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<sst xmlns="http://schemas.openxmlformats.org/spreadsheetml/2006/main" count="1138" uniqueCount="335">
  <si>
    <t>Cost</t>
  </si>
  <si>
    <t>Years</t>
  </si>
  <si>
    <t>Depreciation Method</t>
  </si>
  <si>
    <t>SL</t>
  </si>
  <si>
    <t>Tax Rate</t>
  </si>
  <si>
    <t>Salvage Value</t>
  </si>
  <si>
    <t>Fixed Costs</t>
  </si>
  <si>
    <t>Sales</t>
  </si>
  <si>
    <t>Gross Profit</t>
  </si>
  <si>
    <t>Depreciation</t>
  </si>
  <si>
    <t>EBIT</t>
  </si>
  <si>
    <t>Tax</t>
  </si>
  <si>
    <t>Opportunity Cost</t>
  </si>
  <si>
    <t>IRR</t>
  </si>
  <si>
    <t>Cash Flows</t>
  </si>
  <si>
    <t>Units</t>
  </si>
  <si>
    <t>Price per unit</t>
  </si>
  <si>
    <t>OCF</t>
  </si>
  <si>
    <t>NPV</t>
  </si>
  <si>
    <t>Payback</t>
  </si>
  <si>
    <t>Cash Flow 0</t>
  </si>
  <si>
    <t>Cash Flow 1</t>
  </si>
  <si>
    <t>Cash Flow 2</t>
  </si>
  <si>
    <t>Cash Flow 3</t>
  </si>
  <si>
    <t>Cash Flow 4</t>
  </si>
  <si>
    <t>Cash Flow 5</t>
  </si>
  <si>
    <t>Depr Method</t>
  </si>
  <si>
    <t>CF</t>
  </si>
  <si>
    <t>NWC</t>
  </si>
  <si>
    <t>Total</t>
  </si>
  <si>
    <t>Year 1</t>
  </si>
  <si>
    <t>Year 2</t>
  </si>
  <si>
    <t>Year 3</t>
  </si>
  <si>
    <t>Year 0</t>
  </si>
  <si>
    <t>CFO</t>
  </si>
  <si>
    <t>MACRS</t>
  </si>
  <si>
    <t>Estimates of Future:</t>
  </si>
  <si>
    <t># of items sold</t>
  </si>
  <si>
    <t>Variable Cost per item</t>
  </si>
  <si>
    <t>Price per item</t>
  </si>
  <si>
    <t xml:space="preserve">Life Of Project </t>
  </si>
  <si>
    <t>RRR</t>
  </si>
  <si>
    <t>per year</t>
  </si>
  <si>
    <t>Invest at time 0</t>
  </si>
  <si>
    <t>Depreciation method</t>
  </si>
  <si>
    <t>Removal Cost</t>
  </si>
  <si>
    <t>NWC investment at time 0</t>
  </si>
  <si>
    <t>Recover NWC at end</t>
  </si>
  <si>
    <t>Total Revenue</t>
  </si>
  <si>
    <t>Total VC</t>
  </si>
  <si>
    <t>Total FC</t>
  </si>
  <si>
    <t>Like Rent, Administrative Cost</t>
  </si>
  <si>
    <t>Taxes</t>
  </si>
  <si>
    <t>Pro Forma Income Statement (Same For Each Year)</t>
  </si>
  <si>
    <t>Annual Projected OCF = EBIT + Depr - Taxes</t>
  </si>
  <si>
    <t>Capital Spending</t>
  </si>
  <si>
    <t>Change in NWC</t>
  </si>
  <si>
    <t>Total Project Cash Flows
Cash Flows From Assets</t>
  </si>
  <si>
    <t>Costs = VC + FC</t>
  </si>
  <si>
    <t>Depr = Depreciation Expense</t>
  </si>
  <si>
    <t>T = Tax Rate</t>
  </si>
  <si>
    <t xml:space="preserve"> *sometimes is eaiser (analyzing Cost Cutting projects)</t>
  </si>
  <si>
    <t>Tax Shield Approach = OCF = (Sales - Costs)*(1-T) + Depr*T</t>
  </si>
  <si>
    <t>AR</t>
  </si>
  <si>
    <t>Inventory</t>
  </si>
  <si>
    <t>AP</t>
  </si>
  <si>
    <t>Net Working Capital</t>
  </si>
  <si>
    <t>Expenses</t>
  </si>
  <si>
    <t>COGS Expenses</t>
  </si>
  <si>
    <t>a</t>
  </si>
  <si>
    <t>b</t>
  </si>
  <si>
    <t>c</t>
  </si>
  <si>
    <t>Total Costs = VC + FC</t>
  </si>
  <si>
    <t>Account</t>
  </si>
  <si>
    <t>DR</t>
  </si>
  <si>
    <t>CR</t>
  </si>
  <si>
    <t>COGS</t>
  </si>
  <si>
    <t>Inv</t>
  </si>
  <si>
    <t>Record Sales Transaction in Journal</t>
  </si>
  <si>
    <t>Record Incur Expense Transaction in Journal</t>
  </si>
  <si>
    <t>Expense</t>
  </si>
  <si>
    <t>Balance Sheet Beg. Balance</t>
  </si>
  <si>
    <t>Balance Sheet End. Balance</t>
  </si>
  <si>
    <t>Reminder of How Transactions are Recorded with Accrual Accounting</t>
  </si>
  <si>
    <t>Example of How Accrual Accounting Must Be Un-done to get at Cash Flows</t>
  </si>
  <si>
    <t>Total Sales</t>
  </si>
  <si>
    <t>Sales - (VC + FC)</t>
  </si>
  <si>
    <t>Class</t>
  </si>
  <si>
    <t>Example1</t>
  </si>
  <si>
    <t>Example2</t>
  </si>
  <si>
    <t>Research Equipment</t>
  </si>
  <si>
    <t>Autos</t>
  </si>
  <si>
    <t>Computers</t>
  </si>
  <si>
    <t>Industrial Equipment</t>
  </si>
  <si>
    <t>Property Class</t>
  </si>
  <si>
    <t>Personal Property (all property except real-estate)</t>
  </si>
  <si>
    <t>3-year property</t>
  </si>
  <si>
    <t>Special handling devices for food and beverage manufacture.</t>
  </si>
  <si>
    <t>Special tools for the manufacture of finished plastic products, fabricated metal products, and motor vehicles</t>
  </si>
  <si>
    <t>Property with ADR class life of 4 years or less</t>
  </si>
  <si>
    <t>5-year property</t>
  </si>
  <si>
    <t>Information Systems; Computers / Peripherals</t>
  </si>
  <si>
    <t>Aircraft and parts (of non-air-transport companies)</t>
  </si>
  <si>
    <t>Petroleum drilling equipment</t>
  </si>
  <si>
    <t>Property with ADR class life of more than 4 years and less than 10 years</t>
  </si>
  <si>
    <t>Certain geothermal, solar, and wind energy properties.</t>
  </si>
  <si>
    <t>7-year property</t>
  </si>
  <si>
    <t>All other property not assigned to another class</t>
  </si>
  <si>
    <t>Office furniture, fixtures, and equipment</t>
  </si>
  <si>
    <t>Property with ADR class life of more than 10 years and less than 16 years</t>
  </si>
  <si>
    <t>10-year property</t>
  </si>
  <si>
    <t>Assets used in petroleum refining and certain food products</t>
  </si>
  <si>
    <t>Vessels and water transportation equipment</t>
  </si>
  <si>
    <t>Property with ADR class life of 16 years or more and less than 20 years</t>
  </si>
  <si>
    <t>15-year property</t>
  </si>
  <si>
    <t>Telephone distribution plants</t>
  </si>
  <si>
    <t>Municipal sewage treatment plants</t>
  </si>
  <si>
    <t>Property with ADR class life of 20 years or more and less than 25 years</t>
  </si>
  <si>
    <t>20-year property</t>
  </si>
  <si>
    <t>Municipal sewers</t>
  </si>
  <si>
    <t>Property with ADR class life of 25 years or more</t>
  </si>
  <si>
    <t>Real Property (real estate)</t>
  </si>
  <si>
    <t>27.5-year property</t>
  </si>
  <si>
    <t>Residential rental property (does not include hotels and motels)</t>
  </si>
  <si>
    <t>39-year property</t>
  </si>
  <si>
    <t>Non-residential real property</t>
  </si>
  <si>
    <t>Recovery Year</t>
  </si>
  <si>
    <t>3-Year Property</t>
  </si>
  <si>
    <t>5-Year Property</t>
  </si>
  <si>
    <t>7-Year Property</t>
  </si>
  <si>
    <t>10-Year Property</t>
  </si>
  <si>
    <t>15-Year Property</t>
  </si>
  <si>
    <t>20-Year Property</t>
  </si>
  <si>
    <t>14.81 *</t>
  </si>
  <si>
    <t>11.52 *</t>
  </si>
  <si>
    <t>8.93 *</t>
  </si>
  <si>
    <t>6.55 *</t>
  </si>
  <si>
    <t>5.90 *</t>
  </si>
  <si>
    <t>4.462 *</t>
  </si>
  <si>
    <t>5.91 over 9000</t>
  </si>
  <si>
    <t>The 3-, 5-, 7-, and 10-year classes use 200% and the 15- and 20-year classes use 150% declining balance depreciation.</t>
  </si>
  <si>
    <t>All classes convert to straight-line depreciation in the optimal year, shown with an asterisk (*).</t>
  </si>
  <si>
    <t>A half-year depreciation is allowed in the first and last recovery years.</t>
  </si>
  <si>
    <t>If more than 40% of the year's MACRS property is placed in service in the last three months, then a mid-quarter convention must be used with depreciation tables that are not shown here.</t>
  </si>
  <si>
    <t>Month 1</t>
  </si>
  <si>
    <t>Month 2</t>
  </si>
  <si>
    <t>Month 3</t>
  </si>
  <si>
    <t>Month 4</t>
  </si>
  <si>
    <t>Month 5</t>
  </si>
  <si>
    <t>Month 6</t>
  </si>
  <si>
    <t>Month 7</t>
  </si>
  <si>
    <t>Month 8</t>
  </si>
  <si>
    <t>Month 9</t>
  </si>
  <si>
    <t>Month 10</t>
  </si>
  <si>
    <t>Month 11</t>
  </si>
  <si>
    <t>Month 12</t>
  </si>
  <si>
    <t>The useful life is 39 years for nonresidential real property. Depreciation is straight line using the mid-month convention. Thus a property placed in service in January would be allowed 11½ months depreciation for recovery Year 1.</t>
  </si>
  <si>
    <t>MACRS Property Class (abbreviated)</t>
  </si>
  <si>
    <t>Special Tools</t>
  </si>
  <si>
    <t>Office Furniture</t>
  </si>
  <si>
    <t>Depreciation Allowances</t>
  </si>
  <si>
    <t>Check:</t>
  </si>
  <si>
    <t>Cost Of Asset</t>
  </si>
  <si>
    <t>3-Year</t>
  </si>
  <si>
    <t>7-Year</t>
  </si>
  <si>
    <t>Property</t>
  </si>
  <si>
    <t>Beginning Book Value</t>
  </si>
  <si>
    <t>End Book Value</t>
  </si>
  <si>
    <t>Year</t>
  </si>
  <si>
    <t>Non-cash Depreciation Expense</t>
  </si>
  <si>
    <t>Marginal Tax Rate</t>
  </si>
  <si>
    <t>Year Sold</t>
  </si>
  <si>
    <t>Sell Price = MV =</t>
  </si>
  <si>
    <t>When selling at end, if MV &gt; BV, then Pay Taxes On Difference between MV and End MACRS BV - "we Depreciated it too much" - "recapture depreciation" .</t>
  </si>
  <si>
    <t xml:space="preserve"> + ==&gt; already got tax savings
 - ==&gt; paid too much tax</t>
  </si>
  <si>
    <t>5-Year</t>
  </si>
  <si>
    <t>Total Cash Flow at End</t>
  </si>
  <si>
    <t>Caculation:</t>
  </si>
  <si>
    <t>When selling at end, if BV &gt; MV, then get tax benefit - We have a loss from sale.</t>
  </si>
  <si>
    <t xml:space="preserve"> =J18-J20</t>
  </si>
  <si>
    <t xml:space="preserve"> =ROUND(J21*$J$1,0)</t>
  </si>
  <si>
    <t xml:space="preserve"> =J18-J22</t>
  </si>
  <si>
    <t>Tax Rate in J1</t>
  </si>
  <si>
    <t xml:space="preserve"> =J27-J29</t>
  </si>
  <si>
    <t xml:space="preserve"> =ROUND(J30*$J$1,0)</t>
  </si>
  <si>
    <t xml:space="preserve"> =J27-J31</t>
  </si>
  <si>
    <t>Projected Unit Sales</t>
  </si>
  <si>
    <t>Start Price per unit</t>
  </si>
  <si>
    <t>NWC requirement at start</t>
  </si>
  <si>
    <t>Total Fixed Cost Each Year</t>
  </si>
  <si>
    <t>VC each year</t>
  </si>
  <si>
    <t>Property Type</t>
  </si>
  <si>
    <t>Initial Cost Equipment</t>
  </si>
  <si>
    <t># of years until sell Equipment</t>
  </si>
  <si>
    <t>Selling Price</t>
  </si>
  <si>
    <t>Relevant Marginal Tax Rate</t>
  </si>
  <si>
    <t>Income Statement</t>
  </si>
  <si>
    <t>FC</t>
  </si>
  <si>
    <t>Depr</t>
  </si>
  <si>
    <t>Year Price Increases</t>
  </si>
  <si>
    <t>Unit Price</t>
  </si>
  <si>
    <t>NI not considering Interest</t>
  </si>
  <si>
    <t>CF for NWC</t>
  </si>
  <si>
    <t>Cash Flows ==&gt;</t>
  </si>
  <si>
    <t>Cap Spending</t>
  </si>
  <si>
    <t>Cash Flow For NPV</t>
  </si>
  <si>
    <t>Cumulative CF for Payback</t>
  </si>
  <si>
    <t>VC / unit</t>
  </si>
  <si>
    <t>Year 4</t>
  </si>
  <si>
    <t>Year 5</t>
  </si>
  <si>
    <t>Year 6</t>
  </si>
  <si>
    <t>Year 7</t>
  </si>
  <si>
    <t>Last one &lt;=0</t>
  </si>
  <si>
    <t>next period Cash Flow</t>
  </si>
  <si>
    <t>No Zero?</t>
  </si>
  <si>
    <t>Initial Cost</t>
  </si>
  <si>
    <t>Cumulative Cash Flows</t>
  </si>
  <si>
    <t>Payback In Years</t>
  </si>
  <si>
    <t>Cost Increases After Year</t>
  </si>
  <si>
    <t>Pro Forma Information</t>
  </si>
  <si>
    <t>Period</t>
  </si>
  <si>
    <t>A</t>
  </si>
  <si>
    <t>project</t>
  </si>
  <si>
    <t>Resource</t>
  </si>
  <si>
    <t>Amount</t>
  </si>
  <si>
    <t>B</t>
  </si>
  <si>
    <t>C</t>
  </si>
  <si>
    <t>Criteria</t>
  </si>
  <si>
    <t>Count</t>
  </si>
  <si>
    <t>Salvage</t>
  </si>
  <si>
    <t>Depr Ex</t>
  </si>
  <si>
    <t>Tax rate</t>
  </si>
  <si>
    <t>Units Sales</t>
  </si>
  <si>
    <t>VC per unit</t>
  </si>
  <si>
    <t>FC per year</t>
  </si>
  <si>
    <t>Pessimistic</t>
  </si>
  <si>
    <t>Optimistic</t>
  </si>
  <si>
    <t>Base</t>
  </si>
  <si>
    <t>No NWC</t>
  </si>
  <si>
    <t>Cap Spend</t>
  </si>
  <si>
    <t>NI (No Inter.)</t>
  </si>
  <si>
    <t>Scenario Analysis</t>
  </si>
  <si>
    <t>Sensitivity Analysis</t>
  </si>
  <si>
    <t>Units Sold</t>
  </si>
  <si>
    <t xml:space="preserve">Steepness = Slope </t>
  </si>
  <si>
    <t xml:space="preserve"> *For everyone unit of x, how far does y move?</t>
  </si>
  <si>
    <t>Patterns of Cash Flows</t>
  </si>
  <si>
    <t>Also: Larger Discount Rate, NPV Smaller</t>
  </si>
  <si>
    <t xml:space="preserve"> ==&gt;&gt; Bigger CF early, slope less steep</t>
  </si>
  <si>
    <t>Less Time for cash flows to shrink (take interest out)</t>
  </si>
  <si>
    <t xml:space="preserve"> ==&gt;&gt; Smaller CF early, slope more steep</t>
  </si>
  <si>
    <t>More time for larger cash flows to shrink</t>
  </si>
  <si>
    <t>Cash flows more weight toward end, NPV smaller</t>
  </si>
  <si>
    <t>Sales will always be a Direct Relationship</t>
  </si>
  <si>
    <t>Costs will always be a Indirect Relationship</t>
  </si>
  <si>
    <t>XNPV &amp; XIRR</t>
  </si>
  <si>
    <t>Periods</t>
  </si>
  <si>
    <t>Date</t>
  </si>
  <si>
    <t>Cash Flow</t>
  </si>
  <si>
    <t>NPV using XNPV</t>
  </si>
  <si>
    <t>NPV using PV function</t>
  </si>
  <si>
    <t>NPV using XNPV algorithm</t>
  </si>
  <si>
    <t>XNPV</t>
  </si>
  <si>
    <t>XIRR</t>
  </si>
  <si>
    <t>Days</t>
  </si>
  <si>
    <t>Months</t>
  </si>
  <si>
    <t>Cash Flow for PV</t>
  </si>
  <si>
    <t>Cash Flow using XNPV algorithm</t>
  </si>
  <si>
    <t>NPV w Formula</t>
  </si>
  <si>
    <t>* PV function method will be a few dollars/pennies off, sometimes even a few $100 off.</t>
  </si>
  <si>
    <t>PV uses these periods:</t>
  </si>
  <si>
    <t>XNPV uses these periods:</t>
  </si>
  <si>
    <t>Unit Sales per year</t>
  </si>
  <si>
    <t>Relevant Costs</t>
  </si>
  <si>
    <t>Land (Bought 6 years ago)</t>
  </si>
  <si>
    <t>Sunk Cost</t>
  </si>
  <si>
    <t>Not Relevant</t>
  </si>
  <si>
    <t>Land MV today</t>
  </si>
  <si>
    <t>Relevant</t>
  </si>
  <si>
    <t>Cost Today - Cash Out</t>
  </si>
  <si>
    <t>Grading Before Land can be used</t>
  </si>
  <si>
    <t>Product</t>
  </si>
  <si>
    <t>Price</t>
  </si>
  <si>
    <t>Change If New Line Introduced</t>
  </si>
  <si>
    <t>Change in CF</t>
  </si>
  <si>
    <t>Old Product</t>
  </si>
  <si>
    <t>New Product</t>
  </si>
  <si>
    <t>VC as % of Sales</t>
  </si>
  <si>
    <t>Goal:</t>
  </si>
  <si>
    <t>What is annual OCF?</t>
  </si>
  <si>
    <t>Time</t>
  </si>
  <si>
    <t>Cost Savings Example / as opposed to a sales example. Both are Net Marginal Benefits</t>
  </si>
  <si>
    <t>Total CF</t>
  </si>
  <si>
    <t>Salvage for Depr</t>
  </si>
  <si>
    <t>Annual Depr Expense</t>
  </si>
  <si>
    <t>Sell Price at end of life</t>
  </si>
  <si>
    <t>Pre-taxed COST Savings per year (Like Cash In because it is a savings)</t>
  </si>
  <si>
    <t>Reduce NWC (positive Cash Flow at Beginning)</t>
  </si>
  <si>
    <t>VC</t>
  </si>
  <si>
    <t>Depre Ex</t>
  </si>
  <si>
    <t>Loss</t>
  </si>
  <si>
    <t>Cash Flow Out For Year 0 Asset (not including NWC)</t>
  </si>
  <si>
    <t>Build Manufacturing Plant on Land</t>
  </si>
  <si>
    <t>Market Study Cost</t>
  </si>
  <si>
    <t>D9 Bulldozer</t>
  </si>
  <si>
    <t>D9-Q Billdozer</t>
  </si>
  <si>
    <t>New Bulldozer</t>
  </si>
  <si>
    <t>Estimates Units Sold</t>
  </si>
  <si>
    <t>Total Relevant Sales Cash Flows</t>
  </si>
  <si>
    <t>Old Printing Machine</t>
  </si>
  <si>
    <t>New Printing Machine</t>
  </si>
  <si>
    <t>Erosion 1st Example</t>
  </si>
  <si>
    <t>Erosion 2nd Example</t>
  </si>
  <si>
    <t>If No interest OCF = NI + Depr</t>
  </si>
  <si>
    <t>(Sales - Costs)*(1-T) = Cash Flow Without Depr Depr*T = Depreciation tax shield = "Non-cash expense saves on our tax bill".</t>
  </si>
  <si>
    <t>Total Adjustment</t>
  </si>
  <si>
    <t>Adjustment to OCF</t>
  </si>
  <si>
    <r>
      <t xml:space="preserve">Total Cash Flow = </t>
    </r>
    <r>
      <rPr>
        <b/>
        <sz val="11"/>
        <color theme="1"/>
        <rFont val="Calibri"/>
        <family val="2"/>
        <scheme val="minor"/>
      </rPr>
      <t>OCF - NWC</t>
    </r>
    <r>
      <rPr>
        <sz val="11"/>
        <color theme="1"/>
        <rFont val="Calibri"/>
        <family val="2"/>
        <scheme val="minor"/>
      </rPr>
      <t xml:space="preserve"> - Cap Spending</t>
    </r>
  </si>
  <si>
    <t xml:space="preserve"> + ==&gt; already got tax savings</t>
  </si>
  <si>
    <t>Price Decrease After Year</t>
  </si>
  <si>
    <t>Total NWC needed</t>
  </si>
  <si>
    <t>Full Cash Flows At Time of Sale</t>
  </si>
  <si>
    <t>MACRS down zero</t>
  </si>
  <si>
    <t>NWC (time zero -, time last +)</t>
  </si>
  <si>
    <t>NI</t>
  </si>
  <si>
    <t xml:space="preserve">ProForma Income </t>
  </si>
  <si>
    <t>Pesimistic</t>
  </si>
  <si>
    <t>MS 365 Excel</t>
  </si>
  <si>
    <t>MS 365 Excel:</t>
  </si>
  <si>
    <t>Check NPV @ IRR:</t>
  </si>
  <si>
    <t>Check Payback</t>
  </si>
  <si>
    <t>MS 365:</t>
  </si>
  <si>
    <t>MS 365 Excel and Other Tricks:</t>
  </si>
  <si>
    <t>M S 365 Excel:</t>
  </si>
  <si>
    <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</si>
</sst>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22"/>
      <color theme="1"/>
      <name val="Calibri"/>
      <family val="2"/>
      <scheme val="minor"/>
    </font>
    <font>
      <b/>
      <sz val="20"/>
      <color theme="1"/>
      <name val="Calibri"/>
      <family val="2"/>
      <scheme val="minor"/>
    </font>
    <font>
      <b/>
      <sz val="24"/>
      <color theme="1"/>
      <name val="Calibri"/>
      <family val="2"/>
      <scheme val="minor"/>
    </font>
    <font>
      <b/>
      <sz val="20"/>
      <color theme="0"/>
      <name val="Calibri"/>
      <family val="2"/>
      <scheme val="minor"/>
    </font>
    <font>
      <sz val="12"/>
      <color theme="0"/>
      <name val="Calibri"/>
      <family val="2"/>
      <scheme val="minor"/>
    </font>
    <font>
      <sz val="12"/>
      <color theme="1"/>
      <name val="Calibri"/>
      <family val="2"/>
      <scheme val="minor"/>
    </font>
    <font>
      <sz val="18"/>
      <color theme="1"/>
      <name val="Calibri"/>
      <family val="2"/>
      <scheme val="minor"/>
    </font>
    <font>
      <b/>
      <sz val="14"/>
      <color theme="1"/>
      <name val="Calibri"/>
      <family val="2"/>
      <scheme val="minor"/>
    </font>
    <font>
      <b/>
      <sz val="20"/>
      <color rgb="FFFF0000"/>
      <name val="Calibri"/>
      <family val="2"/>
      <scheme val="minor"/>
    </font>
    <font>
      <sz val="20"/>
      <color rgb="FFFF0000"/>
      <name val="Wingdings"/>
      <charset val="2"/>
    </font>
  </fonts>
  <fills count="1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0000"/>
        <bgColor indexed="64"/>
      </patternFill>
    </fill>
    <fill>
      <patternFill patternType="solid">
        <fgColor rgb="FF99FF33"/>
        <bgColor indexed="64"/>
      </patternFill>
    </fill>
    <fill>
      <patternFill patternType="solid">
        <fgColor rgb="FF00B0F0"/>
        <bgColor indexed="64"/>
      </patternFill>
    </fill>
    <fill>
      <patternFill patternType="solid">
        <fgColor rgb="FF002060"/>
        <bgColor indexed="64"/>
      </patternFill>
    </fill>
    <fill>
      <patternFill patternType="solid">
        <fgColor rgb="FF0070C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00FF"/>
        <bgColor indexed="64"/>
      </patternFill>
    </fill>
    <fill>
      <patternFill patternType="solid">
        <fgColor rgb="FF00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ck">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51">
    <xf numFmtId="0" fontId="0" fillId="0" borderId="0" xfId="0"/>
    <xf numFmtId="0" fontId="0" fillId="0" borderId="1" xfId="0" applyBorder="1"/>
    <xf numFmtId="0" fontId="0" fillId="2" borderId="1" xfId="0" applyFill="1" applyBorder="1"/>
    <xf numFmtId="43" fontId="0" fillId="3" borderId="1" xfId="1" applyFont="1" applyFill="1" applyBorder="1"/>
    <xf numFmtId="43" fontId="0" fillId="0" borderId="1" xfId="1" applyFont="1" applyBorder="1"/>
    <xf numFmtId="0" fontId="2" fillId="4" borderId="1" xfId="0" applyFont="1" applyFill="1" applyBorder="1"/>
    <xf numFmtId="44" fontId="0" fillId="0" borderId="1" xfId="2" applyFont="1" applyBorder="1"/>
    <xf numFmtId="164" fontId="0" fillId="0" borderId="1" xfId="1" applyNumberFormat="1" applyFont="1" applyBorder="1"/>
    <xf numFmtId="44" fontId="0" fillId="0" borderId="0" xfId="0" applyNumberFormat="1"/>
    <xf numFmtId="10" fontId="0" fillId="0" borderId="0" xfId="0" applyNumberFormat="1"/>
    <xf numFmtId="0" fontId="0" fillId="0" borderId="1" xfId="2" applyNumberFormat="1" applyFont="1" applyBorder="1"/>
    <xf numFmtId="44" fontId="0" fillId="0" borderId="1" xfId="0" applyNumberFormat="1" applyBorder="1"/>
    <xf numFmtId="0" fontId="0" fillId="3" borderId="1" xfId="0" applyFill="1" applyBorder="1"/>
    <xf numFmtId="3" fontId="0" fillId="0" borderId="1" xfId="0" applyNumberFormat="1" applyBorder="1"/>
    <xf numFmtId="3" fontId="0" fillId="3" borderId="1" xfId="0" applyNumberFormat="1" applyFill="1" applyBorder="1"/>
    <xf numFmtId="0" fontId="0" fillId="0" borderId="0" xfId="0" applyAlignment="1">
      <alignment wrapText="1"/>
    </xf>
    <xf numFmtId="0" fontId="0" fillId="0" borderId="7" xfId="0" applyBorder="1"/>
    <xf numFmtId="8" fontId="0" fillId="0" borderId="1" xfId="0" applyNumberFormat="1" applyBorder="1"/>
    <xf numFmtId="0" fontId="2" fillId="7" borderId="0" xfId="0" applyFont="1" applyFill="1" applyAlignment="1">
      <alignment horizontal="centerContinuous" wrapText="1"/>
    </xf>
    <xf numFmtId="8" fontId="0" fillId="3" borderId="1" xfId="0" applyNumberFormat="1" applyFill="1" applyBorder="1"/>
    <xf numFmtId="0" fontId="2" fillId="7" borderId="1" xfId="0" applyFont="1" applyFill="1" applyBorder="1" applyAlignment="1">
      <alignment horizontal="centerContinuous" wrapText="1"/>
    </xf>
    <xf numFmtId="0" fontId="0" fillId="0" borderId="10" xfId="0" applyBorder="1"/>
    <xf numFmtId="0" fontId="3" fillId="0" borderId="8" xfId="0" applyFont="1" applyBorder="1"/>
    <xf numFmtId="0" fontId="3" fillId="0" borderId="1" xfId="0" applyFont="1" applyBorder="1"/>
    <xf numFmtId="0" fontId="3" fillId="0" borderId="6" xfId="0" applyFont="1" applyBorder="1"/>
    <xf numFmtId="8" fontId="0" fillId="3" borderId="8" xfId="0" applyNumberFormat="1" applyFill="1" applyBorder="1"/>
    <xf numFmtId="8" fontId="0" fillId="3" borderId="6" xfId="0" applyNumberFormat="1" applyFill="1" applyBorder="1"/>
    <xf numFmtId="40" fontId="0" fillId="3" borderId="10" xfId="0" applyNumberFormat="1" applyFill="1" applyBorder="1"/>
    <xf numFmtId="40" fontId="0" fillId="3" borderId="1" xfId="0" applyNumberFormat="1" applyFill="1" applyBorder="1"/>
    <xf numFmtId="165" fontId="0" fillId="3" borderId="1" xfId="0" applyNumberFormat="1" applyFill="1" applyBorder="1"/>
    <xf numFmtId="0" fontId="2" fillId="7" borderId="0" xfId="0" applyFont="1" applyFill="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9" xfId="0" applyBorder="1"/>
    <xf numFmtId="0" fontId="4" fillId="0" borderId="1" xfId="0" applyFont="1" applyBorder="1"/>
    <xf numFmtId="0" fontId="4" fillId="0" borderId="0" xfId="0" applyFont="1"/>
    <xf numFmtId="0" fontId="4" fillId="0" borderId="1" xfId="0" applyFont="1" applyBorder="1" applyAlignment="1">
      <alignment wrapText="1"/>
    </xf>
    <xf numFmtId="6" fontId="0" fillId="0" borderId="1" xfId="0" applyNumberFormat="1" applyBorder="1"/>
    <xf numFmtId="166" fontId="4" fillId="0" borderId="1" xfId="0" applyNumberFormat="1" applyFont="1" applyBorder="1"/>
    <xf numFmtId="166" fontId="4" fillId="3" borderId="1" xfId="0" applyNumberFormat="1" applyFont="1" applyFill="1" applyBorder="1"/>
    <xf numFmtId="166" fontId="0" fillId="0" borderId="1" xfId="0" applyNumberFormat="1" applyBorder="1"/>
    <xf numFmtId="166" fontId="2" fillId="7" borderId="1" xfId="0" applyNumberFormat="1" applyFont="1" applyFill="1" applyBorder="1" applyAlignment="1">
      <alignment horizontal="centerContinuous" wrapText="1"/>
    </xf>
    <xf numFmtId="0" fontId="2" fillId="4" borderId="11" xfId="0" applyFont="1" applyFill="1" applyBorder="1" applyAlignment="1">
      <alignment horizontal="centerContinuous" wrapText="1"/>
    </xf>
    <xf numFmtId="0" fontId="2" fillId="4" borderId="2" xfId="0" applyFont="1" applyFill="1" applyBorder="1" applyAlignment="1">
      <alignment horizontal="centerContinuous" wrapText="1"/>
    </xf>
    <xf numFmtId="0" fontId="2" fillId="4" borderId="12" xfId="0" applyFont="1" applyFill="1" applyBorder="1" applyAlignment="1">
      <alignment horizontal="centerContinuous" wrapText="1"/>
    </xf>
    <xf numFmtId="0" fontId="2" fillId="7" borderId="13" xfId="0" applyFont="1" applyFill="1" applyBorder="1" applyAlignment="1">
      <alignment horizontal="centerContinuous" wrapText="1"/>
    </xf>
    <xf numFmtId="0" fontId="2" fillId="7" borderId="14" xfId="0" applyFont="1" applyFill="1" applyBorder="1" applyAlignment="1">
      <alignment horizontal="centerContinuous" wrapText="1"/>
    </xf>
    <xf numFmtId="0" fontId="0" fillId="0" borderId="13" xfId="0" applyBorder="1"/>
    <xf numFmtId="0" fontId="0" fillId="0" borderId="14" xfId="0" applyBorder="1"/>
    <xf numFmtId="166" fontId="0" fillId="0" borderId="14" xfId="0" applyNumberFormat="1" applyBorder="1"/>
    <xf numFmtId="0" fontId="0" fillId="0" borderId="13" xfId="0" applyBorder="1" applyAlignment="1">
      <alignment horizontal="left" indent="1"/>
    </xf>
    <xf numFmtId="166" fontId="2" fillId="7" borderId="14" xfId="0" applyNumberFormat="1" applyFont="1" applyFill="1" applyBorder="1" applyAlignment="1">
      <alignment horizontal="centerContinuous" wrapText="1"/>
    </xf>
    <xf numFmtId="0" fontId="0" fillId="0" borderId="15" xfId="0" applyBorder="1" applyAlignment="1">
      <alignment horizontal="left" indent="1"/>
    </xf>
    <xf numFmtId="166" fontId="0" fillId="0" borderId="16" xfId="0" applyNumberFormat="1" applyBorder="1"/>
    <xf numFmtId="166" fontId="0" fillId="0" borderId="17" xfId="0" applyNumberFormat="1" applyBorder="1"/>
    <xf numFmtId="0" fontId="2" fillId="4" borderId="7" xfId="0" applyFont="1" applyFill="1" applyBorder="1" applyAlignment="1">
      <alignment horizontal="centerContinuous" wrapText="1"/>
    </xf>
    <xf numFmtId="0" fontId="5" fillId="0" borderId="0" xfId="3" applyAlignment="1">
      <alignment horizontal="center" vertical="center" wrapText="1"/>
    </xf>
    <xf numFmtId="0" fontId="0" fillId="0" borderId="0" xfId="0" applyAlignment="1">
      <alignment vertical="center" wrapText="1"/>
    </xf>
    <xf numFmtId="0" fontId="5" fillId="0" borderId="1" xfId="3"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0" fillId="0" borderId="0" xfId="0" applyAlignment="1">
      <alignment horizontal="left" vertical="center" indent="1"/>
    </xf>
    <xf numFmtId="17" fontId="0" fillId="0" borderId="0" xfId="0" applyNumberFormat="1" applyAlignment="1">
      <alignment vertical="center" wrapText="1"/>
    </xf>
    <xf numFmtId="0" fontId="2" fillId="8" borderId="1" xfId="0" applyFont="1" applyFill="1" applyBorder="1"/>
    <xf numFmtId="0" fontId="2" fillId="7" borderId="1" xfId="0" applyFont="1" applyFill="1" applyBorder="1"/>
    <xf numFmtId="0" fontId="2" fillId="8" borderId="1" xfId="0" applyFont="1" applyFill="1" applyBorder="1" applyAlignment="1">
      <alignment horizontal="centerContinuous" wrapText="1"/>
    </xf>
    <xf numFmtId="0" fontId="0" fillId="6" borderId="1" xfId="0" applyFill="1" applyBorder="1"/>
    <xf numFmtId="9" fontId="0" fillId="0" borderId="1" xfId="0" applyNumberFormat="1" applyBorder="1"/>
    <xf numFmtId="164" fontId="0" fillId="3" borderId="1" xfId="0" applyNumberFormat="1" applyFill="1" applyBorder="1"/>
    <xf numFmtId="6" fontId="0" fillId="3" borderId="1" xfId="0" applyNumberFormat="1" applyFill="1" applyBorder="1"/>
    <xf numFmtId="6" fontId="4" fillId="5" borderId="1" xfId="0" applyNumberFormat="1" applyFont="1" applyFill="1" applyBorder="1"/>
    <xf numFmtId="0" fontId="4" fillId="5" borderId="1" xfId="0" applyFont="1" applyFill="1" applyBorder="1" applyAlignment="1">
      <alignment wrapText="1"/>
    </xf>
    <xf numFmtId="0" fontId="3" fillId="0" borderId="3" xfId="0" applyFont="1" applyBorder="1"/>
    <xf numFmtId="0" fontId="0" fillId="0" borderId="3" xfId="0" applyBorder="1"/>
    <xf numFmtId="166" fontId="0" fillId="3" borderId="1" xfId="0" applyNumberFormat="1" applyFill="1" applyBorder="1"/>
    <xf numFmtId="3" fontId="4" fillId="5" borderId="1" xfId="0" applyNumberFormat="1" applyFont="1" applyFill="1" applyBorder="1"/>
    <xf numFmtId="0" fontId="2" fillId="7" borderId="5" xfId="0" applyFont="1" applyFill="1" applyBorder="1" applyAlignment="1">
      <alignment wrapText="1"/>
    </xf>
    <xf numFmtId="10" fontId="0" fillId="3" borderId="1" xfId="0" applyNumberFormat="1" applyFill="1" applyBorder="1"/>
    <xf numFmtId="2" fontId="0" fillId="3" borderId="1" xfId="0" applyNumberFormat="1" applyFill="1" applyBorder="1"/>
    <xf numFmtId="3" fontId="0" fillId="0" borderId="1" xfId="1" applyNumberFormat="1" applyFont="1" applyBorder="1"/>
    <xf numFmtId="2" fontId="0" fillId="0" borderId="0" xfId="0" applyNumberFormat="1"/>
    <xf numFmtId="0" fontId="0" fillId="0" borderId="1" xfId="4" applyNumberFormat="1" applyFont="1" applyBorder="1"/>
    <xf numFmtId="44" fontId="0" fillId="3" borderId="1" xfId="2" applyFont="1" applyFill="1" applyBorder="1"/>
    <xf numFmtId="44" fontId="0" fillId="3" borderId="1" xfId="0" applyNumberFormat="1" applyFill="1" applyBorder="1"/>
    <xf numFmtId="0" fontId="6" fillId="0" borderId="0" xfId="0" applyFont="1"/>
    <xf numFmtId="0" fontId="2" fillId="7" borderId="8" xfId="0" applyFont="1" applyFill="1" applyBorder="1"/>
    <xf numFmtId="0" fontId="0" fillId="0" borderId="7" xfId="0" applyBorder="1" applyAlignment="1">
      <alignment horizontal="centerContinuous" wrapText="1"/>
    </xf>
    <xf numFmtId="10" fontId="0" fillId="0" borderId="18" xfId="0" applyNumberFormat="1" applyBorder="1" applyAlignment="1">
      <alignment horizontal="centerContinuous" wrapText="1"/>
    </xf>
    <xf numFmtId="0" fontId="0" fillId="0" borderId="18" xfId="0" applyBorder="1" applyAlignment="1">
      <alignment horizontal="centerContinuous" wrapText="1"/>
    </xf>
    <xf numFmtId="10" fontId="0" fillId="0" borderId="9" xfId="0" applyNumberFormat="1" applyBorder="1" applyAlignment="1">
      <alignment horizontal="centerContinuous" wrapText="1"/>
    </xf>
    <xf numFmtId="0" fontId="0" fillId="0" borderId="1" xfId="0" applyBorder="1" applyAlignment="1">
      <alignment horizontal="centerContinuous" wrapText="1"/>
    </xf>
    <xf numFmtId="0" fontId="2" fillId="7" borderId="9" xfId="0" applyFont="1" applyFill="1" applyBorder="1"/>
    <xf numFmtId="0" fontId="0" fillId="0" borderId="1" xfId="0" applyBorder="1" applyAlignment="1">
      <alignment horizontal="left" indent="1"/>
    </xf>
    <xf numFmtId="0" fontId="0" fillId="0" borderId="0" xfId="0" applyAlignment="1">
      <alignment horizontal="left" indent="1"/>
    </xf>
    <xf numFmtId="0" fontId="3" fillId="0" borderId="0" xfId="0" applyFont="1"/>
    <xf numFmtId="0" fontId="7" fillId="0" borderId="0" xfId="0" applyFont="1"/>
    <xf numFmtId="14" fontId="0" fillId="0" borderId="1" xfId="0" applyNumberFormat="1" applyBorder="1"/>
    <xf numFmtId="44" fontId="1" fillId="0" borderId="1" xfId="2" applyFont="1" applyBorder="1"/>
    <xf numFmtId="44" fontId="1" fillId="9" borderId="1" xfId="2" applyFont="1" applyFill="1" applyBorder="1"/>
    <xf numFmtId="14" fontId="0" fillId="10" borderId="1" xfId="0" applyNumberFormat="1" applyFill="1" applyBorder="1"/>
    <xf numFmtId="44" fontId="1" fillId="2" borderId="1" xfId="2" applyFont="1" applyFill="1" applyBorder="1"/>
    <xf numFmtId="0" fontId="2" fillId="7" borderId="19" xfId="0" applyFont="1" applyFill="1" applyBorder="1"/>
    <xf numFmtId="0" fontId="2" fillId="7" borderId="3" xfId="0" applyFont="1" applyFill="1" applyBorder="1"/>
    <xf numFmtId="14" fontId="0" fillId="12" borderId="1" xfId="0" applyNumberFormat="1" applyFill="1" applyBorder="1"/>
    <xf numFmtId="0" fontId="0" fillId="12" borderId="1" xfId="0" applyFill="1" applyBorder="1"/>
    <xf numFmtId="14" fontId="0" fillId="2" borderId="1" xfId="0" applyNumberFormat="1" applyFill="1" applyBorder="1"/>
    <xf numFmtId="14" fontId="0" fillId="11" borderId="1" xfId="0" applyNumberFormat="1" applyFill="1" applyBorder="1"/>
    <xf numFmtId="0" fontId="0" fillId="11" borderId="1" xfId="0" applyFill="1" applyBorder="1"/>
    <xf numFmtId="8" fontId="0" fillId="3" borderId="1" xfId="2" applyNumberFormat="1" applyFont="1" applyFill="1" applyBorder="1"/>
    <xf numFmtId="0" fontId="2" fillId="7" borderId="0" xfId="0" applyFont="1" applyFill="1"/>
    <xf numFmtId="0" fontId="8" fillId="0" borderId="0" xfId="0" applyFont="1"/>
    <xf numFmtId="44" fontId="0" fillId="0" borderId="7" xfId="2" applyFont="1" applyBorder="1"/>
    <xf numFmtId="164" fontId="0" fillId="0" borderId="7" xfId="1" applyNumberFormat="1" applyFont="1" applyBorder="1"/>
    <xf numFmtId="0" fontId="2" fillId="8" borderId="7" xfId="0" applyFont="1" applyFill="1" applyBorder="1"/>
    <xf numFmtId="0" fontId="2" fillId="8" borderId="20" xfId="0" applyFont="1" applyFill="1" applyBorder="1"/>
    <xf numFmtId="44" fontId="0" fillId="3" borderId="3" xfId="2" applyFont="1" applyFill="1" applyBorder="1"/>
    <xf numFmtId="0" fontId="2" fillId="8" borderId="21" xfId="0" applyFont="1" applyFill="1" applyBorder="1"/>
    <xf numFmtId="44" fontId="0" fillId="3" borderId="4" xfId="2" applyFont="1" applyFill="1" applyBorder="1"/>
    <xf numFmtId="44" fontId="4" fillId="3" borderId="1" xfId="2" applyFont="1" applyFill="1" applyBorder="1"/>
    <xf numFmtId="0" fontId="9" fillId="4" borderId="0" xfId="0" applyFont="1" applyFill="1"/>
    <xf numFmtId="0" fontId="9" fillId="13" borderId="0" xfId="0" applyFont="1" applyFill="1"/>
    <xf numFmtId="0" fontId="7" fillId="14" borderId="0" xfId="0" applyFont="1" applyFill="1"/>
    <xf numFmtId="0" fontId="10" fillId="7" borderId="1" xfId="0" applyFont="1" applyFill="1" applyBorder="1"/>
    <xf numFmtId="10" fontId="11" fillId="0" borderId="1" xfId="4" applyNumberFormat="1" applyFont="1" applyBorder="1"/>
    <xf numFmtId="3" fontId="2" fillId="4" borderId="1" xfId="0" applyNumberFormat="1" applyFont="1" applyFill="1" applyBorder="1"/>
    <xf numFmtId="0" fontId="2" fillId="13" borderId="1" xfId="0" applyFont="1" applyFill="1" applyBorder="1"/>
    <xf numFmtId="3" fontId="2" fillId="13" borderId="1" xfId="0" applyNumberFormat="1" applyFont="1" applyFill="1" applyBorder="1"/>
    <xf numFmtId="0" fontId="4" fillId="14" borderId="1" xfId="0" applyFont="1" applyFill="1" applyBorder="1"/>
    <xf numFmtId="3" fontId="4" fillId="14" borderId="1" xfId="0" applyNumberFormat="1" applyFont="1" applyFill="1" applyBorder="1"/>
    <xf numFmtId="44" fontId="2" fillId="4" borderId="1" xfId="2" applyFont="1" applyFill="1" applyBorder="1"/>
    <xf numFmtId="44" fontId="2" fillId="13" borderId="1" xfId="2" applyFont="1" applyFill="1" applyBorder="1"/>
    <xf numFmtId="44" fontId="4" fillId="14" borderId="1" xfId="2" applyFont="1" applyFill="1" applyBorder="1"/>
    <xf numFmtId="0" fontId="12" fillId="3" borderId="7" xfId="0" applyFont="1" applyFill="1" applyBorder="1" applyAlignment="1">
      <alignment horizontal="centerContinuous" wrapText="1"/>
    </xf>
    <xf numFmtId="0" fontId="12" fillId="3" borderId="18" xfId="0" applyFont="1" applyFill="1" applyBorder="1" applyAlignment="1">
      <alignment horizontal="centerContinuous" wrapText="1"/>
    </xf>
    <xf numFmtId="0" fontId="12" fillId="3" borderId="9" xfId="0" applyFont="1" applyFill="1" applyBorder="1" applyAlignment="1">
      <alignment horizontal="centerContinuous" wrapText="1"/>
    </xf>
    <xf numFmtId="0" fontId="2" fillId="7" borderId="3" xfId="0" applyFont="1" applyFill="1" applyBorder="1" applyAlignment="1">
      <alignment wrapText="1"/>
    </xf>
    <xf numFmtId="8" fontId="0" fillId="3" borderId="3" xfId="0" applyNumberFormat="1" applyFill="1" applyBorder="1"/>
    <xf numFmtId="8" fontId="0" fillId="3" borderId="10" xfId="0" applyNumberFormat="1" applyFill="1" applyBorder="1"/>
    <xf numFmtId="6" fontId="0" fillId="3" borderId="1" xfId="2" applyNumberFormat="1" applyFont="1" applyFill="1" applyBorder="1"/>
    <xf numFmtId="0" fontId="13" fillId="0" borderId="0" xfId="0" applyFont="1"/>
    <xf numFmtId="0" fontId="10" fillId="7" borderId="1" xfId="0" applyFont="1" applyFill="1" applyBorder="1" applyAlignment="1">
      <alignment wrapText="1"/>
    </xf>
    <xf numFmtId="0" fontId="2" fillId="4" borderId="0" xfId="0" applyFont="1" applyFill="1"/>
    <xf numFmtId="0" fontId="0" fillId="3" borderId="1" xfId="2" applyNumberFormat="1" applyFont="1" applyFill="1" applyBorder="1"/>
    <xf numFmtId="164" fontId="0" fillId="0" borderId="0" xfId="0" applyNumberFormat="1"/>
    <xf numFmtId="14" fontId="0" fillId="0" borderId="0" xfId="0" applyNumberFormat="1"/>
    <xf numFmtId="0" fontId="14" fillId="0" borderId="0" xfId="0" applyFont="1"/>
    <xf numFmtId="0" fontId="15" fillId="0" borderId="0" xfId="0" applyFont="1"/>
    <xf numFmtId="0" fontId="0" fillId="12" borderId="1" xfId="0" applyFill="1" applyBorder="1" applyAlignment="1">
      <alignment horizontal="center" vertical="center" textRotation="90"/>
    </xf>
    <xf numFmtId="0" fontId="0" fillId="2" borderId="1" xfId="0" applyFill="1" applyBorder="1" applyAlignment="1">
      <alignment horizontal="center" vertical="center" textRotation="90"/>
    </xf>
    <xf numFmtId="0" fontId="0" fillId="11" borderId="1" xfId="0" applyFill="1" applyBorder="1" applyAlignment="1">
      <alignment horizontal="center" vertical="center" textRotation="90"/>
    </xf>
    <xf numFmtId="0" fontId="0" fillId="0" borderId="1" xfId="0" applyBorder="1" applyAlignment="1">
      <alignment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CCFFCC"/>
      <color rgb="FF0000FF"/>
      <color rgb="FF99FF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'Ex(1)'!$M$12</c:f>
              <c:strCache>
                <c:ptCount val="1"/>
                <c:pt idx="0">
                  <c:v>NPV A</c:v>
                </c:pt>
              </c:strCache>
            </c:strRef>
          </c:tx>
          <c:spPr>
            <a:ln>
              <a:noFill/>
            </a:ln>
          </c:spPr>
          <c:marker>
            <c:symbol val="none"/>
          </c:marker>
          <c:xVal>
            <c:numRef>
              <c:f>'Ex(1)'!$L$13:$L$17</c:f>
              <c:numCache>
                <c:formatCode>General</c:formatCode>
                <c:ptCount val="5"/>
                <c:pt idx="0">
                  <c:v>0</c:v>
                </c:pt>
                <c:pt idx="1">
                  <c:v>0.05</c:v>
                </c:pt>
                <c:pt idx="2">
                  <c:v>0.1</c:v>
                </c:pt>
                <c:pt idx="3">
                  <c:v>0.15</c:v>
                </c:pt>
                <c:pt idx="4">
                  <c:v>0.2</c:v>
                </c:pt>
              </c:numCache>
            </c:numRef>
          </c:xVal>
          <c:yVal>
            <c:numRef>
              <c:f>'Ex(1)'!$M$13:$M$17</c:f>
              <c:numCache>
                <c:formatCode>"$"#,##0.00_);[Red]\("$"#,##0.00\)</c:formatCode>
                <c:ptCount val="5"/>
                <c:pt idx="0">
                  <c:v>5000</c:v>
                </c:pt>
                <c:pt idx="1">
                  <c:v>3203.1149572451795</c:v>
                </c:pt>
                <c:pt idx="2">
                  <c:v>1670.9924185506425</c:v>
                </c:pt>
                <c:pt idx="3">
                  <c:v>352.71815066413183</c:v>
                </c:pt>
                <c:pt idx="4">
                  <c:v>-790.89506172839356</c:v>
                </c:pt>
              </c:numCache>
            </c:numRef>
          </c:yVal>
          <c:smooth val="1"/>
          <c:extLst>
            <c:ext xmlns:c16="http://schemas.microsoft.com/office/drawing/2014/chart" uri="{C3380CC4-5D6E-409C-BE32-E72D297353CC}">
              <c16:uniqueId val="{00000000-5888-4865-9A23-344914E8F15B}"/>
            </c:ext>
          </c:extLst>
        </c:ser>
        <c:ser>
          <c:idx val="1"/>
          <c:order val="1"/>
          <c:tx>
            <c:strRef>
              <c:f>'Ex(1)'!$N$12</c:f>
              <c:strCache>
                <c:ptCount val="1"/>
                <c:pt idx="0">
                  <c:v>NPV B</c:v>
                </c:pt>
              </c:strCache>
            </c:strRef>
          </c:tx>
          <c:spPr>
            <a:ln>
              <a:noFill/>
            </a:ln>
          </c:spPr>
          <c:marker>
            <c:symbol val="none"/>
          </c:marker>
          <c:xVal>
            <c:numRef>
              <c:f>'Ex(1)'!$L$13:$L$17</c:f>
              <c:numCache>
                <c:formatCode>General</c:formatCode>
                <c:ptCount val="5"/>
                <c:pt idx="0">
                  <c:v>0</c:v>
                </c:pt>
                <c:pt idx="1">
                  <c:v>0.05</c:v>
                </c:pt>
                <c:pt idx="2">
                  <c:v>0.1</c:v>
                </c:pt>
                <c:pt idx="3">
                  <c:v>0.15</c:v>
                </c:pt>
                <c:pt idx="4">
                  <c:v>0.2</c:v>
                </c:pt>
              </c:numCache>
            </c:numRef>
          </c:xVal>
          <c:yVal>
            <c:numRef>
              <c:f>'Ex(1)'!$N$13:$N$17</c:f>
              <c:numCache>
                <c:formatCode>"$"#,##0.00_);[Red]\("$"#,##0.00\)</c:formatCode>
                <c:ptCount val="5"/>
                <c:pt idx="0">
                  <c:v>5000</c:v>
                </c:pt>
                <c:pt idx="1">
                  <c:v>2252.1737341951157</c:v>
                </c:pt>
                <c:pt idx="2">
                  <c:v>13.318762379616601</c:v>
                </c:pt>
                <c:pt idx="3">
                  <c:v>-1830.5930867885672</c:v>
                </c:pt>
                <c:pt idx="4">
                  <c:v>-3364.1975308641959</c:v>
                </c:pt>
              </c:numCache>
            </c:numRef>
          </c:yVal>
          <c:smooth val="1"/>
          <c:extLst>
            <c:ext xmlns:c16="http://schemas.microsoft.com/office/drawing/2014/chart" uri="{C3380CC4-5D6E-409C-BE32-E72D297353CC}">
              <c16:uniqueId val="{00000001-5888-4865-9A23-344914E8F15B}"/>
            </c:ext>
          </c:extLst>
        </c:ser>
        <c:dLbls>
          <c:showLegendKey val="0"/>
          <c:showVal val="0"/>
          <c:showCatName val="0"/>
          <c:showSerName val="0"/>
          <c:showPercent val="0"/>
          <c:showBubbleSize val="0"/>
        </c:dLbls>
        <c:axId val="721940416"/>
        <c:axId val="721940992"/>
      </c:scatterChart>
      <c:valAx>
        <c:axId val="721940416"/>
        <c:scaling>
          <c:orientation val="minMax"/>
        </c:scaling>
        <c:delete val="1"/>
        <c:axPos val="b"/>
        <c:title>
          <c:tx>
            <c:rich>
              <a:bodyPr/>
              <a:lstStyle/>
              <a:p>
                <a:pPr>
                  <a:defRPr/>
                </a:pPr>
                <a:r>
                  <a:rPr lang="en-US"/>
                  <a:t>RRR</a:t>
                </a:r>
              </a:p>
            </c:rich>
          </c:tx>
          <c:overlay val="0"/>
        </c:title>
        <c:numFmt formatCode="General" sourceLinked="1"/>
        <c:majorTickMark val="out"/>
        <c:minorTickMark val="none"/>
        <c:tickLblPos val="nextTo"/>
        <c:crossAx val="721940992"/>
        <c:crosses val="autoZero"/>
        <c:crossBetween val="midCat"/>
      </c:valAx>
      <c:valAx>
        <c:axId val="721940992"/>
        <c:scaling>
          <c:orientation val="minMax"/>
        </c:scaling>
        <c:delete val="0"/>
        <c:axPos val="l"/>
        <c:majorGridlines/>
        <c:title>
          <c:tx>
            <c:rich>
              <a:bodyPr rot="-5400000" vert="horz"/>
              <a:lstStyle/>
              <a:p>
                <a:pPr>
                  <a:defRPr/>
                </a:pPr>
                <a:r>
                  <a:rPr lang="en-US"/>
                  <a:t>NPV</a:t>
                </a:r>
              </a:p>
            </c:rich>
          </c:tx>
          <c:overlay val="0"/>
        </c:title>
        <c:numFmt formatCode="&quot;$&quot;#,##0.00_);[Red]\(&quot;$&quot;#,##0.00\)" sourceLinked="1"/>
        <c:majorTickMark val="out"/>
        <c:minorTickMark val="none"/>
        <c:tickLblPos val="nextTo"/>
        <c:crossAx val="72194041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'Ex(1an)'!$M$4</c:f>
              <c:strCache>
                <c:ptCount val="1"/>
                <c:pt idx="0">
                  <c:v>NPV A</c:v>
                </c:pt>
              </c:strCache>
            </c:strRef>
          </c:tx>
          <c:spPr>
            <a:ln>
              <a:noFill/>
            </a:ln>
          </c:spPr>
          <c:marker>
            <c:symbol val="none"/>
          </c:marker>
          <c:xVal>
            <c:numRef>
              <c:f>'Ex(1an)'!$L$5:$L$9</c:f>
              <c:numCache>
                <c:formatCode>General</c:formatCode>
                <c:ptCount val="5"/>
                <c:pt idx="0">
                  <c:v>0</c:v>
                </c:pt>
                <c:pt idx="1">
                  <c:v>0.05</c:v>
                </c:pt>
                <c:pt idx="2">
                  <c:v>0.1</c:v>
                </c:pt>
                <c:pt idx="3">
                  <c:v>0.15</c:v>
                </c:pt>
                <c:pt idx="4">
                  <c:v>0.2</c:v>
                </c:pt>
              </c:numCache>
            </c:numRef>
          </c:xVal>
          <c:yVal>
            <c:numRef>
              <c:f>'Ex(1an)'!$M$5:$M$9</c:f>
              <c:numCache>
                <c:formatCode>"$"#,##0.00_);[Red]\("$"#,##0.00\)</c:formatCode>
                <c:ptCount val="5"/>
                <c:pt idx="0">
                  <c:v>5000</c:v>
                </c:pt>
                <c:pt idx="1">
                  <c:v>3203.1149572451795</c:v>
                </c:pt>
                <c:pt idx="2">
                  <c:v>1670.9924185506425</c:v>
                </c:pt>
                <c:pt idx="3">
                  <c:v>352.71815066413183</c:v>
                </c:pt>
                <c:pt idx="4">
                  <c:v>-790.89506172839356</c:v>
                </c:pt>
              </c:numCache>
            </c:numRef>
          </c:yVal>
          <c:smooth val="1"/>
          <c:extLst>
            <c:ext xmlns:c16="http://schemas.microsoft.com/office/drawing/2014/chart" uri="{C3380CC4-5D6E-409C-BE32-E72D297353CC}">
              <c16:uniqueId val="{00000000-8F6A-4012-AA15-BD9CBAC3D84E}"/>
            </c:ext>
          </c:extLst>
        </c:ser>
        <c:ser>
          <c:idx val="1"/>
          <c:order val="1"/>
          <c:tx>
            <c:strRef>
              <c:f>'Ex(1an)'!$N$4</c:f>
              <c:strCache>
                <c:ptCount val="1"/>
                <c:pt idx="0">
                  <c:v>NPV B</c:v>
                </c:pt>
              </c:strCache>
            </c:strRef>
          </c:tx>
          <c:spPr>
            <a:ln>
              <a:noFill/>
            </a:ln>
          </c:spPr>
          <c:marker>
            <c:symbol val="none"/>
          </c:marker>
          <c:xVal>
            <c:numRef>
              <c:f>'Ex(1an)'!$L$5:$L$9</c:f>
              <c:numCache>
                <c:formatCode>General</c:formatCode>
                <c:ptCount val="5"/>
                <c:pt idx="0">
                  <c:v>0</c:v>
                </c:pt>
                <c:pt idx="1">
                  <c:v>0.05</c:v>
                </c:pt>
                <c:pt idx="2">
                  <c:v>0.1</c:v>
                </c:pt>
                <c:pt idx="3">
                  <c:v>0.15</c:v>
                </c:pt>
                <c:pt idx="4">
                  <c:v>0.2</c:v>
                </c:pt>
              </c:numCache>
            </c:numRef>
          </c:xVal>
          <c:yVal>
            <c:numRef>
              <c:f>'Ex(1an)'!$N$5:$N$9</c:f>
              <c:numCache>
                <c:formatCode>"$"#,##0.00_);[Red]\("$"#,##0.00\)</c:formatCode>
                <c:ptCount val="5"/>
                <c:pt idx="0">
                  <c:v>5000</c:v>
                </c:pt>
                <c:pt idx="1">
                  <c:v>2252.1737341951157</c:v>
                </c:pt>
                <c:pt idx="2">
                  <c:v>13.318762379616601</c:v>
                </c:pt>
                <c:pt idx="3">
                  <c:v>-1830.5930867885672</c:v>
                </c:pt>
                <c:pt idx="4">
                  <c:v>-3364.1975308641959</c:v>
                </c:pt>
              </c:numCache>
            </c:numRef>
          </c:yVal>
          <c:smooth val="1"/>
          <c:extLst>
            <c:ext xmlns:c16="http://schemas.microsoft.com/office/drawing/2014/chart" uri="{C3380CC4-5D6E-409C-BE32-E72D297353CC}">
              <c16:uniqueId val="{00000001-8F6A-4012-AA15-BD9CBAC3D84E}"/>
            </c:ext>
          </c:extLst>
        </c:ser>
        <c:dLbls>
          <c:showLegendKey val="0"/>
          <c:showVal val="0"/>
          <c:showCatName val="0"/>
          <c:showSerName val="0"/>
          <c:showPercent val="0"/>
          <c:showBubbleSize val="0"/>
        </c:dLbls>
        <c:axId val="721943296"/>
        <c:axId val="721943872"/>
      </c:scatterChart>
      <c:valAx>
        <c:axId val="721943296"/>
        <c:scaling>
          <c:orientation val="minMax"/>
        </c:scaling>
        <c:delete val="1"/>
        <c:axPos val="b"/>
        <c:title>
          <c:tx>
            <c:rich>
              <a:bodyPr/>
              <a:lstStyle/>
              <a:p>
                <a:pPr>
                  <a:defRPr/>
                </a:pPr>
                <a:r>
                  <a:rPr lang="en-US"/>
                  <a:t>RRR</a:t>
                </a:r>
              </a:p>
            </c:rich>
          </c:tx>
          <c:overlay val="0"/>
        </c:title>
        <c:numFmt formatCode="General" sourceLinked="1"/>
        <c:majorTickMark val="out"/>
        <c:minorTickMark val="none"/>
        <c:tickLblPos val="nextTo"/>
        <c:crossAx val="721943872"/>
        <c:crosses val="autoZero"/>
        <c:crossBetween val="midCat"/>
      </c:valAx>
      <c:valAx>
        <c:axId val="721943872"/>
        <c:scaling>
          <c:orientation val="minMax"/>
        </c:scaling>
        <c:delete val="0"/>
        <c:axPos val="l"/>
        <c:majorGridlines/>
        <c:title>
          <c:tx>
            <c:rich>
              <a:bodyPr rot="-5400000" vert="horz"/>
              <a:lstStyle/>
              <a:p>
                <a:pPr>
                  <a:defRPr/>
                </a:pPr>
                <a:r>
                  <a:rPr lang="en-US"/>
                  <a:t>NPV</a:t>
                </a:r>
              </a:p>
            </c:rich>
          </c:tx>
          <c:overlay val="0"/>
        </c:title>
        <c:numFmt formatCode="&quot;$&quot;#,##0.00_);[Red]\(&quot;$&quot;#,##0.00\)" sourceLinked="1"/>
        <c:majorTickMark val="out"/>
        <c:minorTickMark val="none"/>
        <c:tickLblPos val="nextTo"/>
        <c:crossAx val="72194329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'Ex(1an)'!$C$12</c:f>
              <c:strCache>
                <c:ptCount val="1"/>
                <c:pt idx="0">
                  <c:v>NPV A</c:v>
                </c:pt>
              </c:strCache>
            </c:strRef>
          </c:tx>
          <c:marker>
            <c:symbol val="none"/>
          </c:marker>
          <c:xVal>
            <c:numRef>
              <c:f>'Ex(1an)'!$B$13:$B$17</c:f>
              <c:numCache>
                <c:formatCode>General</c:formatCode>
                <c:ptCount val="5"/>
                <c:pt idx="0">
                  <c:v>0</c:v>
                </c:pt>
                <c:pt idx="1">
                  <c:v>0.05</c:v>
                </c:pt>
                <c:pt idx="2">
                  <c:v>0.1</c:v>
                </c:pt>
                <c:pt idx="3">
                  <c:v>0.15</c:v>
                </c:pt>
                <c:pt idx="4">
                  <c:v>0.2</c:v>
                </c:pt>
              </c:numCache>
            </c:numRef>
          </c:xVal>
          <c:yVal>
            <c:numRef>
              <c:f>'Ex(1an)'!$C$13:$C$17</c:f>
              <c:numCache>
                <c:formatCode>"$"#,##0.00_);[Red]\("$"#,##0.00\)</c:formatCode>
                <c:ptCount val="5"/>
                <c:pt idx="0">
                  <c:v>5000</c:v>
                </c:pt>
                <c:pt idx="1">
                  <c:v>3203.1149572451795</c:v>
                </c:pt>
                <c:pt idx="2">
                  <c:v>1670.9924185506425</c:v>
                </c:pt>
                <c:pt idx="3">
                  <c:v>352.71815066413183</c:v>
                </c:pt>
                <c:pt idx="4">
                  <c:v>-790.89506172839356</c:v>
                </c:pt>
              </c:numCache>
            </c:numRef>
          </c:yVal>
          <c:smooth val="1"/>
          <c:extLst>
            <c:ext xmlns:c16="http://schemas.microsoft.com/office/drawing/2014/chart" uri="{C3380CC4-5D6E-409C-BE32-E72D297353CC}">
              <c16:uniqueId val="{00000000-D0F7-4C27-A498-1C0829880B5F}"/>
            </c:ext>
          </c:extLst>
        </c:ser>
        <c:ser>
          <c:idx val="1"/>
          <c:order val="1"/>
          <c:tx>
            <c:strRef>
              <c:f>'Ex(1an)'!$D$12</c:f>
              <c:strCache>
                <c:ptCount val="1"/>
                <c:pt idx="0">
                  <c:v>NPV B</c:v>
                </c:pt>
              </c:strCache>
            </c:strRef>
          </c:tx>
          <c:marker>
            <c:symbol val="none"/>
          </c:marker>
          <c:xVal>
            <c:numRef>
              <c:f>'Ex(1an)'!$B$13:$B$17</c:f>
              <c:numCache>
                <c:formatCode>General</c:formatCode>
                <c:ptCount val="5"/>
                <c:pt idx="0">
                  <c:v>0</c:v>
                </c:pt>
                <c:pt idx="1">
                  <c:v>0.05</c:v>
                </c:pt>
                <c:pt idx="2">
                  <c:v>0.1</c:v>
                </c:pt>
                <c:pt idx="3">
                  <c:v>0.15</c:v>
                </c:pt>
                <c:pt idx="4">
                  <c:v>0.2</c:v>
                </c:pt>
              </c:numCache>
            </c:numRef>
          </c:xVal>
          <c:yVal>
            <c:numRef>
              <c:f>'Ex(1an)'!$D$13:$D$17</c:f>
              <c:numCache>
                <c:formatCode>"$"#,##0.00_);[Red]\("$"#,##0.00\)</c:formatCode>
                <c:ptCount val="5"/>
                <c:pt idx="0">
                  <c:v>5000</c:v>
                </c:pt>
                <c:pt idx="1">
                  <c:v>2252.1737341951157</c:v>
                </c:pt>
                <c:pt idx="2">
                  <c:v>13.318762379616601</c:v>
                </c:pt>
                <c:pt idx="3">
                  <c:v>-1830.5930867885672</c:v>
                </c:pt>
                <c:pt idx="4">
                  <c:v>-3364.1975308641959</c:v>
                </c:pt>
              </c:numCache>
            </c:numRef>
          </c:yVal>
          <c:smooth val="1"/>
          <c:extLst>
            <c:ext xmlns:c16="http://schemas.microsoft.com/office/drawing/2014/chart" uri="{C3380CC4-5D6E-409C-BE32-E72D297353CC}">
              <c16:uniqueId val="{00000001-D0F7-4C27-A498-1C0829880B5F}"/>
            </c:ext>
          </c:extLst>
        </c:ser>
        <c:dLbls>
          <c:showLegendKey val="0"/>
          <c:showVal val="0"/>
          <c:showCatName val="0"/>
          <c:showSerName val="0"/>
          <c:showPercent val="0"/>
          <c:showBubbleSize val="0"/>
        </c:dLbls>
        <c:axId val="722667200"/>
        <c:axId val="722667776"/>
      </c:scatterChart>
      <c:valAx>
        <c:axId val="722667200"/>
        <c:scaling>
          <c:orientation val="minMax"/>
        </c:scaling>
        <c:delete val="0"/>
        <c:axPos val="b"/>
        <c:title>
          <c:tx>
            <c:rich>
              <a:bodyPr/>
              <a:lstStyle/>
              <a:p>
                <a:pPr>
                  <a:defRPr/>
                </a:pPr>
                <a:r>
                  <a:rPr lang="en-US"/>
                  <a:t>RRR</a:t>
                </a:r>
              </a:p>
            </c:rich>
          </c:tx>
          <c:overlay val="0"/>
        </c:title>
        <c:numFmt formatCode="General" sourceLinked="1"/>
        <c:majorTickMark val="out"/>
        <c:minorTickMark val="none"/>
        <c:tickLblPos val="nextTo"/>
        <c:crossAx val="722667776"/>
        <c:crosses val="autoZero"/>
        <c:crossBetween val="midCat"/>
      </c:valAx>
      <c:valAx>
        <c:axId val="722667776"/>
        <c:scaling>
          <c:orientation val="minMax"/>
        </c:scaling>
        <c:delete val="0"/>
        <c:axPos val="l"/>
        <c:majorGridlines/>
        <c:title>
          <c:tx>
            <c:rich>
              <a:bodyPr rot="-5400000" vert="horz"/>
              <a:lstStyle/>
              <a:p>
                <a:pPr>
                  <a:defRPr/>
                </a:pPr>
                <a:r>
                  <a:rPr lang="en-US"/>
                  <a:t>NPV</a:t>
                </a:r>
              </a:p>
            </c:rich>
          </c:tx>
          <c:overlay val="0"/>
        </c:title>
        <c:numFmt formatCode="&quot;$&quot;#,##0.00_);[Red]\(&quot;$&quot;#,##0.00\)" sourceLinked="1"/>
        <c:majorTickMark val="out"/>
        <c:minorTickMark val="none"/>
        <c:tickLblPos val="nextTo"/>
        <c:crossAx val="722667200"/>
        <c:crosses val="autoZero"/>
        <c:crossBetween val="midCat"/>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'Ex(11.2)'!$H$23</c:f>
              <c:strCache>
                <c:ptCount val="1"/>
                <c:pt idx="0">
                  <c:v>NPV</c:v>
                </c:pt>
              </c:strCache>
            </c:strRef>
          </c:tx>
          <c:marker>
            <c:symbol val="none"/>
          </c:marker>
          <c:xVal>
            <c:numRef>
              <c:f>'Ex(11.2)'!$G$24:$G$26</c:f>
              <c:numCache>
                <c:formatCode>_("$"* #,##0.00_);_("$"* \(#,##0.00\);_("$"* "-"??_);_(@_)</c:formatCode>
                <c:ptCount val="3"/>
                <c:pt idx="0">
                  <c:v>55000</c:v>
                </c:pt>
                <c:pt idx="1">
                  <c:v>50000</c:v>
                </c:pt>
                <c:pt idx="2">
                  <c:v>45000</c:v>
                </c:pt>
              </c:numCache>
            </c:numRef>
          </c:xVal>
          <c:yVal>
            <c:numRef>
              <c:f>'Ex(11.2)'!$H$24:$H$26</c:f>
              <c:numCache>
                <c:formatCode>_("$"* #,##0.00_);_("$"* \(#,##0.00\);_("$"* "-"??_);_(@_)</c:formatCode>
                <c:ptCount val="3"/>
                <c:pt idx="0">
                  <c:v>3669.85543249271</c:v>
                </c:pt>
                <c:pt idx="1">
                  <c:v>15565.616900231224</c:v>
                </c:pt>
                <c:pt idx="2">
                  <c:v>27461.378367969766</c:v>
                </c:pt>
              </c:numCache>
            </c:numRef>
          </c:yVal>
          <c:smooth val="1"/>
          <c:extLst>
            <c:ext xmlns:c16="http://schemas.microsoft.com/office/drawing/2014/chart" uri="{C3380CC4-5D6E-409C-BE32-E72D297353CC}">
              <c16:uniqueId val="{00000000-2B33-4BF3-B8E5-3169083BA056}"/>
            </c:ext>
          </c:extLst>
        </c:ser>
        <c:dLbls>
          <c:showLegendKey val="0"/>
          <c:showVal val="0"/>
          <c:showCatName val="0"/>
          <c:showSerName val="0"/>
          <c:showPercent val="0"/>
          <c:showBubbleSize val="0"/>
        </c:dLbls>
        <c:axId val="722671808"/>
        <c:axId val="722672384"/>
      </c:scatterChart>
      <c:valAx>
        <c:axId val="722671808"/>
        <c:scaling>
          <c:orientation val="minMax"/>
          <c:max val="60000"/>
          <c:min val="40000"/>
        </c:scaling>
        <c:delete val="0"/>
        <c:axPos val="b"/>
        <c:numFmt formatCode="_(&quot;$&quot;* #,##0.00_);_(&quot;$&quot;* \(#,##0.00\);_(&quot;$&quot;* &quot;-&quot;??_);_(@_)" sourceLinked="1"/>
        <c:majorTickMark val="out"/>
        <c:minorTickMark val="none"/>
        <c:tickLblPos val="nextTo"/>
        <c:crossAx val="722672384"/>
        <c:crosses val="autoZero"/>
        <c:crossBetween val="midCat"/>
        <c:majorUnit val="10000"/>
      </c:valAx>
      <c:valAx>
        <c:axId val="722672384"/>
        <c:scaling>
          <c:orientation val="minMax"/>
        </c:scaling>
        <c:delete val="0"/>
        <c:axPos val="l"/>
        <c:majorGridlines/>
        <c:numFmt formatCode="_(&quot;$&quot;* #,##0.00_);_(&quot;$&quot;* \(#,##0.00\);_(&quot;$&quot;* &quot;-&quot;??_);_(@_)" sourceLinked="1"/>
        <c:majorTickMark val="out"/>
        <c:minorTickMark val="none"/>
        <c:tickLblPos val="nextTo"/>
        <c:crossAx val="7226718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'Ex(11an)'!$D$10</c:f>
          <c:strCache>
            <c:ptCount val="1"/>
            <c:pt idx="0">
              <c:v>Sensitivity Analysis - As OCF Changes, What Does NPV do?
The Steeper the line, the more forecast risk associated with variable.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'Ex(11an)'!$F$11</c:f>
              <c:strCache>
                <c:ptCount val="1"/>
                <c:pt idx="0">
                  <c:v>NPV</c:v>
                </c:pt>
              </c:strCache>
            </c:strRef>
          </c:tx>
          <c:spPr>
            <a:ln w="19050" cap="rnd">
              <a:solidFill>
                <a:schemeClr val="accent1"/>
              </a:solidFill>
              <a:round/>
            </a:ln>
            <a:effectLst/>
          </c:spPr>
          <c:marker>
            <c:symbol val="none"/>
          </c:marker>
          <c:xVal>
            <c:numRef>
              <c:f>'Ex(11an)'!$E$12:$E$14</c:f>
              <c:numCache>
                <c:formatCode>General</c:formatCode>
                <c:ptCount val="3"/>
                <c:pt idx="0">
                  <c:v>68480</c:v>
                </c:pt>
                <c:pt idx="1">
                  <c:v>79700</c:v>
                </c:pt>
                <c:pt idx="2">
                  <c:v>90919.999999999985</c:v>
                </c:pt>
              </c:numCache>
            </c:numRef>
          </c:xVal>
          <c:yVal>
            <c:numRef>
              <c:f>'Ex(11an)'!$F$12:$F$14</c:f>
              <c:numCache>
                <c:formatCode>_("$"* #,##0.00_);_("$"* \(#,##0.00\);_("$"* "-"??_);_(@_)</c:formatCode>
                <c:ptCount val="3"/>
                <c:pt idx="0">
                  <c:v>-20444.41888817912</c:v>
                </c:pt>
                <c:pt idx="1">
                  <c:v>17166.761311508773</c:v>
                </c:pt>
                <c:pt idx="2">
                  <c:v>54777.941511196666</c:v>
                </c:pt>
              </c:numCache>
            </c:numRef>
          </c:yVal>
          <c:smooth val="1"/>
          <c:extLst>
            <c:ext xmlns:c16="http://schemas.microsoft.com/office/drawing/2014/chart" uri="{C3380CC4-5D6E-409C-BE32-E72D297353CC}">
              <c16:uniqueId val="{00000000-38EF-49A6-8AB1-5B49AD9C0B40}"/>
            </c:ext>
          </c:extLst>
        </c:ser>
        <c:dLbls>
          <c:showLegendKey val="0"/>
          <c:showVal val="0"/>
          <c:showCatName val="0"/>
          <c:showSerName val="0"/>
          <c:showPercent val="0"/>
          <c:showBubbleSize val="0"/>
        </c:dLbls>
        <c:axId val="66905840"/>
        <c:axId val="66902480"/>
      </c:scatterChart>
      <c:valAx>
        <c:axId val="66905840"/>
        <c:scaling>
          <c:orientation val="minMax"/>
          <c:min val="6000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02480"/>
        <c:crosses val="autoZero"/>
        <c:crossBetween val="midCat"/>
      </c:valAx>
      <c:valAx>
        <c:axId val="66902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0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15240</xdr:rowOff>
    </xdr:from>
    <xdr:to>
      <xdr:col>9</xdr:col>
      <xdr:colOff>510540</xdr:colOff>
      <xdr:row>11</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15240</xdr:rowOff>
    </xdr:from>
    <xdr:to>
      <xdr:col>9</xdr:col>
      <xdr:colOff>510540</xdr:colOff>
      <xdr:row>11</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357554</xdr:colOff>
      <xdr:row>0</xdr:row>
      <xdr:rowOff>304800</xdr:rowOff>
    </xdr:from>
    <xdr:to>
      <xdr:col>8</xdr:col>
      <xdr:colOff>509954</xdr:colOff>
      <xdr:row>5</xdr:row>
      <xdr:rowOff>99646</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6880274" y="304800"/>
          <a:ext cx="1371600" cy="8540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351692</xdr:colOff>
      <xdr:row>0</xdr:row>
      <xdr:rowOff>310662</xdr:rowOff>
    </xdr:from>
    <xdr:to>
      <xdr:col>7</xdr:col>
      <xdr:colOff>556846</xdr:colOff>
      <xdr:row>5</xdr:row>
      <xdr:rowOff>99646</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6874412" y="310662"/>
          <a:ext cx="814754" cy="8481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11722</xdr:colOff>
      <xdr:row>4</xdr:row>
      <xdr:rowOff>70339</xdr:rowOff>
    </xdr:from>
    <xdr:to>
      <xdr:col>7</xdr:col>
      <xdr:colOff>316522</xdr:colOff>
      <xdr:row>5</xdr:row>
      <xdr:rowOff>146539</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7144042" y="946639"/>
          <a:ext cx="304800" cy="2590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a:t>
          </a:r>
        </a:p>
      </xdr:txBody>
    </xdr:sp>
    <xdr:clientData/>
  </xdr:twoCellAnchor>
  <xdr:twoCellAnchor>
    <xdr:from>
      <xdr:col>8</xdr:col>
      <xdr:colOff>533399</xdr:colOff>
      <xdr:row>3</xdr:row>
      <xdr:rowOff>128954</xdr:rowOff>
    </xdr:from>
    <xdr:to>
      <xdr:col>9</xdr:col>
      <xdr:colOff>228599</xdr:colOff>
      <xdr:row>5</xdr:row>
      <xdr:rowOff>23447</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8275319" y="822374"/>
          <a:ext cx="304800" cy="2602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a:t>
          </a:r>
        </a:p>
      </xdr:txBody>
    </xdr:sp>
    <xdr:clientData/>
  </xdr:twoCellAnchor>
  <xdr:twoCellAnchor>
    <xdr:from>
      <xdr:col>5</xdr:col>
      <xdr:colOff>3950</xdr:colOff>
      <xdr:row>11</xdr:row>
      <xdr:rowOff>32748</xdr:rowOff>
    </xdr:from>
    <xdr:to>
      <xdr:col>9</xdr:col>
      <xdr:colOff>549964</xdr:colOff>
      <xdr:row>21</xdr:row>
      <xdr:rowOff>57211</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244928</xdr:colOff>
      <xdr:row>19</xdr:row>
      <xdr:rowOff>81643</xdr:rowOff>
    </xdr:from>
    <xdr:to>
      <xdr:col>17</xdr:col>
      <xdr:colOff>549728</xdr:colOff>
      <xdr:row>33</xdr:row>
      <xdr:rowOff>48986</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101055</xdr:colOff>
      <xdr:row>0</xdr:row>
      <xdr:rowOff>201568</xdr:rowOff>
    </xdr:from>
    <xdr:to>
      <xdr:col>17</xdr:col>
      <xdr:colOff>123099</xdr:colOff>
      <xdr:row>20</xdr:row>
      <xdr:rowOff>68036</xdr:rowOff>
    </xdr:to>
    <xdr:graphicFrame macro="">
      <xdr:nvGraphicFramePr>
        <xdr:cNvPr id="3" name="Chart 2">
          <a:extLst>
            <a:ext uri="{FF2B5EF4-FFF2-40B4-BE49-F238E27FC236}">
              <a16:creationId xmlns:a16="http://schemas.microsoft.com/office/drawing/2014/main" id="{426BFDB4-E776-ED43-8F0E-1BFA876BA0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N17"/>
  <sheetViews>
    <sheetView tabSelected="1" zoomScale="115" zoomScaleNormal="115" workbookViewId="0"/>
  </sheetViews>
  <sheetFormatPr defaultRowHeight="14.75" x14ac:dyDescent="0.75"/>
  <cols>
    <col min="1" max="1" width="45.2265625" bestFit="1" customWidth="1"/>
    <col min="3" max="4" width="11.08984375" bestFit="1" customWidth="1"/>
    <col min="5" max="5" width="8.6796875" bestFit="1" customWidth="1"/>
    <col min="6" max="6" width="10.08984375" bestFit="1" customWidth="1"/>
    <col min="13" max="14" width="10.08984375" bestFit="1" customWidth="1"/>
  </cols>
  <sheetData>
    <row r="1" spans="1:14" ht="26" x14ac:dyDescent="1.2">
      <c r="B1" s="95" t="s">
        <v>246</v>
      </c>
      <c r="C1" s="95"/>
    </row>
    <row r="2" spans="1:14" x14ac:dyDescent="0.75">
      <c r="B2" t="s">
        <v>41</v>
      </c>
      <c r="C2">
        <v>0.15</v>
      </c>
    </row>
    <row r="4" spans="1:14" x14ac:dyDescent="0.75">
      <c r="B4" s="64" t="s">
        <v>168</v>
      </c>
      <c r="C4" s="64" t="s">
        <v>221</v>
      </c>
      <c r="D4" s="64" t="s">
        <v>225</v>
      </c>
    </row>
    <row r="5" spans="1:14" x14ac:dyDescent="0.75">
      <c r="B5" s="1">
        <v>0</v>
      </c>
      <c r="C5" s="7">
        <v>-15000</v>
      </c>
      <c r="D5" s="7">
        <f>C5</f>
        <v>-15000</v>
      </c>
    </row>
    <row r="6" spans="1:14" x14ac:dyDescent="0.75">
      <c r="A6" s="1" t="s">
        <v>248</v>
      </c>
      <c r="B6" s="1">
        <v>1</v>
      </c>
      <c r="C6" s="7">
        <v>8000</v>
      </c>
      <c r="D6" s="7">
        <f>INDEX($C$6:$C$9,ROWS(C6:$C$9))</f>
        <v>1000</v>
      </c>
    </row>
    <row r="7" spans="1:14" x14ac:dyDescent="0.75">
      <c r="A7" s="93" t="s">
        <v>249</v>
      </c>
      <c r="B7" s="1">
        <v>2</v>
      </c>
      <c r="C7" s="7">
        <v>6000</v>
      </c>
      <c r="D7" s="7">
        <f>INDEX($C$6:$C$9,ROWS(C7:$C$9))</f>
        <v>5000</v>
      </c>
    </row>
    <row r="8" spans="1:14" x14ac:dyDescent="0.75">
      <c r="A8" s="1" t="s">
        <v>250</v>
      </c>
      <c r="B8" s="1">
        <v>3</v>
      </c>
      <c r="C8" s="7">
        <v>5000</v>
      </c>
      <c r="D8" s="7">
        <f>INDEX($C$6:$C$9,ROWS(C8:$C$9))</f>
        <v>6000</v>
      </c>
    </row>
    <row r="9" spans="1:14" x14ac:dyDescent="0.75">
      <c r="A9" s="92" t="s">
        <v>252</v>
      </c>
      <c r="B9" s="33">
        <v>4</v>
      </c>
      <c r="C9" s="7">
        <v>1000</v>
      </c>
      <c r="D9" s="7">
        <f>INDEX($C$6:$C$9,ROWS(C9:$C$9))</f>
        <v>8000</v>
      </c>
    </row>
    <row r="10" spans="1:14" x14ac:dyDescent="0.75">
      <c r="A10" s="92" t="s">
        <v>251</v>
      </c>
      <c r="B10" s="1" t="s">
        <v>29</v>
      </c>
      <c r="C10" s="68"/>
      <c r="D10" s="68"/>
    </row>
    <row r="11" spans="1:14" x14ac:dyDescent="0.75">
      <c r="A11" s="1"/>
    </row>
    <row r="12" spans="1:14" x14ac:dyDescent="0.75">
      <c r="A12" s="1" t="s">
        <v>247</v>
      </c>
      <c r="B12" s="91" t="s">
        <v>41</v>
      </c>
      <c r="C12" s="64" t="str">
        <f>"NPV "&amp;C4</f>
        <v>NPV A</v>
      </c>
      <c r="D12" s="64" t="str">
        <f>"NPV "&amp;D4</f>
        <v>NPV B</v>
      </c>
      <c r="L12" s="91" t="s">
        <v>41</v>
      </c>
      <c r="M12" s="64" t="str">
        <f t="shared" ref="M12:N12" si="0">C12</f>
        <v>NPV A</v>
      </c>
      <c r="N12" s="64" t="str">
        <f t="shared" si="0"/>
        <v>NPV B</v>
      </c>
    </row>
    <row r="13" spans="1:14" x14ac:dyDescent="0.75">
      <c r="B13" s="1">
        <v>0</v>
      </c>
      <c r="C13" s="19"/>
      <c r="D13" s="19"/>
      <c r="L13" s="1">
        <v>0</v>
      </c>
      <c r="M13" s="19">
        <f t="shared" ref="M13:N17" si="1">NPV($B13,C$6:C$9)+C$5</f>
        <v>5000</v>
      </c>
      <c r="N13" s="19">
        <f t="shared" si="1"/>
        <v>5000</v>
      </c>
    </row>
    <row r="14" spans="1:14" x14ac:dyDescent="0.75">
      <c r="B14" s="1">
        <v>0.05</v>
      </c>
      <c r="C14" s="19"/>
      <c r="D14" s="19"/>
      <c r="L14" s="1">
        <v>0.05</v>
      </c>
      <c r="M14" s="19">
        <f t="shared" si="1"/>
        <v>3203.1149572451795</v>
      </c>
      <c r="N14" s="19">
        <f t="shared" si="1"/>
        <v>2252.1737341951157</v>
      </c>
    </row>
    <row r="15" spans="1:14" x14ac:dyDescent="0.75">
      <c r="B15" s="1">
        <v>0.1</v>
      </c>
      <c r="C15" s="19"/>
      <c r="D15" s="19"/>
      <c r="L15" s="1">
        <v>0.1</v>
      </c>
      <c r="M15" s="19">
        <f t="shared" si="1"/>
        <v>1670.9924185506425</v>
      </c>
      <c r="N15" s="19">
        <f t="shared" si="1"/>
        <v>13.318762379616601</v>
      </c>
    </row>
    <row r="16" spans="1:14" x14ac:dyDescent="0.75">
      <c r="B16" s="1">
        <v>0.15</v>
      </c>
      <c r="C16" s="19"/>
      <c r="D16" s="19"/>
      <c r="L16" s="1">
        <v>0.15</v>
      </c>
      <c r="M16" s="19">
        <f t="shared" si="1"/>
        <v>352.71815066413183</v>
      </c>
      <c r="N16" s="19">
        <f t="shared" si="1"/>
        <v>-1830.5930867885672</v>
      </c>
    </row>
    <row r="17" spans="2:14" x14ac:dyDescent="0.75">
      <c r="B17" s="1">
        <v>0.2</v>
      </c>
      <c r="C17" s="19"/>
      <c r="D17" s="19"/>
      <c r="L17" s="1">
        <v>0.2</v>
      </c>
      <c r="M17" s="19">
        <f t="shared" si="1"/>
        <v>-790.89506172839356</v>
      </c>
      <c r="N17" s="19">
        <f t="shared" si="1"/>
        <v>-3364.1975308641959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5"/>
  <sheetViews>
    <sheetView workbookViewId="0"/>
  </sheetViews>
  <sheetFormatPr defaultRowHeight="14.75" x14ac:dyDescent="0.75"/>
  <cols>
    <col min="1" max="1" width="45.2265625" bestFit="1" customWidth="1"/>
    <col min="3" max="4" width="11.08984375" bestFit="1" customWidth="1"/>
    <col min="5" max="5" width="5.76953125" customWidth="1"/>
    <col min="6" max="6" width="10.08984375" bestFit="1" customWidth="1"/>
    <col min="11" max="11" width="1.31640625" customWidth="1"/>
    <col min="12" max="12" width="12" bestFit="1" customWidth="1"/>
    <col min="13" max="13" width="10.54296875" bestFit="1" customWidth="1"/>
    <col min="14" max="14" width="10.08984375" bestFit="1" customWidth="1"/>
  </cols>
  <sheetData>
    <row r="1" spans="1:14" ht="26" x14ac:dyDescent="1.2">
      <c r="B1" s="95" t="s">
        <v>246</v>
      </c>
      <c r="C1" s="95"/>
    </row>
    <row r="2" spans="1:14" x14ac:dyDescent="0.75">
      <c r="B2" t="s">
        <v>41</v>
      </c>
      <c r="C2">
        <v>0.15</v>
      </c>
      <c r="L2" s="94" t="s">
        <v>327</v>
      </c>
    </row>
    <row r="4" spans="1:14" x14ac:dyDescent="0.75">
      <c r="B4" s="64" t="s">
        <v>168</v>
      </c>
      <c r="C4" s="64" t="s">
        <v>221</v>
      </c>
      <c r="D4" s="64" t="s">
        <v>225</v>
      </c>
      <c r="L4" s="91" t="s">
        <v>41</v>
      </c>
      <c r="M4" s="64" t="str">
        <f>C12</f>
        <v>NPV A</v>
      </c>
      <c r="N4" s="64" t="str">
        <f>D12</f>
        <v>NPV B</v>
      </c>
    </row>
    <row r="5" spans="1:14" x14ac:dyDescent="0.75">
      <c r="B5" s="1">
        <v>0</v>
      </c>
      <c r="C5" s="7">
        <v>-15000</v>
      </c>
      <c r="D5" s="7">
        <f>C5</f>
        <v>-15000</v>
      </c>
      <c r="L5" s="1">
        <v>0</v>
      </c>
      <c r="M5" s="19" cm="1">
        <f t="array" ref="M5:M9">NPV($L$5:$L$9,C6:C9)+C5</f>
        <v>5000</v>
      </c>
      <c r="N5" s="19" cm="1">
        <f t="array" ref="N5:N9">NPV($L$5:$L$9,D6:D9)+D5</f>
        <v>5000</v>
      </c>
    </row>
    <row r="6" spans="1:14" x14ac:dyDescent="0.75">
      <c r="A6" s="1" t="s">
        <v>248</v>
      </c>
      <c r="B6" s="1">
        <v>1</v>
      </c>
      <c r="C6" s="7">
        <v>8000</v>
      </c>
      <c r="D6" s="7">
        <f>INDEX($C$6:$C$9,ROWS(C6:$C$9))</f>
        <v>1000</v>
      </c>
      <c r="L6" s="1">
        <v>0.05</v>
      </c>
      <c r="M6" s="19">
        <v>3203.1149572451795</v>
      </c>
      <c r="N6" s="19">
        <v>2252.1737341951157</v>
      </c>
    </row>
    <row r="7" spans="1:14" x14ac:dyDescent="0.75">
      <c r="A7" s="93" t="s">
        <v>249</v>
      </c>
      <c r="B7" s="1">
        <v>2</v>
      </c>
      <c r="C7" s="7">
        <v>6000</v>
      </c>
      <c r="D7" s="7">
        <f>INDEX($C$6:$C$9,ROWS(C7:$C$9))</f>
        <v>5000</v>
      </c>
      <c r="L7" s="1">
        <v>0.1</v>
      </c>
      <c r="M7" s="19">
        <v>1670.9924185506425</v>
      </c>
      <c r="N7" s="19">
        <v>13.318762379616601</v>
      </c>
    </row>
    <row r="8" spans="1:14" x14ac:dyDescent="0.75">
      <c r="A8" s="1" t="s">
        <v>250</v>
      </c>
      <c r="B8" s="1">
        <v>3</v>
      </c>
      <c r="C8" s="7">
        <v>5000</v>
      </c>
      <c r="D8" s="7">
        <f>INDEX($C$6:$C$9,ROWS(C8:$C$9))</f>
        <v>6000</v>
      </c>
      <c r="L8" s="1">
        <v>0.15</v>
      </c>
      <c r="M8" s="19">
        <v>352.71815066413183</v>
      </c>
      <c r="N8" s="19">
        <v>-1830.5930867885672</v>
      </c>
    </row>
    <row r="9" spans="1:14" x14ac:dyDescent="0.75">
      <c r="A9" s="92" t="s">
        <v>252</v>
      </c>
      <c r="B9" s="33">
        <v>4</v>
      </c>
      <c r="C9" s="7">
        <v>1000</v>
      </c>
      <c r="D9" s="7">
        <f>INDEX($C$6:$C$9,ROWS(C9:$C$9))</f>
        <v>8000</v>
      </c>
      <c r="L9" s="1">
        <v>0.2</v>
      </c>
      <c r="M9" s="19">
        <v>-790.89506172839356</v>
      </c>
      <c r="N9" s="19">
        <v>-3364.1975308641959</v>
      </c>
    </row>
    <row r="10" spans="1:14" x14ac:dyDescent="0.75">
      <c r="A10" s="92" t="s">
        <v>251</v>
      </c>
      <c r="B10" s="1" t="s">
        <v>29</v>
      </c>
      <c r="C10" s="68">
        <f>SUM(C5:C9)</f>
        <v>5000</v>
      </c>
      <c r="D10" s="68">
        <f>SUM(D5:D9)</f>
        <v>5000</v>
      </c>
    </row>
    <row r="11" spans="1:14" x14ac:dyDescent="0.75">
      <c r="A11" s="1"/>
    </row>
    <row r="12" spans="1:14" x14ac:dyDescent="0.75">
      <c r="A12" s="1" t="s">
        <v>247</v>
      </c>
      <c r="B12" s="91" t="s">
        <v>41</v>
      </c>
      <c r="C12" s="64" t="str">
        <f>"NPV "&amp;C4</f>
        <v>NPV A</v>
      </c>
      <c r="D12" s="64" t="str">
        <f>"NPV "&amp;D4</f>
        <v>NPV B</v>
      </c>
    </row>
    <row r="13" spans="1:14" x14ac:dyDescent="0.75">
      <c r="B13" s="1">
        <v>0</v>
      </c>
      <c r="C13" s="19">
        <f>NPV(B13,$C$6:$C$9)+$C$5</f>
        <v>5000</v>
      </c>
      <c r="D13" s="19">
        <f>NPV(B13,$D$6:$D$9)+$D$5</f>
        <v>5000</v>
      </c>
    </row>
    <row r="14" spans="1:14" x14ac:dyDescent="0.75">
      <c r="B14" s="1">
        <v>0.05</v>
      </c>
      <c r="C14" s="19">
        <f t="shared" ref="C14:C17" si="0">NPV(B14,$C$6:$C$9)+$C$5</f>
        <v>3203.1149572451795</v>
      </c>
      <c r="D14" s="19">
        <f t="shared" ref="D14:D17" si="1">NPV(B14,$D$6:$D$9)+$D$5</f>
        <v>2252.1737341951157</v>
      </c>
    </row>
    <row r="15" spans="1:14" x14ac:dyDescent="0.75">
      <c r="B15" s="1">
        <v>0.1</v>
      </c>
      <c r="C15" s="19">
        <f t="shared" si="0"/>
        <v>1670.9924185506425</v>
      </c>
      <c r="D15" s="19">
        <f t="shared" si="1"/>
        <v>13.318762379616601</v>
      </c>
    </row>
    <row r="16" spans="1:14" x14ac:dyDescent="0.75">
      <c r="B16" s="1">
        <v>0.15</v>
      </c>
      <c r="C16" s="19">
        <f t="shared" si="0"/>
        <v>352.71815066413183</v>
      </c>
      <c r="D16" s="19">
        <f t="shared" si="1"/>
        <v>-1830.5930867885672</v>
      </c>
    </row>
    <row r="17" spans="2:14" x14ac:dyDescent="0.75">
      <c r="B17" s="1">
        <v>0.2</v>
      </c>
      <c r="C17" s="19">
        <f t="shared" si="0"/>
        <v>-790.89506172839356</v>
      </c>
      <c r="D17" s="19">
        <f t="shared" si="1"/>
        <v>-3364.1975308641959</v>
      </c>
    </row>
    <row r="21" spans="2:14" x14ac:dyDescent="0.75">
      <c r="M21" s="144"/>
      <c r="N21" s="143"/>
    </row>
    <row r="22" spans="2:14" x14ac:dyDescent="0.75">
      <c r="M22" s="144"/>
    </row>
    <row r="23" spans="2:14" x14ac:dyDescent="0.75">
      <c r="M23" s="144"/>
    </row>
    <row r="24" spans="2:14" x14ac:dyDescent="0.75">
      <c r="M24" s="144"/>
    </row>
    <row r="25" spans="2:14" x14ac:dyDescent="0.75">
      <c r="M25" s="14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J26"/>
  <sheetViews>
    <sheetView zoomScale="85" zoomScaleNormal="85" workbookViewId="0"/>
  </sheetViews>
  <sheetFormatPr defaultRowHeight="14.75" x14ac:dyDescent="0.75"/>
  <cols>
    <col min="1" max="1" width="7" bestFit="1" customWidth="1"/>
    <col min="2" max="2" width="10.54296875" customWidth="1"/>
    <col min="3" max="3" width="12.6796875" customWidth="1"/>
    <col min="4" max="4" width="1.31640625" customWidth="1"/>
    <col min="5" max="5" width="11.08984375" bestFit="1" customWidth="1"/>
    <col min="6" max="6" width="13.54296875" customWidth="1"/>
    <col min="7" max="7" width="6.54296875" customWidth="1"/>
    <col min="8" max="8" width="14" bestFit="1" customWidth="1"/>
    <col min="9" max="9" width="14.08984375" customWidth="1"/>
    <col min="10" max="10" width="14.6796875" customWidth="1"/>
  </cols>
  <sheetData>
    <row r="1" spans="1:10" ht="26" x14ac:dyDescent="1.2">
      <c r="B1" s="95" t="s">
        <v>255</v>
      </c>
    </row>
    <row r="2" spans="1:10" ht="26" x14ac:dyDescent="1.2">
      <c r="B2" s="95"/>
    </row>
    <row r="3" spans="1:10" ht="44.25" x14ac:dyDescent="0.75">
      <c r="A3" s="64" t="s">
        <v>256</v>
      </c>
      <c r="B3" s="64" t="s">
        <v>257</v>
      </c>
      <c r="C3" s="64" t="s">
        <v>258</v>
      </c>
      <c r="E3" s="31" t="s">
        <v>266</v>
      </c>
      <c r="F3" s="31" t="s">
        <v>267</v>
      </c>
      <c r="G3" s="64" t="s">
        <v>41</v>
      </c>
      <c r="H3" s="31" t="s">
        <v>259</v>
      </c>
      <c r="I3" s="31" t="s">
        <v>261</v>
      </c>
      <c r="J3" s="31" t="s">
        <v>260</v>
      </c>
    </row>
    <row r="4" spans="1:10" x14ac:dyDescent="0.75">
      <c r="A4" s="1">
        <v>0</v>
      </c>
      <c r="B4" s="96">
        <v>40494</v>
      </c>
      <c r="C4" s="97">
        <v>-10000</v>
      </c>
      <c r="E4" s="19"/>
      <c r="F4" s="19"/>
      <c r="G4" s="1">
        <v>0.2</v>
      </c>
      <c r="H4" s="82"/>
      <c r="I4" s="108"/>
      <c r="J4" s="108"/>
    </row>
    <row r="5" spans="1:10" x14ac:dyDescent="0.75">
      <c r="A5" s="1">
        <v>1</v>
      </c>
      <c r="B5" s="96">
        <v>40859</v>
      </c>
      <c r="C5" s="98">
        <v>3000</v>
      </c>
      <c r="E5" s="19"/>
      <c r="F5" s="19"/>
    </row>
    <row r="6" spans="1:10" x14ac:dyDescent="0.75">
      <c r="A6" s="1">
        <v>2</v>
      </c>
      <c r="B6" s="96">
        <v>41225</v>
      </c>
      <c r="C6" s="98">
        <v>3000</v>
      </c>
      <c r="E6" s="19"/>
      <c r="F6" s="19"/>
      <c r="H6" t="s">
        <v>269</v>
      </c>
    </row>
    <row r="7" spans="1:10" x14ac:dyDescent="0.75">
      <c r="A7" s="1">
        <v>3</v>
      </c>
      <c r="B7" s="96">
        <v>41590</v>
      </c>
      <c r="C7" s="98">
        <v>3000</v>
      </c>
      <c r="E7" s="19"/>
      <c r="F7" s="19"/>
      <c r="H7" s="64" t="s">
        <v>263</v>
      </c>
    </row>
    <row r="8" spans="1:10" x14ac:dyDescent="0.75">
      <c r="A8" s="1">
        <v>4</v>
      </c>
      <c r="B8" s="96">
        <v>41955</v>
      </c>
      <c r="C8" s="98">
        <v>3000</v>
      </c>
      <c r="E8" s="19"/>
      <c r="F8" s="19"/>
      <c r="H8" s="12"/>
    </row>
    <row r="9" spans="1:10" x14ac:dyDescent="0.75">
      <c r="A9" s="1">
        <v>6</v>
      </c>
      <c r="B9" s="99">
        <v>42686</v>
      </c>
      <c r="C9" s="100">
        <v>5000</v>
      </c>
      <c r="E9" s="19"/>
      <c r="F9" s="19"/>
    </row>
    <row r="10" spans="1:10" x14ac:dyDescent="0.75">
      <c r="A10" s="1">
        <v>7</v>
      </c>
      <c r="B10" s="96">
        <v>43051</v>
      </c>
      <c r="C10" s="100">
        <v>5000</v>
      </c>
      <c r="E10" s="19"/>
      <c r="F10" s="19"/>
    </row>
    <row r="11" spans="1:10" x14ac:dyDescent="0.75">
      <c r="A11" s="1">
        <v>8</v>
      </c>
      <c r="B11" s="96">
        <v>43416</v>
      </c>
      <c r="C11" s="100">
        <v>5000</v>
      </c>
      <c r="E11" s="19"/>
      <c r="F11" s="19"/>
    </row>
    <row r="12" spans="1:10" x14ac:dyDescent="0.75">
      <c r="A12" s="1">
        <v>9</v>
      </c>
      <c r="B12" s="96">
        <v>43781</v>
      </c>
      <c r="C12" s="100">
        <v>5000</v>
      </c>
      <c r="E12" s="19"/>
      <c r="F12" s="19"/>
    </row>
    <row r="13" spans="1:10" x14ac:dyDescent="0.75">
      <c r="A13" s="1">
        <v>10</v>
      </c>
      <c r="B13" s="96">
        <v>44147</v>
      </c>
      <c r="C13" s="100">
        <v>5000</v>
      </c>
      <c r="E13" s="19"/>
      <c r="F13" s="19"/>
    </row>
    <row r="14" spans="1:10" x14ac:dyDescent="0.75">
      <c r="A14" s="1">
        <v>12</v>
      </c>
      <c r="B14" s="99">
        <v>44877</v>
      </c>
      <c r="C14" s="100">
        <v>5000</v>
      </c>
      <c r="E14" s="19"/>
      <c r="F14" s="19"/>
    </row>
    <row r="16" spans="1:10" x14ac:dyDescent="0.75">
      <c r="B16" s="64" t="s">
        <v>257</v>
      </c>
      <c r="C16" s="64" t="s">
        <v>258</v>
      </c>
      <c r="E16" s="102" t="s">
        <v>258</v>
      </c>
      <c r="F16" s="101" t="s">
        <v>262</v>
      </c>
      <c r="G16" s="64" t="s">
        <v>41</v>
      </c>
    </row>
    <row r="17" spans="1:7" x14ac:dyDescent="0.75">
      <c r="A17" s="147" t="s">
        <v>265</v>
      </c>
      <c r="B17" s="103">
        <v>40494</v>
      </c>
      <c r="C17" s="104">
        <v>-5000</v>
      </c>
      <c r="E17" s="12"/>
      <c r="F17" s="12"/>
      <c r="G17" s="1">
        <v>0.15</v>
      </c>
    </row>
    <row r="18" spans="1:7" x14ac:dyDescent="0.75">
      <c r="A18" s="147"/>
      <c r="B18" s="103">
        <v>40524</v>
      </c>
      <c r="C18" s="104">
        <v>700</v>
      </c>
      <c r="E18" s="12"/>
      <c r="F18" s="101" t="s">
        <v>268</v>
      </c>
    </row>
    <row r="19" spans="1:7" x14ac:dyDescent="0.75">
      <c r="A19" s="147"/>
      <c r="B19" s="103">
        <v>40555</v>
      </c>
      <c r="C19" s="104">
        <v>700</v>
      </c>
      <c r="E19" s="12"/>
      <c r="F19" s="12"/>
    </row>
    <row r="20" spans="1:7" x14ac:dyDescent="0.75">
      <c r="A20" s="147"/>
      <c r="B20" s="103">
        <v>40586</v>
      </c>
      <c r="C20" s="104">
        <v>700</v>
      </c>
      <c r="E20" s="12"/>
    </row>
    <row r="21" spans="1:7" x14ac:dyDescent="0.75">
      <c r="A21" s="147"/>
      <c r="B21" s="103">
        <v>40614</v>
      </c>
      <c r="C21" s="104">
        <v>700</v>
      </c>
      <c r="E21" s="12"/>
      <c r="F21" s="64" t="s">
        <v>263</v>
      </c>
    </row>
    <row r="22" spans="1:7" x14ac:dyDescent="0.75">
      <c r="A22" s="148" t="s">
        <v>1</v>
      </c>
      <c r="B22" s="105">
        <v>40980</v>
      </c>
      <c r="C22" s="2">
        <v>700</v>
      </c>
      <c r="E22" s="12"/>
      <c r="F22" s="12"/>
    </row>
    <row r="23" spans="1:7" x14ac:dyDescent="0.75">
      <c r="A23" s="148"/>
      <c r="B23" s="105">
        <v>41345</v>
      </c>
      <c r="C23" s="2">
        <v>700</v>
      </c>
      <c r="E23" s="12"/>
    </row>
    <row r="24" spans="1:7" ht="14.4" customHeight="1" x14ac:dyDescent="0.75">
      <c r="A24" s="149" t="s">
        <v>264</v>
      </c>
      <c r="B24" s="106">
        <v>41346</v>
      </c>
      <c r="C24" s="107">
        <v>700</v>
      </c>
      <c r="E24" s="12"/>
    </row>
    <row r="25" spans="1:7" x14ac:dyDescent="0.75">
      <c r="A25" s="149"/>
      <c r="B25" s="106">
        <v>41347</v>
      </c>
      <c r="C25" s="107">
        <v>700</v>
      </c>
      <c r="E25" s="12"/>
    </row>
    <row r="26" spans="1:7" x14ac:dyDescent="0.75">
      <c r="A26" s="149"/>
      <c r="B26" s="106">
        <v>41348</v>
      </c>
      <c r="C26" s="107">
        <v>700</v>
      </c>
      <c r="E26" s="12"/>
    </row>
  </sheetData>
  <mergeCells count="3">
    <mergeCell ref="A17:A21"/>
    <mergeCell ref="A22:A23"/>
    <mergeCell ref="A24:A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6"/>
  <sheetViews>
    <sheetView zoomScale="85" zoomScaleNormal="85" workbookViewId="0"/>
  </sheetViews>
  <sheetFormatPr defaultRowHeight="14.75" x14ac:dyDescent="0.75"/>
  <cols>
    <col min="1" max="1" width="7" bestFit="1" customWidth="1"/>
    <col min="2" max="2" width="10.54296875" customWidth="1"/>
    <col min="3" max="3" width="12.6796875" customWidth="1"/>
    <col min="4" max="4" width="1.31640625" customWidth="1"/>
    <col min="5" max="5" width="12.453125" bestFit="1" customWidth="1"/>
    <col min="6" max="6" width="13.54296875" customWidth="1"/>
    <col min="7" max="7" width="6.54296875" customWidth="1"/>
    <col min="8" max="8" width="14" bestFit="1" customWidth="1"/>
    <col min="9" max="9" width="14.08984375" customWidth="1"/>
    <col min="10" max="10" width="14.6796875" customWidth="1"/>
    <col min="11" max="11" width="33.453125" customWidth="1"/>
    <col min="12" max="12" width="2.453125" customWidth="1"/>
    <col min="13" max="13" width="15" customWidth="1"/>
    <col min="14" max="14" width="16.453125" customWidth="1"/>
    <col min="15" max="15" width="2.453125" customWidth="1"/>
    <col min="16" max="17" width="14.76953125" customWidth="1"/>
  </cols>
  <sheetData>
    <row r="1" spans="1:17" ht="26" x14ac:dyDescent="1.2">
      <c r="B1" s="95" t="s">
        <v>255</v>
      </c>
      <c r="M1" s="94" t="s">
        <v>328</v>
      </c>
    </row>
    <row r="2" spans="1:17" ht="26" x14ac:dyDescent="1.2">
      <c r="B2" s="95"/>
    </row>
    <row r="3" spans="1:17" ht="44.25" x14ac:dyDescent="0.75">
      <c r="A3" s="64" t="s">
        <v>256</v>
      </c>
      <c r="B3" s="64" t="s">
        <v>257</v>
      </c>
      <c r="C3" s="64" t="s">
        <v>258</v>
      </c>
      <c r="E3" s="31" t="s">
        <v>266</v>
      </c>
      <c r="F3" s="31" t="s">
        <v>267</v>
      </c>
      <c r="G3" s="64" t="s">
        <v>41</v>
      </c>
      <c r="H3" s="31" t="s">
        <v>259</v>
      </c>
      <c r="I3" s="31" t="s">
        <v>261</v>
      </c>
      <c r="J3" s="31" t="s">
        <v>260</v>
      </c>
      <c r="M3" s="31" t="s">
        <v>266</v>
      </c>
      <c r="N3" s="31" t="s">
        <v>267</v>
      </c>
      <c r="P3" s="31" t="s">
        <v>270</v>
      </c>
      <c r="Q3" s="31" t="s">
        <v>271</v>
      </c>
    </row>
    <row r="4" spans="1:17" x14ac:dyDescent="0.75">
      <c r="A4" s="1">
        <v>0</v>
      </c>
      <c r="B4" s="96">
        <v>40494</v>
      </c>
      <c r="C4" s="97">
        <v>-10000</v>
      </c>
      <c r="E4" s="19">
        <f>-PV($G$4,A4,,C4)</f>
        <v>-10000</v>
      </c>
      <c r="F4" s="19">
        <f>C4/(1+$G$4)^((B4-$B$4)/365)</f>
        <v>-10000</v>
      </c>
      <c r="G4" s="1">
        <v>0.2</v>
      </c>
      <c r="H4" s="82">
        <f>XNPV(G4,C4:C14,B4:B14)</f>
        <v>4326.4138202903523</v>
      </c>
      <c r="I4" s="108">
        <f>SUM(F4:F14)</f>
        <v>4326.4138202903523</v>
      </c>
      <c r="J4" s="108">
        <f>SUM(E4:E14)</f>
        <v>4336.2867057921603</v>
      </c>
      <c r="M4" s="19" cm="1">
        <f t="array" ref="M4:M14">C4:C14/(1+G4)^A4:A14</f>
        <v>-10000</v>
      </c>
      <c r="N4" s="19" cm="1">
        <f t="array" ref="N4:N14">C4:C14/(1+G4)^((B4:B14-B4)/365)</f>
        <v>-10000</v>
      </c>
      <c r="P4" s="1">
        <v>0</v>
      </c>
      <c r="Q4" s="1">
        <f>(B4-$B$4)/365</f>
        <v>0</v>
      </c>
    </row>
    <row r="5" spans="1:17" x14ac:dyDescent="0.75">
      <c r="A5" s="1">
        <v>1</v>
      </c>
      <c r="B5" s="96">
        <v>40859</v>
      </c>
      <c r="C5" s="98">
        <v>3000</v>
      </c>
      <c r="E5" s="19">
        <f t="shared" ref="E5:E14" si="0">-PV($G$4,A5,,C5)</f>
        <v>2500</v>
      </c>
      <c r="F5" s="19">
        <f t="shared" ref="F5:F8" si="1">C5/(1+$G$4)^((B5-$B$4)/365)</f>
        <v>2500</v>
      </c>
      <c r="M5" s="19">
        <v>2500</v>
      </c>
      <c r="N5" s="19">
        <v>2500</v>
      </c>
      <c r="P5" s="1">
        <v>1</v>
      </c>
      <c r="Q5" s="1">
        <f t="shared" ref="Q5:Q14" si="2">(B5-$B$4)/365</f>
        <v>1</v>
      </c>
    </row>
    <row r="6" spans="1:17" x14ac:dyDescent="0.75">
      <c r="A6" s="1">
        <v>2</v>
      </c>
      <c r="B6" s="96">
        <v>41225</v>
      </c>
      <c r="C6" s="98">
        <v>3000</v>
      </c>
      <c r="E6" s="19">
        <f t="shared" si="0"/>
        <v>2083.3333333333335</v>
      </c>
      <c r="F6" s="19">
        <f t="shared" si="1"/>
        <v>2082.2929450425067</v>
      </c>
      <c r="H6" t="s">
        <v>269</v>
      </c>
      <c r="M6" s="19">
        <v>2083.3333333333335</v>
      </c>
      <c r="N6" s="19">
        <v>2082.2929450425067</v>
      </c>
      <c r="P6" s="1">
        <v>2</v>
      </c>
      <c r="Q6" s="1">
        <f t="shared" si="2"/>
        <v>2.0027397260273974</v>
      </c>
    </row>
    <row r="7" spans="1:17" x14ac:dyDescent="0.75">
      <c r="A7" s="1">
        <v>3</v>
      </c>
      <c r="B7" s="96">
        <v>41590</v>
      </c>
      <c r="C7" s="98">
        <v>3000</v>
      </c>
      <c r="E7" s="19">
        <f t="shared" si="0"/>
        <v>1736.1111111111111</v>
      </c>
      <c r="F7" s="19">
        <f t="shared" si="1"/>
        <v>1735.2441208687555</v>
      </c>
      <c r="H7" s="64" t="s">
        <v>263</v>
      </c>
      <c r="M7" s="19">
        <v>1736.1111111111111</v>
      </c>
      <c r="N7" s="19">
        <v>1735.2441208687555</v>
      </c>
      <c r="P7" s="1">
        <v>3</v>
      </c>
      <c r="Q7" s="1">
        <f t="shared" si="2"/>
        <v>3.0027397260273974</v>
      </c>
    </row>
    <row r="8" spans="1:17" x14ac:dyDescent="0.75">
      <c r="A8" s="1">
        <v>4</v>
      </c>
      <c r="B8" s="96">
        <v>41955</v>
      </c>
      <c r="C8" s="98">
        <v>3000</v>
      </c>
      <c r="E8" s="19">
        <f t="shared" si="0"/>
        <v>1446.7592592592594</v>
      </c>
      <c r="F8" s="19">
        <f t="shared" si="1"/>
        <v>1446.0367673906296</v>
      </c>
      <c r="H8" s="12">
        <f>XIRR(C4:C14,B4:B14)</f>
        <v>0.29951990246772764</v>
      </c>
      <c r="M8" s="19">
        <v>1446.7592592592594</v>
      </c>
      <c r="N8" s="19">
        <v>1446.0367673906296</v>
      </c>
      <c r="P8" s="1">
        <v>4</v>
      </c>
      <c r="Q8" s="1">
        <f t="shared" si="2"/>
        <v>4.0027397260273974</v>
      </c>
    </row>
    <row r="9" spans="1:17" x14ac:dyDescent="0.75">
      <c r="A9" s="1">
        <v>6</v>
      </c>
      <c r="B9" s="99">
        <v>42686</v>
      </c>
      <c r="C9" s="100">
        <v>5000</v>
      </c>
      <c r="E9" s="19">
        <f>-PV($G$4,A9,,C9)</f>
        <v>1674.4898834019207</v>
      </c>
      <c r="F9" s="19">
        <f>C9/(1+$G$4)^((B9-$B$4)/365)</f>
        <v>1672.8178661164336</v>
      </c>
      <c r="M9" s="19">
        <v>1674.4898834019207</v>
      </c>
      <c r="N9" s="19">
        <v>1672.8178661164336</v>
      </c>
      <c r="P9" s="1">
        <v>6</v>
      </c>
      <c r="Q9" s="1">
        <f t="shared" si="2"/>
        <v>6.0054794520547947</v>
      </c>
    </row>
    <row r="10" spans="1:17" x14ac:dyDescent="0.75">
      <c r="A10" s="1">
        <v>7</v>
      </c>
      <c r="B10" s="96">
        <v>43051</v>
      </c>
      <c r="C10" s="100">
        <v>5000</v>
      </c>
      <c r="E10" s="19">
        <f t="shared" si="0"/>
        <v>1395.4082361682672</v>
      </c>
      <c r="F10" s="19">
        <f t="shared" ref="F10:F14" si="3">C10/(1+$G$4)^((B10-$B$4)/365)</f>
        <v>1394.0148884303612</v>
      </c>
      <c r="M10" s="19">
        <v>1395.4082361682672</v>
      </c>
      <c r="N10" s="19">
        <v>1394.0148884303612</v>
      </c>
      <c r="P10" s="1">
        <v>7</v>
      </c>
      <c r="Q10" s="1">
        <f t="shared" si="2"/>
        <v>7.0054794520547947</v>
      </c>
    </row>
    <row r="11" spans="1:17" x14ac:dyDescent="0.75">
      <c r="A11" s="1">
        <v>8</v>
      </c>
      <c r="B11" s="96">
        <v>43416</v>
      </c>
      <c r="C11" s="100">
        <v>5000</v>
      </c>
      <c r="E11" s="19">
        <f t="shared" si="0"/>
        <v>1162.8401968068895</v>
      </c>
      <c r="F11" s="19">
        <f t="shared" si="3"/>
        <v>1161.6790736919677</v>
      </c>
      <c r="M11" s="19">
        <v>1162.8401968068895</v>
      </c>
      <c r="N11" s="19">
        <v>1161.6790736919677</v>
      </c>
      <c r="P11" s="1">
        <v>8</v>
      </c>
      <c r="Q11" s="1">
        <f t="shared" si="2"/>
        <v>8.0054794520547947</v>
      </c>
    </row>
    <row r="12" spans="1:17" x14ac:dyDescent="0.75">
      <c r="A12" s="1">
        <v>9</v>
      </c>
      <c r="B12" s="96">
        <v>43781</v>
      </c>
      <c r="C12" s="100">
        <v>5000</v>
      </c>
      <c r="E12" s="19">
        <f t="shared" si="0"/>
        <v>969.03349733907442</v>
      </c>
      <c r="F12" s="19">
        <f t="shared" si="3"/>
        <v>968.06589474330644</v>
      </c>
      <c r="M12" s="19">
        <v>969.03349733907442</v>
      </c>
      <c r="N12" s="19">
        <v>968.06589474330644</v>
      </c>
      <c r="P12" s="1">
        <v>9</v>
      </c>
      <c r="Q12" s="1">
        <f t="shared" si="2"/>
        <v>9.0054794520547947</v>
      </c>
    </row>
    <row r="13" spans="1:17" x14ac:dyDescent="0.75">
      <c r="A13" s="1">
        <v>10</v>
      </c>
      <c r="B13" s="96">
        <v>44147</v>
      </c>
      <c r="C13" s="100">
        <v>5000</v>
      </c>
      <c r="E13" s="19">
        <f t="shared" si="0"/>
        <v>807.52791444922877</v>
      </c>
      <c r="F13" s="19">
        <f t="shared" si="3"/>
        <v>806.31871318409969</v>
      </c>
      <c r="M13" s="19">
        <v>807.52791444922877</v>
      </c>
      <c r="N13" s="19">
        <v>806.31871318409969</v>
      </c>
      <c r="P13" s="1">
        <v>10</v>
      </c>
      <c r="Q13" s="1">
        <f t="shared" si="2"/>
        <v>10.008219178082191</v>
      </c>
    </row>
    <row r="14" spans="1:17" x14ac:dyDescent="0.75">
      <c r="A14" s="1">
        <v>12</v>
      </c>
      <c r="B14" s="99">
        <v>44877</v>
      </c>
      <c r="C14" s="100">
        <v>5000</v>
      </c>
      <c r="E14" s="19">
        <f t="shared" si="0"/>
        <v>560.78327392307551</v>
      </c>
      <c r="F14" s="19">
        <f t="shared" si="3"/>
        <v>559.9435508222914</v>
      </c>
      <c r="I14" s="94" t="s">
        <v>328</v>
      </c>
      <c r="M14" s="19">
        <v>560.78327392307551</v>
      </c>
      <c r="N14" s="19">
        <v>559.9435508222914</v>
      </c>
      <c r="P14" s="1">
        <v>12</v>
      </c>
      <c r="Q14" s="1">
        <f t="shared" si="2"/>
        <v>12.008219178082191</v>
      </c>
    </row>
    <row r="16" spans="1:17" x14ac:dyDescent="0.75">
      <c r="B16" s="64" t="s">
        <v>257</v>
      </c>
      <c r="C16" s="64" t="s">
        <v>258</v>
      </c>
      <c r="E16" s="102" t="s">
        <v>258</v>
      </c>
      <c r="F16" s="101" t="s">
        <v>262</v>
      </c>
      <c r="G16" s="64" t="s">
        <v>41</v>
      </c>
      <c r="I16" s="102" t="s">
        <v>258</v>
      </c>
    </row>
    <row r="17" spans="1:9" ht="14.4" customHeight="1" x14ac:dyDescent="0.75">
      <c r="A17" s="147" t="s">
        <v>265</v>
      </c>
      <c r="B17" s="103">
        <v>40494</v>
      </c>
      <c r="C17" s="104">
        <v>-5000</v>
      </c>
      <c r="E17" s="12">
        <f>C17/(1+$G$17)^((B17-$B$17)/365)</f>
        <v>-5000</v>
      </c>
      <c r="F17" s="12">
        <f>XNPV(G17,C17:C26,B17:B26)</f>
        <v>321.49960825234581</v>
      </c>
      <c r="G17" s="1">
        <v>0.15</v>
      </c>
      <c r="I17" s="12" cm="1">
        <f t="array" ref="I17:I26">C17:C26/(1+G17)^((B17:B26-B17)/365)</f>
        <v>-5000</v>
      </c>
    </row>
    <row r="18" spans="1:9" x14ac:dyDescent="0.75">
      <c r="A18" s="147"/>
      <c r="B18" s="103">
        <v>40524</v>
      </c>
      <c r="C18" s="104">
        <v>700</v>
      </c>
      <c r="E18" s="12">
        <f>C18/(1+$G$17)^((B18-$B$17)/365)</f>
        <v>692.00491078905168</v>
      </c>
      <c r="F18" s="101" t="s">
        <v>268</v>
      </c>
      <c r="I18" s="12">
        <v>692.00491078905168</v>
      </c>
    </row>
    <row r="19" spans="1:9" x14ac:dyDescent="0.75">
      <c r="A19" s="147"/>
      <c r="B19" s="103">
        <v>40555</v>
      </c>
      <c r="C19" s="104">
        <v>700</v>
      </c>
      <c r="E19" s="12">
        <f t="shared" ref="E19:E26" si="4">C19/(1+$G$17)^((B19-$B$17)/365)</f>
        <v>683.83923930471781</v>
      </c>
      <c r="F19" s="12">
        <f>SUM(E17:E26)</f>
        <v>321.49960825234581</v>
      </c>
      <c r="I19" s="12">
        <v>683.83923930471781</v>
      </c>
    </row>
    <row r="20" spans="1:9" x14ac:dyDescent="0.75">
      <c r="A20" s="147"/>
      <c r="B20" s="103">
        <v>40586</v>
      </c>
      <c r="C20" s="104">
        <v>700</v>
      </c>
      <c r="E20" s="12">
        <f t="shared" si="4"/>
        <v>675.76992290363592</v>
      </c>
      <c r="I20" s="12">
        <v>675.76992290363592</v>
      </c>
    </row>
    <row r="21" spans="1:9" x14ac:dyDescent="0.75">
      <c r="A21" s="147"/>
      <c r="B21" s="103">
        <v>40614</v>
      </c>
      <c r="C21" s="104">
        <v>700</v>
      </c>
      <c r="E21" s="12">
        <f t="shared" si="4"/>
        <v>668.5633813245903</v>
      </c>
      <c r="F21" s="64" t="s">
        <v>263</v>
      </c>
      <c r="I21" s="12">
        <v>668.5633813245903</v>
      </c>
    </row>
    <row r="22" spans="1:9" ht="14.4" customHeight="1" x14ac:dyDescent="0.75">
      <c r="A22" s="148" t="s">
        <v>1</v>
      </c>
      <c r="B22" s="105">
        <v>40980</v>
      </c>
      <c r="C22" s="2">
        <v>700</v>
      </c>
      <c r="E22" s="12">
        <f t="shared" si="4"/>
        <v>581.136896614394</v>
      </c>
      <c r="F22" s="12">
        <f>XIRR(C17:C26,B17:B26)</f>
        <v>0.21642826199531559</v>
      </c>
      <c r="I22" s="12">
        <v>581.136896614394</v>
      </c>
    </row>
    <row r="23" spans="1:9" x14ac:dyDescent="0.75">
      <c r="A23" s="148"/>
      <c r="B23" s="105">
        <v>41345</v>
      </c>
      <c r="C23" s="2">
        <v>700</v>
      </c>
      <c r="E23" s="12">
        <f t="shared" si="4"/>
        <v>505.33643183860363</v>
      </c>
      <c r="I23" s="12">
        <v>505.33643183860363</v>
      </c>
    </row>
    <row r="24" spans="1:9" ht="14.4" customHeight="1" x14ac:dyDescent="0.75">
      <c r="A24" s="149" t="s">
        <v>264</v>
      </c>
      <c r="B24" s="106">
        <v>41346</v>
      </c>
      <c r="C24" s="107">
        <v>700</v>
      </c>
      <c r="E24" s="12">
        <f t="shared" si="4"/>
        <v>505.14297079433442</v>
      </c>
      <c r="I24" s="12">
        <v>505.14297079433442</v>
      </c>
    </row>
    <row r="25" spans="1:9" x14ac:dyDescent="0.75">
      <c r="A25" s="149"/>
      <c r="B25" s="106">
        <v>41347</v>
      </c>
      <c r="C25" s="107">
        <v>700</v>
      </c>
      <c r="E25" s="12">
        <f t="shared" si="4"/>
        <v>504.94958381394287</v>
      </c>
      <c r="I25" s="12">
        <v>504.94958381394287</v>
      </c>
    </row>
    <row r="26" spans="1:9" x14ac:dyDescent="0.75">
      <c r="A26" s="149"/>
      <c r="B26" s="106">
        <v>41348</v>
      </c>
      <c r="C26" s="107">
        <v>700</v>
      </c>
      <c r="E26" s="12">
        <f t="shared" si="4"/>
        <v>504.75627086907457</v>
      </c>
      <c r="I26" s="12">
        <v>504.75627086907457</v>
      </c>
    </row>
  </sheetData>
  <mergeCells count="3">
    <mergeCell ref="A17:A21"/>
    <mergeCell ref="A22:A23"/>
    <mergeCell ref="A24:A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H7"/>
  <sheetViews>
    <sheetView zoomScale="145" zoomScaleNormal="145" workbookViewId="0"/>
  </sheetViews>
  <sheetFormatPr defaultRowHeight="14.75" x14ac:dyDescent="0.75"/>
  <cols>
    <col min="1" max="1" width="30.76953125" customWidth="1"/>
    <col min="2" max="2" width="15.54296875" bestFit="1" customWidth="1"/>
    <col min="3" max="3" width="23.54296875" customWidth="1"/>
    <col min="4" max="4" width="11.6796875" bestFit="1" customWidth="1"/>
    <col min="7" max="7" width="19.31640625" bestFit="1" customWidth="1"/>
    <col min="8" max="8" width="11.6796875" bestFit="1" customWidth="1"/>
  </cols>
  <sheetData>
    <row r="1" spans="1:8" ht="31.25" x14ac:dyDescent="1.45">
      <c r="A1" s="110" t="s">
        <v>273</v>
      </c>
    </row>
    <row r="2" spans="1:8" x14ac:dyDescent="0.75">
      <c r="A2" s="64" t="s">
        <v>274</v>
      </c>
      <c r="B2" s="6">
        <v>5500000</v>
      </c>
      <c r="C2" s="1"/>
      <c r="D2" s="1"/>
      <c r="G2" s="1" t="s">
        <v>275</v>
      </c>
      <c r="H2" s="1" t="s">
        <v>276</v>
      </c>
    </row>
    <row r="3" spans="1:8" x14ac:dyDescent="0.75">
      <c r="A3" s="64" t="s">
        <v>277</v>
      </c>
      <c r="B3" s="6">
        <v>6000000</v>
      </c>
      <c r="C3" s="1"/>
      <c r="D3" s="1"/>
      <c r="G3" s="1" t="s">
        <v>12</v>
      </c>
      <c r="H3" s="1" t="s">
        <v>278</v>
      </c>
    </row>
    <row r="4" spans="1:8" x14ac:dyDescent="0.75">
      <c r="A4" s="64" t="s">
        <v>302</v>
      </c>
      <c r="B4" s="6">
        <v>19000000</v>
      </c>
      <c r="C4" s="1"/>
      <c r="D4" s="1"/>
      <c r="G4" s="1" t="s">
        <v>279</v>
      </c>
    </row>
    <row r="5" spans="1:8" x14ac:dyDescent="0.75">
      <c r="A5" s="64" t="s">
        <v>280</v>
      </c>
      <c r="B5" s="6">
        <v>500000</v>
      </c>
      <c r="C5" s="1"/>
      <c r="D5" s="1"/>
    </row>
    <row r="7" spans="1:8" ht="29.5" x14ac:dyDescent="0.75">
      <c r="A7" s="31" t="s">
        <v>301</v>
      </c>
      <c r="B7" s="83"/>
    </row>
  </sheetData>
  <dataValidations count="2">
    <dataValidation type="list" allowBlank="1" showInputMessage="1" showErrorMessage="1" sqref="D2:D5" xr:uid="{00000000-0002-0000-0400-000000000000}">
      <formula1>$H$2:$H$3</formula1>
    </dataValidation>
    <dataValidation type="list" allowBlank="1" showInputMessage="1" showErrorMessage="1" sqref="C2:C5" xr:uid="{00000000-0002-0000-0400-000001000000}">
      <formula1>$G$2:$G$4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7"/>
  <sheetViews>
    <sheetView zoomScale="115" zoomScaleNormal="115" workbookViewId="0"/>
  </sheetViews>
  <sheetFormatPr defaultRowHeight="14.75" x14ac:dyDescent="0.75"/>
  <cols>
    <col min="1" max="1" width="30.76953125" customWidth="1"/>
    <col min="2" max="2" width="15.54296875" bestFit="1" customWidth="1"/>
    <col min="3" max="3" width="23.54296875" customWidth="1"/>
    <col min="4" max="4" width="11.6796875" bestFit="1" customWidth="1"/>
    <col min="7" max="7" width="19.31640625" bestFit="1" customWidth="1"/>
    <col min="8" max="8" width="11.6796875" bestFit="1" customWidth="1"/>
  </cols>
  <sheetData>
    <row r="1" spans="1:8" ht="31.25" x14ac:dyDescent="1.45">
      <c r="A1" s="110" t="s">
        <v>273</v>
      </c>
    </row>
    <row r="2" spans="1:8" x14ac:dyDescent="0.75">
      <c r="A2" s="64" t="s">
        <v>274</v>
      </c>
      <c r="B2" s="6">
        <v>5500000</v>
      </c>
      <c r="C2" s="1" t="s">
        <v>275</v>
      </c>
      <c r="D2" s="1" t="s">
        <v>276</v>
      </c>
      <c r="G2" s="1" t="s">
        <v>275</v>
      </c>
      <c r="H2" s="1" t="s">
        <v>276</v>
      </c>
    </row>
    <row r="3" spans="1:8" x14ac:dyDescent="0.75">
      <c r="A3" s="64" t="s">
        <v>277</v>
      </c>
      <c r="B3" s="6">
        <v>6000000</v>
      </c>
      <c r="C3" s="1" t="s">
        <v>12</v>
      </c>
      <c r="D3" s="1" t="s">
        <v>278</v>
      </c>
      <c r="G3" s="1" t="s">
        <v>12</v>
      </c>
      <c r="H3" s="1" t="s">
        <v>278</v>
      </c>
    </row>
    <row r="4" spans="1:8" x14ac:dyDescent="0.75">
      <c r="A4" s="64" t="s">
        <v>302</v>
      </c>
      <c r="B4" s="6">
        <v>19000000</v>
      </c>
      <c r="C4" s="1" t="s">
        <v>279</v>
      </c>
      <c r="D4" s="1" t="s">
        <v>278</v>
      </c>
      <c r="G4" s="1" t="s">
        <v>279</v>
      </c>
    </row>
    <row r="5" spans="1:8" x14ac:dyDescent="0.75">
      <c r="A5" s="64" t="s">
        <v>280</v>
      </c>
      <c r="B5" s="6">
        <v>500000</v>
      </c>
      <c r="C5" s="1" t="s">
        <v>279</v>
      </c>
      <c r="D5" s="1" t="s">
        <v>278</v>
      </c>
    </row>
    <row r="7" spans="1:8" ht="29.5" x14ac:dyDescent="0.75">
      <c r="A7" s="31" t="s">
        <v>301</v>
      </c>
      <c r="B7" s="83">
        <f>B3+B4+B5</f>
        <v>25500000</v>
      </c>
    </row>
  </sheetData>
  <dataValidations count="2">
    <dataValidation type="list" allowBlank="1" showInputMessage="1" showErrorMessage="1" sqref="C2:C5" xr:uid="{00000000-0002-0000-0500-000000000000}">
      <formula1>$G$2:$G$4</formula1>
    </dataValidation>
    <dataValidation type="list" allowBlank="1" showInputMessage="1" showErrorMessage="1" sqref="D2:D5" xr:uid="{00000000-0002-0000-0500-000001000000}">
      <formula1>$H$2:$H$3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E40"/>
  <sheetViews>
    <sheetView zoomScale="85" zoomScaleNormal="85" workbookViewId="0"/>
  </sheetViews>
  <sheetFormatPr defaultRowHeight="14.75" x14ac:dyDescent="0.75"/>
  <cols>
    <col min="1" max="1" width="49.76953125" customWidth="1"/>
    <col min="2" max="2" width="19.6796875" customWidth="1"/>
    <col min="3" max="3" width="12.54296875" bestFit="1" customWidth="1"/>
    <col min="4" max="4" width="14.2265625" customWidth="1"/>
    <col min="5" max="5" width="19.76953125" customWidth="1"/>
  </cols>
  <sheetData>
    <row r="1" spans="1:5" ht="31.25" x14ac:dyDescent="1.45">
      <c r="A1" s="110" t="s">
        <v>311</v>
      </c>
    </row>
    <row r="3" spans="1:5" x14ac:dyDescent="0.75">
      <c r="A3" s="1" t="s">
        <v>303</v>
      </c>
      <c r="B3" s="17">
        <v>90000</v>
      </c>
    </row>
    <row r="5" spans="1:5" ht="29.5" x14ac:dyDescent="0.75">
      <c r="A5" s="31" t="s">
        <v>281</v>
      </c>
      <c r="B5" s="31" t="s">
        <v>307</v>
      </c>
      <c r="C5" s="31" t="s">
        <v>282</v>
      </c>
      <c r="D5" s="31" t="s">
        <v>283</v>
      </c>
      <c r="E5" s="31" t="s">
        <v>7</v>
      </c>
    </row>
    <row r="6" spans="1:5" x14ac:dyDescent="0.75">
      <c r="A6" s="63" t="s">
        <v>304</v>
      </c>
      <c r="B6" s="112">
        <v>26000</v>
      </c>
      <c r="C6" s="111">
        <v>100000</v>
      </c>
      <c r="D6" s="112">
        <v>3000</v>
      </c>
      <c r="E6" s="82"/>
    </row>
    <row r="7" spans="1:5" x14ac:dyDescent="0.75">
      <c r="A7" s="63" t="s">
        <v>305</v>
      </c>
      <c r="B7" s="112">
        <v>5000</v>
      </c>
      <c r="C7" s="111">
        <v>125000</v>
      </c>
      <c r="D7" s="112">
        <v>-700</v>
      </c>
      <c r="E7" s="82"/>
    </row>
    <row r="8" spans="1:5" x14ac:dyDescent="0.75">
      <c r="A8" s="63" t="s">
        <v>306</v>
      </c>
      <c r="B8" s="112">
        <v>21000</v>
      </c>
      <c r="C8" s="111">
        <v>75000</v>
      </c>
      <c r="D8" s="112"/>
      <c r="E8" s="82"/>
    </row>
    <row r="10" spans="1:5" x14ac:dyDescent="0.75">
      <c r="B10" s="64" t="s">
        <v>284</v>
      </c>
    </row>
    <row r="11" spans="1:5" x14ac:dyDescent="0.75">
      <c r="A11" s="113" t="str">
        <f t="shared" ref="A11:A13" si="0">A6</f>
        <v>D9 Bulldozer</v>
      </c>
      <c r="B11" s="82"/>
    </row>
    <row r="12" spans="1:5" x14ac:dyDescent="0.75">
      <c r="A12" s="113" t="str">
        <f t="shared" si="0"/>
        <v>D9-Q Billdozer</v>
      </c>
      <c r="B12" s="82"/>
    </row>
    <row r="13" spans="1:5" ht="15.5" thickBot="1" x14ac:dyDescent="0.9">
      <c r="A13" s="114" t="str">
        <f t="shared" si="0"/>
        <v>New Bulldozer</v>
      </c>
      <c r="B13" s="115"/>
    </row>
    <row r="14" spans="1:5" ht="16.25" thickTop="1" thickBot="1" x14ac:dyDescent="0.9">
      <c r="A14" s="116" t="s">
        <v>308</v>
      </c>
      <c r="B14" s="117"/>
    </row>
    <row r="15" spans="1:5" ht="15.5" thickTop="1" x14ac:dyDescent="0.75"/>
    <row r="17" spans="1:2" ht="31.25" x14ac:dyDescent="1.45">
      <c r="A17" s="110" t="s">
        <v>312</v>
      </c>
    </row>
    <row r="19" spans="1:2" x14ac:dyDescent="0.75">
      <c r="A19" s="64" t="s">
        <v>285</v>
      </c>
      <c r="B19" s="79" t="s">
        <v>309</v>
      </c>
    </row>
    <row r="20" spans="1:2" x14ac:dyDescent="0.75">
      <c r="A20" s="64" t="str">
        <f>"Price "&amp;B19</f>
        <v>Price Old Printing Machine</v>
      </c>
      <c r="B20" s="6">
        <v>21400</v>
      </c>
    </row>
    <row r="21" spans="1:2" x14ac:dyDescent="0.75">
      <c r="A21" s="64" t="str">
        <f>B19&amp;" Current Yearly Units Sold ="</f>
        <v>Old Printing Machine Current Yearly Units Sold =</v>
      </c>
      <c r="B21" s="7">
        <v>1900</v>
      </c>
    </row>
    <row r="22" spans="1:2" x14ac:dyDescent="0.75">
      <c r="A22" s="64" t="str">
        <f>"If New Unit Sold, "&amp;B19&amp;" Yearly Units Sold ="</f>
        <v>If New Unit Sold, Old Printing Machine Yearly Units Sold =</v>
      </c>
      <c r="B22" s="7">
        <v>1720</v>
      </c>
    </row>
    <row r="23" spans="1:2" x14ac:dyDescent="0.75">
      <c r="A23" s="64" t="s">
        <v>286</v>
      </c>
      <c r="B23" s="1" t="s">
        <v>310</v>
      </c>
    </row>
    <row r="24" spans="1:2" x14ac:dyDescent="0.75">
      <c r="A24" s="64" t="str">
        <f>"Price "&amp;B23</f>
        <v>Price New Printing Machine</v>
      </c>
      <c r="B24" s="6">
        <v>25500</v>
      </c>
    </row>
    <row r="25" spans="1:2" x14ac:dyDescent="0.75">
      <c r="A25" s="64" t="str">
        <f>"Expected Units Sold for "&amp;B23</f>
        <v>Expected Units Sold for New Printing Machine</v>
      </c>
      <c r="B25" s="7">
        <v>1400</v>
      </c>
    </row>
    <row r="26" spans="1:2" x14ac:dyDescent="0.75">
      <c r="A26" s="64" t="s">
        <v>287</v>
      </c>
      <c r="B26" s="67">
        <v>0.55000000000000004</v>
      </c>
    </row>
    <row r="27" spans="1:2" x14ac:dyDescent="0.75">
      <c r="A27" s="64" t="str">
        <f>"Depr on "&amp;B23&amp;" Equipment"</f>
        <v>Depr on New Printing Machine Equipment</v>
      </c>
      <c r="B27" s="6">
        <v>1500000</v>
      </c>
    </row>
    <row r="28" spans="1:2" x14ac:dyDescent="0.75">
      <c r="A28" s="64" t="str">
        <f>"FC for "&amp;B23&amp;" Equipment"</f>
        <v>FC for New Printing Machine Equipment</v>
      </c>
      <c r="B28" s="6">
        <v>1000000</v>
      </c>
    </row>
    <row r="29" spans="1:2" x14ac:dyDescent="0.75">
      <c r="A29" s="64" t="s">
        <v>4</v>
      </c>
      <c r="B29" s="1">
        <v>0.34</v>
      </c>
    </row>
    <row r="30" spans="1:2" x14ac:dyDescent="0.75">
      <c r="A30" s="64" t="s">
        <v>288</v>
      </c>
      <c r="B30" s="1" t="s">
        <v>289</v>
      </c>
    </row>
    <row r="32" spans="1:2" x14ac:dyDescent="0.75">
      <c r="A32" s="1" t="str">
        <f>"Erosion In Sales From "&amp;$B$19</f>
        <v>Erosion In Sales From Old Printing Machine</v>
      </c>
      <c r="B32" s="82"/>
    </row>
    <row r="33" spans="1:2" x14ac:dyDescent="0.75">
      <c r="A33" s="1" t="str">
        <f>"Erosion In VC From "&amp;$B$19</f>
        <v>Erosion In VC From Old Printing Machine</v>
      </c>
      <c r="B33" s="82"/>
    </row>
    <row r="34" spans="1:2" x14ac:dyDescent="0.75">
      <c r="A34" s="1" t="str">
        <f>"Sales From "&amp;$B$23</f>
        <v>Sales From New Printing Machine</v>
      </c>
      <c r="B34" s="118"/>
    </row>
    <row r="35" spans="1:2" x14ac:dyDescent="0.75">
      <c r="A35" s="1" t="str">
        <f>"Total VC for "&amp;$B$23</f>
        <v>Total VC for New Printing Machine</v>
      </c>
      <c r="B35" s="118"/>
    </row>
    <row r="36" spans="1:2" x14ac:dyDescent="0.75">
      <c r="A36" s="1" t="str">
        <f>"Total FC for "&amp;$B$23</f>
        <v>Total FC for New Printing Machine</v>
      </c>
      <c r="B36" s="118"/>
    </row>
    <row r="37" spans="1:2" x14ac:dyDescent="0.75">
      <c r="A37" s="1" t="str">
        <f>"Depr for "&amp;$B$23</f>
        <v>Depr for New Printing Machine</v>
      </c>
      <c r="B37" s="118"/>
    </row>
    <row r="38" spans="1:2" x14ac:dyDescent="0.75">
      <c r="A38" s="1" t="s">
        <v>10</v>
      </c>
      <c r="B38" s="118"/>
    </row>
    <row r="39" spans="1:2" x14ac:dyDescent="0.75">
      <c r="A39" s="1" t="s">
        <v>11</v>
      </c>
      <c r="B39" s="118"/>
    </row>
    <row r="40" spans="1:2" x14ac:dyDescent="0.75">
      <c r="A40" s="1" t="s">
        <v>17</v>
      </c>
      <c r="B40" s="1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40"/>
  <sheetViews>
    <sheetView workbookViewId="0"/>
  </sheetViews>
  <sheetFormatPr defaultRowHeight="14.75" x14ac:dyDescent="0.75"/>
  <cols>
    <col min="1" max="1" width="49.76953125" customWidth="1"/>
    <col min="2" max="2" width="19.6796875" customWidth="1"/>
    <col min="3" max="3" width="12.54296875" bestFit="1" customWidth="1"/>
    <col min="4" max="4" width="14.2265625" customWidth="1"/>
    <col min="5" max="5" width="19.76953125" customWidth="1"/>
    <col min="7" max="7" width="19.453125" customWidth="1"/>
  </cols>
  <sheetData>
    <row r="1" spans="1:7" ht="31.25" x14ac:dyDescent="1.45">
      <c r="A1" s="110" t="s">
        <v>311</v>
      </c>
    </row>
    <row r="3" spans="1:7" x14ac:dyDescent="0.75">
      <c r="A3" s="1" t="s">
        <v>303</v>
      </c>
      <c r="B3" s="17">
        <v>90000</v>
      </c>
      <c r="C3" t="s">
        <v>275</v>
      </c>
      <c r="G3" s="94" t="s">
        <v>328</v>
      </c>
    </row>
    <row r="5" spans="1:7" ht="29.5" x14ac:dyDescent="0.75">
      <c r="A5" s="31" t="s">
        <v>281</v>
      </c>
      <c r="B5" s="31" t="s">
        <v>307</v>
      </c>
      <c r="C5" s="31" t="s">
        <v>282</v>
      </c>
      <c r="D5" s="31" t="s">
        <v>283</v>
      </c>
      <c r="E5" s="31" t="s">
        <v>7</v>
      </c>
      <c r="G5" s="31" t="s">
        <v>7</v>
      </c>
    </row>
    <row r="6" spans="1:7" x14ac:dyDescent="0.75">
      <c r="A6" s="63" t="s">
        <v>304</v>
      </c>
      <c r="B6" s="112">
        <v>26000</v>
      </c>
      <c r="C6" s="111">
        <v>100000</v>
      </c>
      <c r="D6" s="112">
        <v>3000</v>
      </c>
      <c r="E6" s="82">
        <f>B6*C6</f>
        <v>2600000000</v>
      </c>
      <c r="G6" s="82" cm="1">
        <f t="array" ref="G6:G8">B6:B8*C6:C8</f>
        <v>2600000000</v>
      </c>
    </row>
    <row r="7" spans="1:7" x14ac:dyDescent="0.75">
      <c r="A7" s="63" t="s">
        <v>305</v>
      </c>
      <c r="B7" s="112">
        <v>5000</v>
      </c>
      <c r="C7" s="111">
        <v>125000</v>
      </c>
      <c r="D7" s="112">
        <v>-700</v>
      </c>
      <c r="E7" s="82">
        <f t="shared" ref="E7:E8" si="0">B7*C7</f>
        <v>625000000</v>
      </c>
      <c r="G7" s="82">
        <v>625000000</v>
      </c>
    </row>
    <row r="8" spans="1:7" x14ac:dyDescent="0.75">
      <c r="A8" s="63" t="s">
        <v>306</v>
      </c>
      <c r="B8" s="112">
        <v>21000</v>
      </c>
      <c r="C8" s="111">
        <v>75000</v>
      </c>
      <c r="D8" s="112"/>
      <c r="E8" s="82">
        <f t="shared" si="0"/>
        <v>1575000000</v>
      </c>
      <c r="G8" s="82">
        <v>1575000000</v>
      </c>
    </row>
    <row r="10" spans="1:7" x14ac:dyDescent="0.75">
      <c r="B10" s="64" t="s">
        <v>284</v>
      </c>
    </row>
    <row r="11" spans="1:7" x14ac:dyDescent="0.75">
      <c r="A11" s="113" t="str">
        <f t="shared" ref="A11:A13" si="1">A6</f>
        <v>D9 Bulldozer</v>
      </c>
      <c r="B11" s="82">
        <f>D6*C6</f>
        <v>300000000</v>
      </c>
    </row>
    <row r="12" spans="1:7" x14ac:dyDescent="0.75">
      <c r="A12" s="113" t="str">
        <f t="shared" si="1"/>
        <v>D9-Q Billdozer</v>
      </c>
      <c r="B12" s="82">
        <f>D7*C7</f>
        <v>-87500000</v>
      </c>
    </row>
    <row r="13" spans="1:7" ht="15.5" thickBot="1" x14ac:dyDescent="0.9">
      <c r="A13" s="114" t="str">
        <f t="shared" si="1"/>
        <v>New Bulldozer</v>
      </c>
      <c r="B13" s="115">
        <f>E8</f>
        <v>1575000000</v>
      </c>
    </row>
    <row r="14" spans="1:7" ht="16.25" thickTop="1" thickBot="1" x14ac:dyDescent="0.9">
      <c r="A14" s="116" t="s">
        <v>308</v>
      </c>
      <c r="B14" s="117">
        <f>SUM(B11:B13)</f>
        <v>1787500000</v>
      </c>
    </row>
    <row r="15" spans="1:7" ht="15.5" thickTop="1" x14ac:dyDescent="0.75"/>
    <row r="17" spans="1:2" ht="31.25" x14ac:dyDescent="1.45">
      <c r="A17" s="110" t="s">
        <v>312</v>
      </c>
    </row>
    <row r="19" spans="1:2" x14ac:dyDescent="0.75">
      <c r="A19" s="64" t="s">
        <v>285</v>
      </c>
      <c r="B19" s="79" t="s">
        <v>309</v>
      </c>
    </row>
    <row r="20" spans="1:2" x14ac:dyDescent="0.75">
      <c r="A20" s="64" t="str">
        <f>"Price "&amp;B19</f>
        <v>Price Old Printing Machine</v>
      </c>
      <c r="B20" s="6">
        <v>21400</v>
      </c>
    </row>
    <row r="21" spans="1:2" x14ac:dyDescent="0.75">
      <c r="A21" s="64" t="str">
        <f>B19&amp;" Current Yearly Units Sold ="</f>
        <v>Old Printing Machine Current Yearly Units Sold =</v>
      </c>
      <c r="B21" s="7">
        <v>1900</v>
      </c>
    </row>
    <row r="22" spans="1:2" x14ac:dyDescent="0.75">
      <c r="A22" s="64" t="str">
        <f>"If New Unit Sold, "&amp;B19&amp;" Yearly Units Sold ="</f>
        <v>If New Unit Sold, Old Printing Machine Yearly Units Sold =</v>
      </c>
      <c r="B22" s="7">
        <v>1720</v>
      </c>
    </row>
    <row r="23" spans="1:2" x14ac:dyDescent="0.75">
      <c r="A23" s="64" t="s">
        <v>286</v>
      </c>
      <c r="B23" s="1" t="s">
        <v>310</v>
      </c>
    </row>
    <row r="24" spans="1:2" x14ac:dyDescent="0.75">
      <c r="A24" s="64" t="str">
        <f>"Price "&amp;B23</f>
        <v>Price New Printing Machine</v>
      </c>
      <c r="B24" s="6">
        <v>25500</v>
      </c>
    </row>
    <row r="25" spans="1:2" x14ac:dyDescent="0.75">
      <c r="A25" s="64" t="str">
        <f>"Expected Units Sold for "&amp;B23</f>
        <v>Expected Units Sold for New Printing Machine</v>
      </c>
      <c r="B25" s="7">
        <v>1400</v>
      </c>
    </row>
    <row r="26" spans="1:2" x14ac:dyDescent="0.75">
      <c r="A26" s="64" t="s">
        <v>287</v>
      </c>
      <c r="B26" s="67">
        <v>0.55000000000000004</v>
      </c>
    </row>
    <row r="27" spans="1:2" x14ac:dyDescent="0.75">
      <c r="A27" s="64" t="str">
        <f>"Depr on "&amp;B23&amp;" Equipment"</f>
        <v>Depr on New Printing Machine Equipment</v>
      </c>
      <c r="B27" s="6">
        <v>1500000</v>
      </c>
    </row>
    <row r="28" spans="1:2" x14ac:dyDescent="0.75">
      <c r="A28" s="64" t="str">
        <f>"FC for "&amp;B23&amp;" Equipment"</f>
        <v>FC for New Printing Machine Equipment</v>
      </c>
      <c r="B28" s="6">
        <v>1000000</v>
      </c>
    </row>
    <row r="29" spans="1:2" x14ac:dyDescent="0.75">
      <c r="A29" s="64" t="s">
        <v>4</v>
      </c>
      <c r="B29" s="1">
        <v>0.34</v>
      </c>
    </row>
    <row r="30" spans="1:2" x14ac:dyDescent="0.75">
      <c r="A30" s="64" t="s">
        <v>288</v>
      </c>
      <c r="B30" s="1" t="s">
        <v>289</v>
      </c>
    </row>
    <row r="32" spans="1:2" x14ac:dyDescent="0.75">
      <c r="A32" s="1" t="str">
        <f>"Erosion In Sales From "&amp;$B$19</f>
        <v>Erosion In Sales From Old Printing Machine</v>
      </c>
      <c r="B32" s="82">
        <f>-(B21-B22)*B20</f>
        <v>-3852000</v>
      </c>
    </row>
    <row r="33" spans="1:2" x14ac:dyDescent="0.75">
      <c r="A33" s="1" t="str">
        <f>"Erosion In VC From "&amp;$B$19</f>
        <v>Erosion In VC From Old Printing Machine</v>
      </c>
      <c r="B33" s="82">
        <f>B26*-B32</f>
        <v>2118600</v>
      </c>
    </row>
    <row r="34" spans="1:2" x14ac:dyDescent="0.75">
      <c r="A34" s="1" t="str">
        <f>"Sales From "&amp;$B$23</f>
        <v>Sales From New Printing Machine</v>
      </c>
      <c r="B34" s="118">
        <f>B24*B25</f>
        <v>35700000</v>
      </c>
    </row>
    <row r="35" spans="1:2" x14ac:dyDescent="0.75">
      <c r="A35" s="1" t="str">
        <f>"Total VC for "&amp;$B$23</f>
        <v>Total VC for New Printing Machine</v>
      </c>
      <c r="B35" s="118">
        <f>-B34*B26</f>
        <v>-19635000</v>
      </c>
    </row>
    <row r="36" spans="1:2" x14ac:dyDescent="0.75">
      <c r="A36" s="1" t="str">
        <f>"Total FC for "&amp;$B$23</f>
        <v>Total FC for New Printing Machine</v>
      </c>
      <c r="B36" s="118">
        <f>-B28</f>
        <v>-1000000</v>
      </c>
    </row>
    <row r="37" spans="1:2" x14ac:dyDescent="0.75">
      <c r="A37" s="1" t="str">
        <f>"Depr for "&amp;$B$23</f>
        <v>Depr for New Printing Machine</v>
      </c>
      <c r="B37" s="118">
        <f>-B27</f>
        <v>-1500000</v>
      </c>
    </row>
    <row r="38" spans="1:2" x14ac:dyDescent="0.75">
      <c r="A38" s="1" t="s">
        <v>10</v>
      </c>
      <c r="B38" s="118">
        <f>SUM(B32:B37)</f>
        <v>11831600</v>
      </c>
    </row>
    <row r="39" spans="1:2" x14ac:dyDescent="0.75">
      <c r="A39" s="1" t="s">
        <v>11</v>
      </c>
      <c r="B39" s="118">
        <f>ROUND(B38*B29,0)</f>
        <v>4022744</v>
      </c>
    </row>
    <row r="40" spans="1:2" x14ac:dyDescent="0.75">
      <c r="A40" s="1" t="s">
        <v>17</v>
      </c>
      <c r="B40" s="118">
        <f>B38-B39-B37</f>
        <v>9308856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H39"/>
  <sheetViews>
    <sheetView showGridLines="0" zoomScaleNormal="100" workbookViewId="0"/>
  </sheetViews>
  <sheetFormatPr defaultRowHeight="14.75" x14ac:dyDescent="0.75"/>
  <cols>
    <col min="1" max="1" width="24.86328125" customWidth="1"/>
    <col min="2" max="2" width="12.6796875" customWidth="1"/>
    <col min="3" max="3" width="12.31640625" customWidth="1"/>
    <col min="4" max="4" width="13.2265625" customWidth="1"/>
    <col min="5" max="5" width="23.76953125" customWidth="1"/>
    <col min="6" max="6" width="13.08984375" bestFit="1" customWidth="1"/>
    <col min="7" max="7" width="16.08984375" customWidth="1"/>
  </cols>
  <sheetData>
    <row r="1" spans="1:4" x14ac:dyDescent="0.75">
      <c r="A1" s="18" t="s">
        <v>36</v>
      </c>
      <c r="B1" s="18"/>
    </row>
    <row r="2" spans="1:4" x14ac:dyDescent="0.75">
      <c r="A2" s="1" t="s">
        <v>37</v>
      </c>
      <c r="B2" s="13">
        <v>30000</v>
      </c>
    </row>
    <row r="3" spans="1:4" x14ac:dyDescent="0.75">
      <c r="A3" s="1" t="s">
        <v>39</v>
      </c>
      <c r="B3" s="17">
        <v>10</v>
      </c>
    </row>
    <row r="4" spans="1:4" x14ac:dyDescent="0.75">
      <c r="A4" s="1" t="s">
        <v>38</v>
      </c>
      <c r="B4" s="17">
        <v>7.5</v>
      </c>
    </row>
    <row r="5" spans="1:4" x14ac:dyDescent="0.75">
      <c r="A5" s="1" t="s">
        <v>40</v>
      </c>
      <c r="B5" s="1">
        <v>3</v>
      </c>
    </row>
    <row r="6" spans="1:4" x14ac:dyDescent="0.75">
      <c r="A6" s="1" t="s">
        <v>41</v>
      </c>
      <c r="B6" s="1">
        <v>0.17499999999999999</v>
      </c>
    </row>
    <row r="7" spans="1:4" x14ac:dyDescent="0.75">
      <c r="A7" s="1" t="s">
        <v>6</v>
      </c>
      <c r="B7" s="17">
        <v>10000</v>
      </c>
      <c r="C7" t="s">
        <v>42</v>
      </c>
      <c r="D7" t="s">
        <v>51</v>
      </c>
    </row>
    <row r="8" spans="1:4" x14ac:dyDescent="0.75">
      <c r="A8" s="1" t="s">
        <v>43</v>
      </c>
      <c r="B8" s="17">
        <v>110000</v>
      </c>
    </row>
    <row r="9" spans="1:4" x14ac:dyDescent="0.75">
      <c r="A9" s="1" t="s">
        <v>44</v>
      </c>
      <c r="B9" s="1" t="s">
        <v>3</v>
      </c>
    </row>
    <row r="10" spans="1:4" x14ac:dyDescent="0.75">
      <c r="A10" s="1" t="s">
        <v>5</v>
      </c>
      <c r="B10" s="17">
        <v>1000</v>
      </c>
    </row>
    <row r="11" spans="1:4" x14ac:dyDescent="0.75">
      <c r="A11" s="1" t="s">
        <v>45</v>
      </c>
      <c r="B11" s="17">
        <v>1000</v>
      </c>
    </row>
    <row r="12" spans="1:4" x14ac:dyDescent="0.75">
      <c r="A12" s="1" t="s">
        <v>46</v>
      </c>
      <c r="B12" s="17">
        <v>10000</v>
      </c>
    </row>
    <row r="13" spans="1:4" x14ac:dyDescent="0.75">
      <c r="A13" s="1" t="s">
        <v>47</v>
      </c>
      <c r="B13" s="1"/>
    </row>
    <row r="14" spans="1:4" x14ac:dyDescent="0.75">
      <c r="A14" s="1" t="s">
        <v>4</v>
      </c>
      <c r="B14" s="1">
        <v>0.34</v>
      </c>
    </row>
    <row r="15" spans="1:4" x14ac:dyDescent="0.75">
      <c r="A15" s="1" t="s">
        <v>9</v>
      </c>
      <c r="B15" s="19"/>
    </row>
    <row r="17" spans="1:7" ht="29.5" x14ac:dyDescent="0.75">
      <c r="A17" s="20" t="s">
        <v>53</v>
      </c>
      <c r="B17" s="20"/>
    </row>
    <row r="18" spans="1:7" x14ac:dyDescent="0.75">
      <c r="A18" s="1" t="s">
        <v>48</v>
      </c>
      <c r="B18" s="19"/>
    </row>
    <row r="19" spans="1:7" ht="15.5" thickBot="1" x14ac:dyDescent="0.9">
      <c r="A19" s="21" t="s">
        <v>49</v>
      </c>
      <c r="B19" s="137"/>
    </row>
    <row r="20" spans="1:7" x14ac:dyDescent="0.75">
      <c r="A20" s="22" t="s">
        <v>8</v>
      </c>
      <c r="B20" s="25"/>
    </row>
    <row r="21" spans="1:7" x14ac:dyDescent="0.75">
      <c r="A21" s="1" t="s">
        <v>50</v>
      </c>
      <c r="B21" s="28"/>
    </row>
    <row r="22" spans="1:7" ht="15.5" thickBot="1" x14ac:dyDescent="0.9">
      <c r="A22" s="21" t="str">
        <f>A15</f>
        <v>Depreciation</v>
      </c>
      <c r="B22" s="27"/>
    </row>
    <row r="23" spans="1:7" x14ac:dyDescent="0.75">
      <c r="A23" s="23" t="s">
        <v>10</v>
      </c>
      <c r="B23" s="19"/>
    </row>
    <row r="24" spans="1:7" ht="15.5" thickBot="1" x14ac:dyDescent="0.9">
      <c r="A24" s="21" t="s">
        <v>52</v>
      </c>
      <c r="B24" s="27"/>
    </row>
    <row r="25" spans="1:7" ht="15.5" thickBot="1" x14ac:dyDescent="0.9">
      <c r="A25" s="24" t="s">
        <v>201</v>
      </c>
      <c r="B25" s="26"/>
    </row>
    <row r="26" spans="1:7" ht="15.5" thickTop="1" x14ac:dyDescent="0.75"/>
    <row r="27" spans="1:7" ht="29.5" x14ac:dyDescent="0.75">
      <c r="A27" s="30" t="s">
        <v>54</v>
      </c>
      <c r="B27" s="19"/>
      <c r="C27" t="s">
        <v>313</v>
      </c>
    </row>
    <row r="28" spans="1:7" ht="29.5" x14ac:dyDescent="0.75">
      <c r="A28" s="31" t="s">
        <v>62</v>
      </c>
      <c r="B28" s="136"/>
      <c r="E28" t="s">
        <v>314</v>
      </c>
    </row>
    <row r="29" spans="1:7" x14ac:dyDescent="0.75">
      <c r="A29" s="32" t="s">
        <v>58</v>
      </c>
      <c r="B29" s="16" t="s">
        <v>59</v>
      </c>
      <c r="C29" s="33"/>
      <c r="D29" s="32" t="s">
        <v>60</v>
      </c>
      <c r="E29" t="s">
        <v>61</v>
      </c>
    </row>
    <row r="31" spans="1:7" ht="29.5" x14ac:dyDescent="0.75">
      <c r="A31" s="64" t="s">
        <v>168</v>
      </c>
      <c r="B31" s="102" t="s">
        <v>17</v>
      </c>
      <c r="C31" s="135" t="s">
        <v>56</v>
      </c>
      <c r="D31" s="135" t="s">
        <v>55</v>
      </c>
      <c r="E31" s="135" t="s">
        <v>57</v>
      </c>
      <c r="F31" s="76" t="s">
        <v>216</v>
      </c>
    </row>
    <row r="32" spans="1:7" x14ac:dyDescent="0.75">
      <c r="A32" s="1" t="s">
        <v>33</v>
      </c>
      <c r="B32" s="82"/>
      <c r="C32" s="108"/>
      <c r="D32" s="108"/>
      <c r="E32" s="82"/>
      <c r="F32" s="82"/>
      <c r="G32">
        <v>0</v>
      </c>
    </row>
    <row r="33" spans="1:8" x14ac:dyDescent="0.75">
      <c r="A33" s="1" t="s">
        <v>30</v>
      </c>
      <c r="B33" s="108"/>
      <c r="C33" s="82"/>
      <c r="D33" s="82"/>
      <c r="E33" s="82"/>
      <c r="F33" s="82"/>
      <c r="G33">
        <v>1</v>
      </c>
    </row>
    <row r="34" spans="1:8" x14ac:dyDescent="0.75">
      <c r="A34" s="1" t="s">
        <v>31</v>
      </c>
      <c r="B34" s="108"/>
      <c r="C34" s="82"/>
      <c r="D34" s="82"/>
      <c r="E34" s="82"/>
      <c r="F34" s="82"/>
      <c r="G34">
        <v>2</v>
      </c>
    </row>
    <row r="35" spans="1:8" x14ac:dyDescent="0.75">
      <c r="A35" s="1" t="s">
        <v>32</v>
      </c>
      <c r="B35" s="108"/>
      <c r="C35" s="108"/>
      <c r="D35" s="82"/>
      <c r="E35" s="82"/>
      <c r="F35" s="82"/>
      <c r="G35">
        <v>3</v>
      </c>
    </row>
    <row r="37" spans="1:8" x14ac:dyDescent="0.75">
      <c r="D37" s="1" t="s">
        <v>18</v>
      </c>
      <c r="E37" s="19"/>
    </row>
    <row r="38" spans="1:8" x14ac:dyDescent="0.75">
      <c r="D38" s="1" t="s">
        <v>13</v>
      </c>
      <c r="E38" s="77"/>
      <c r="G38" s="1" t="s">
        <v>329</v>
      </c>
      <c r="H38" s="19"/>
    </row>
    <row r="39" spans="1:8" x14ac:dyDescent="0.75">
      <c r="D39" s="1" t="s">
        <v>19</v>
      </c>
      <c r="E39" s="12"/>
      <c r="G39" s="1" t="s">
        <v>330</v>
      </c>
      <c r="H39"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39"/>
  <sheetViews>
    <sheetView showGridLines="0" zoomScaleNormal="100" workbookViewId="0"/>
  </sheetViews>
  <sheetFormatPr defaultRowHeight="14.75" x14ac:dyDescent="0.75"/>
  <cols>
    <col min="1" max="1" width="24.86328125" customWidth="1"/>
    <col min="2" max="2" width="12.6796875" customWidth="1"/>
    <col min="3" max="3" width="12.31640625" customWidth="1"/>
    <col min="4" max="4" width="13.2265625" customWidth="1"/>
    <col min="5" max="5" width="23.76953125" customWidth="1"/>
    <col min="6" max="6" width="13.08984375" bestFit="1" customWidth="1"/>
    <col min="7" max="7" width="16.08984375" customWidth="1"/>
  </cols>
  <sheetData>
    <row r="1" spans="1:4" x14ac:dyDescent="0.75">
      <c r="A1" s="18" t="s">
        <v>36</v>
      </c>
      <c r="B1" s="18"/>
    </row>
    <row r="2" spans="1:4" x14ac:dyDescent="0.75">
      <c r="A2" s="1" t="s">
        <v>37</v>
      </c>
      <c r="B2" s="13">
        <v>30000</v>
      </c>
    </row>
    <row r="3" spans="1:4" x14ac:dyDescent="0.75">
      <c r="A3" s="1" t="s">
        <v>39</v>
      </c>
      <c r="B3" s="17">
        <v>10</v>
      </c>
    </row>
    <row r="4" spans="1:4" x14ac:dyDescent="0.75">
      <c r="A4" s="1" t="s">
        <v>38</v>
      </c>
      <c r="B4" s="17">
        <v>7.5</v>
      </c>
    </row>
    <row r="5" spans="1:4" x14ac:dyDescent="0.75">
      <c r="A5" s="1" t="s">
        <v>40</v>
      </c>
      <c r="B5" s="1">
        <v>3</v>
      </c>
    </row>
    <row r="6" spans="1:4" x14ac:dyDescent="0.75">
      <c r="A6" s="1" t="s">
        <v>41</v>
      </c>
      <c r="B6" s="1">
        <v>0.17499999999999999</v>
      </c>
    </row>
    <row r="7" spans="1:4" x14ac:dyDescent="0.75">
      <c r="A7" s="1" t="s">
        <v>6</v>
      </c>
      <c r="B7" s="17">
        <v>10000</v>
      </c>
      <c r="C7" t="s">
        <v>42</v>
      </c>
      <c r="D7" t="s">
        <v>51</v>
      </c>
    </row>
    <row r="8" spans="1:4" x14ac:dyDescent="0.75">
      <c r="A8" s="1" t="s">
        <v>43</v>
      </c>
      <c r="B8" s="17">
        <v>110000</v>
      </c>
    </row>
    <row r="9" spans="1:4" x14ac:dyDescent="0.75">
      <c r="A9" s="1" t="s">
        <v>44</v>
      </c>
      <c r="B9" s="1" t="s">
        <v>3</v>
      </c>
    </row>
    <row r="10" spans="1:4" x14ac:dyDescent="0.75">
      <c r="A10" s="1" t="s">
        <v>5</v>
      </c>
      <c r="B10" s="17">
        <v>1000</v>
      </c>
    </row>
    <row r="11" spans="1:4" x14ac:dyDescent="0.75">
      <c r="A11" s="1" t="s">
        <v>45</v>
      </c>
      <c r="B11" s="17">
        <v>1000</v>
      </c>
    </row>
    <row r="12" spans="1:4" x14ac:dyDescent="0.75">
      <c r="A12" s="1" t="s">
        <v>46</v>
      </c>
      <c r="B12" s="17">
        <v>10000</v>
      </c>
    </row>
    <row r="13" spans="1:4" x14ac:dyDescent="0.75">
      <c r="A13" s="1" t="s">
        <v>47</v>
      </c>
      <c r="B13" s="1"/>
    </row>
    <row r="14" spans="1:4" x14ac:dyDescent="0.75">
      <c r="A14" s="1" t="s">
        <v>4</v>
      </c>
      <c r="B14" s="1">
        <v>0.34</v>
      </c>
    </row>
    <row r="15" spans="1:4" x14ac:dyDescent="0.75">
      <c r="A15" s="1" t="s">
        <v>9</v>
      </c>
      <c r="B15" s="19">
        <f>(B8-B11+B10)/B5</f>
        <v>36666.666666666664</v>
      </c>
    </row>
    <row r="17" spans="1:7" ht="29.5" x14ac:dyDescent="0.75">
      <c r="A17" s="20" t="s">
        <v>53</v>
      </c>
      <c r="B17" s="20"/>
    </row>
    <row r="18" spans="1:7" x14ac:dyDescent="0.75">
      <c r="A18" s="1" t="s">
        <v>48</v>
      </c>
      <c r="B18" s="19" cm="1">
        <f t="array" ref="B18:B19">B2*B3:B4</f>
        <v>300000</v>
      </c>
    </row>
    <row r="19" spans="1:7" ht="15.5" thickBot="1" x14ac:dyDescent="0.9">
      <c r="A19" s="21" t="s">
        <v>49</v>
      </c>
      <c r="B19" s="137">
        <v>225000</v>
      </c>
    </row>
    <row r="20" spans="1:7" x14ac:dyDescent="0.75">
      <c r="A20" s="22" t="s">
        <v>8</v>
      </c>
      <c r="B20" s="25">
        <f>B18-B19</f>
        <v>75000</v>
      </c>
    </row>
    <row r="21" spans="1:7" x14ac:dyDescent="0.75">
      <c r="A21" s="1" t="s">
        <v>50</v>
      </c>
      <c r="B21" s="28">
        <f>B7</f>
        <v>10000</v>
      </c>
    </row>
    <row r="22" spans="1:7" ht="15.5" thickBot="1" x14ac:dyDescent="0.9">
      <c r="A22" s="21" t="str">
        <f>A15</f>
        <v>Depreciation</v>
      </c>
      <c r="B22" s="27">
        <f>B15</f>
        <v>36666.666666666664</v>
      </c>
    </row>
    <row r="23" spans="1:7" x14ac:dyDescent="0.75">
      <c r="A23" s="23" t="s">
        <v>10</v>
      </c>
      <c r="B23" s="19">
        <f>B20-B21-B22</f>
        <v>28333.333333333336</v>
      </c>
    </row>
    <row r="24" spans="1:7" ht="15.5" thickBot="1" x14ac:dyDescent="0.9">
      <c r="A24" s="21" t="s">
        <v>52</v>
      </c>
      <c r="B24" s="27">
        <f>ROUND(B23*B14,2)</f>
        <v>9633.33</v>
      </c>
    </row>
    <row r="25" spans="1:7" ht="15.5" thickBot="1" x14ac:dyDescent="0.9">
      <c r="A25" s="24" t="s">
        <v>201</v>
      </c>
      <c r="B25" s="26">
        <f>B23-B24</f>
        <v>18700.003333333334</v>
      </c>
    </row>
    <row r="26" spans="1:7" ht="15.5" thickTop="1" x14ac:dyDescent="0.75"/>
    <row r="27" spans="1:7" ht="29.5" x14ac:dyDescent="0.75">
      <c r="A27" s="30" t="s">
        <v>54</v>
      </c>
      <c r="B27" s="19">
        <f>B25+B15</f>
        <v>55366.67</v>
      </c>
      <c r="C27" t="s">
        <v>313</v>
      </c>
    </row>
    <row r="28" spans="1:7" ht="44.25" x14ac:dyDescent="0.75">
      <c r="A28" s="31" t="s">
        <v>62</v>
      </c>
      <c r="B28" s="136">
        <f>(B2*(B3-B4)-B7)*(1-B14)+B15*B14</f>
        <v>55366.666666666657</v>
      </c>
      <c r="E28" t="s">
        <v>314</v>
      </c>
    </row>
    <row r="29" spans="1:7" x14ac:dyDescent="0.75">
      <c r="A29" s="32" t="s">
        <v>58</v>
      </c>
      <c r="B29" s="16" t="s">
        <v>59</v>
      </c>
      <c r="C29" s="33"/>
      <c r="D29" s="32" t="s">
        <v>60</v>
      </c>
      <c r="E29" t="s">
        <v>61</v>
      </c>
    </row>
    <row r="31" spans="1:7" ht="29.5" x14ac:dyDescent="0.75">
      <c r="A31" s="64" t="s">
        <v>168</v>
      </c>
      <c r="B31" s="102" t="s">
        <v>17</v>
      </c>
      <c r="C31" s="135" t="s">
        <v>56</v>
      </c>
      <c r="D31" s="135" t="s">
        <v>55</v>
      </c>
      <c r="E31" s="135" t="s">
        <v>57</v>
      </c>
      <c r="F31" s="76" t="s">
        <v>216</v>
      </c>
    </row>
    <row r="32" spans="1:7" x14ac:dyDescent="0.75">
      <c r="A32" s="1" t="s">
        <v>33</v>
      </c>
      <c r="B32" s="82"/>
      <c r="C32" s="108">
        <f>-B12</f>
        <v>-10000</v>
      </c>
      <c r="D32" s="108">
        <f>-B8</f>
        <v>-110000</v>
      </c>
      <c r="E32" s="82">
        <f>SUM(B32:D32)</f>
        <v>-120000</v>
      </c>
      <c r="F32" s="82">
        <f>SUM($E$32:E32)</f>
        <v>-120000</v>
      </c>
      <c r="G32">
        <v>0</v>
      </c>
    </row>
    <row r="33" spans="1:8" x14ac:dyDescent="0.75">
      <c r="A33" s="1" t="s">
        <v>30</v>
      </c>
      <c r="B33" s="108">
        <f>$B$27</f>
        <v>55366.67</v>
      </c>
      <c r="C33" s="82"/>
      <c r="D33" s="82"/>
      <c r="E33" s="82">
        <f t="shared" ref="E33:E35" si="0">SUM(B33:D33)</f>
        <v>55366.67</v>
      </c>
      <c r="F33" s="82">
        <f>SUM($E$32:E33)</f>
        <v>-64633.33</v>
      </c>
      <c r="G33">
        <v>1</v>
      </c>
    </row>
    <row r="34" spans="1:8" x14ac:dyDescent="0.75">
      <c r="A34" s="1" t="s">
        <v>31</v>
      </c>
      <c r="B34" s="108">
        <f t="shared" ref="B34:B35" si="1">$B$27</f>
        <v>55366.67</v>
      </c>
      <c r="C34" s="82"/>
      <c r="D34" s="82"/>
      <c r="E34" s="82">
        <f t="shared" si="0"/>
        <v>55366.67</v>
      </c>
      <c r="F34" s="82">
        <f>SUM($E$32:E34)</f>
        <v>-9266.6600000000035</v>
      </c>
      <c r="G34">
        <v>2</v>
      </c>
    </row>
    <row r="35" spans="1:8" x14ac:dyDescent="0.75">
      <c r="A35" s="1" t="s">
        <v>32</v>
      </c>
      <c r="B35" s="108">
        <f t="shared" si="1"/>
        <v>55366.67</v>
      </c>
      <c r="C35" s="108">
        <f>-C32</f>
        <v>10000</v>
      </c>
      <c r="D35" s="82"/>
      <c r="E35" s="82">
        <f t="shared" si="0"/>
        <v>65366.67</v>
      </c>
      <c r="F35" s="82">
        <f>SUM($E$32:E35)</f>
        <v>56100.009999999995</v>
      </c>
      <c r="G35">
        <v>3</v>
      </c>
    </row>
    <row r="37" spans="1:8" x14ac:dyDescent="0.75">
      <c r="D37" s="1" t="s">
        <v>18</v>
      </c>
      <c r="E37" s="19">
        <f>NPV(B6,E33:E35)+E32</f>
        <v>7517.4039008697437</v>
      </c>
    </row>
    <row r="38" spans="1:8" x14ac:dyDescent="0.75">
      <c r="D38" s="1" t="s">
        <v>13</v>
      </c>
      <c r="E38" s="77">
        <f>IRR(E32:E35)</f>
        <v>0.21246666479844523</v>
      </c>
      <c r="G38" s="1" t="s">
        <v>329</v>
      </c>
      <c r="H38" s="19">
        <f>NPV(E38,E33:E35)+E32</f>
        <v>0</v>
      </c>
    </row>
    <row r="39" spans="1:8" x14ac:dyDescent="0.75">
      <c r="D39" s="1" t="s">
        <v>19</v>
      </c>
      <c r="E39" s="12">
        <f>G34+-F34/E35</f>
        <v>2.1417642966973842</v>
      </c>
      <c r="G39" s="1" t="s">
        <v>330</v>
      </c>
      <c r="H39" s="12" cm="1">
        <f t="array" ref="H39">LOOKUP(0,_xlfn.SCAN(0,E32:E35,_xleta.SUM),{0;1;2;3}-F32:F35/E33:E35)</f>
        <v>2.1417642966973842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E31"/>
  <sheetViews>
    <sheetView zoomScale="70" zoomScaleNormal="70" workbookViewId="0"/>
  </sheetViews>
  <sheetFormatPr defaultRowHeight="14.75" x14ac:dyDescent="0.75"/>
  <cols>
    <col min="1" max="1" width="2" bestFit="1" customWidth="1"/>
    <col min="2" max="2" width="19.76953125" customWidth="1"/>
    <col min="3" max="3" width="16.86328125" customWidth="1"/>
    <col min="4" max="4" width="13.2265625" customWidth="1"/>
    <col min="5" max="5" width="59.54296875" customWidth="1"/>
    <col min="6" max="6" width="2" bestFit="1" customWidth="1"/>
    <col min="7" max="7" width="5.453125" customWidth="1"/>
    <col min="8" max="8" width="28.453125" customWidth="1"/>
    <col min="9" max="10" width="7.453125" customWidth="1"/>
  </cols>
  <sheetData>
    <row r="1" spans="1:5" ht="30.25" thickTop="1" x14ac:dyDescent="0.75">
      <c r="B1" s="42" t="s">
        <v>83</v>
      </c>
      <c r="C1" s="43"/>
      <c r="D1" s="44"/>
    </row>
    <row r="2" spans="1:5" x14ac:dyDescent="0.75">
      <c r="B2" s="45" t="s">
        <v>78</v>
      </c>
      <c r="C2" s="20"/>
      <c r="D2" s="46"/>
    </row>
    <row r="3" spans="1:5" x14ac:dyDescent="0.75">
      <c r="B3" s="47" t="s">
        <v>73</v>
      </c>
      <c r="C3" s="1" t="s">
        <v>74</v>
      </c>
      <c r="D3" s="48" t="s">
        <v>75</v>
      </c>
    </row>
    <row r="4" spans="1:5" x14ac:dyDescent="0.75">
      <c r="B4" s="47" t="s">
        <v>63</v>
      </c>
      <c r="C4" s="40">
        <v>100</v>
      </c>
      <c r="D4" s="49"/>
    </row>
    <row r="5" spans="1:5" x14ac:dyDescent="0.75">
      <c r="B5" s="50" t="s">
        <v>7</v>
      </c>
      <c r="C5" s="40"/>
      <c r="D5" s="49">
        <f>C4</f>
        <v>100</v>
      </c>
    </row>
    <row r="6" spans="1:5" x14ac:dyDescent="0.75">
      <c r="B6" s="47" t="s">
        <v>76</v>
      </c>
      <c r="C6" s="40">
        <v>50</v>
      </c>
      <c r="D6" s="49"/>
    </row>
    <row r="7" spans="1:5" x14ac:dyDescent="0.75">
      <c r="B7" s="50" t="s">
        <v>77</v>
      </c>
      <c r="C7" s="40"/>
      <c r="D7" s="49">
        <f>C6</f>
        <v>50</v>
      </c>
    </row>
    <row r="8" spans="1:5" x14ac:dyDescent="0.75">
      <c r="B8" s="47"/>
      <c r="C8" s="40"/>
      <c r="D8" s="49"/>
    </row>
    <row r="9" spans="1:5" x14ac:dyDescent="0.75">
      <c r="B9" s="45" t="s">
        <v>79</v>
      </c>
      <c r="C9" s="41"/>
      <c r="D9" s="51"/>
    </row>
    <row r="10" spans="1:5" x14ac:dyDescent="0.75">
      <c r="B10" s="47" t="s">
        <v>80</v>
      </c>
      <c r="C10" s="40">
        <v>25</v>
      </c>
      <c r="D10" s="49"/>
    </row>
    <row r="11" spans="1:5" ht="15.5" thickBot="1" x14ac:dyDescent="0.9">
      <c r="B11" s="52" t="s">
        <v>65</v>
      </c>
      <c r="C11" s="53"/>
      <c r="D11" s="54">
        <f>C10</f>
        <v>25</v>
      </c>
    </row>
    <row r="12" spans="1:5" ht="15.5" thickTop="1" x14ac:dyDescent="0.75"/>
    <row r="13" spans="1:5" x14ac:dyDescent="0.75">
      <c r="A13" s="55" t="s">
        <v>84</v>
      </c>
      <c r="B13" s="55"/>
      <c r="C13" s="55"/>
      <c r="D13" s="55"/>
      <c r="E13" s="55"/>
    </row>
    <row r="14" spans="1:5" x14ac:dyDescent="0.75">
      <c r="B14" s="1" t="s">
        <v>85</v>
      </c>
      <c r="C14" s="40">
        <v>1000</v>
      </c>
    </row>
    <row r="15" spans="1:5" x14ac:dyDescent="0.75">
      <c r="B15" s="1" t="s">
        <v>72</v>
      </c>
      <c r="C15" s="40">
        <v>800</v>
      </c>
    </row>
    <row r="16" spans="1:5" x14ac:dyDescent="0.75">
      <c r="B16" s="1" t="s">
        <v>86</v>
      </c>
      <c r="C16" s="40">
        <f>C14-C15</f>
        <v>200</v>
      </c>
    </row>
    <row r="18" spans="1:5" ht="29.5" x14ac:dyDescent="0.75">
      <c r="C18" s="31" t="s">
        <v>81</v>
      </c>
      <c r="D18" s="31" t="s">
        <v>82</v>
      </c>
    </row>
    <row r="19" spans="1:5" x14ac:dyDescent="0.75">
      <c r="A19" s="34" t="s">
        <v>69</v>
      </c>
      <c r="B19" s="34" t="s">
        <v>63</v>
      </c>
      <c r="C19" s="38">
        <v>200</v>
      </c>
      <c r="D19" s="38">
        <v>220</v>
      </c>
      <c r="E19" s="36" t="str">
        <f>B19&amp;" went "&amp;IF(D19-C19&gt;=0,"up by ","down by ")&amp;TEXT(D19-C19,"0.00")&amp;". This accrual accounting must be un-done."</f>
        <v>AR went up by 20.00. This accrual accounting must be un-done.</v>
      </c>
    </row>
    <row r="20" spans="1:5" ht="29.5" x14ac:dyDescent="0.75">
      <c r="A20" s="34" t="s">
        <v>70</v>
      </c>
      <c r="B20" s="34" t="s">
        <v>64</v>
      </c>
      <c r="C20" s="38">
        <v>100</v>
      </c>
      <c r="D20" s="38">
        <v>90</v>
      </c>
      <c r="E20" s="36" t="str">
        <f>B20&amp;" went "&amp;IF(D20-C20&gt;=0,"up by ","down by ")&amp;TEXT(D20-C20,"0.00")&amp;". This accrual accounting must be un-done."</f>
        <v>Inventory went down by -10.00. This accrual accounting must be un-done.</v>
      </c>
    </row>
    <row r="21" spans="1:5" x14ac:dyDescent="0.75">
      <c r="A21" s="34" t="s">
        <v>71</v>
      </c>
      <c r="B21" s="34" t="s">
        <v>65</v>
      </c>
      <c r="C21" s="38">
        <v>200</v>
      </c>
      <c r="D21" s="38">
        <v>180</v>
      </c>
      <c r="E21" s="36" t="str">
        <f>B21&amp;" went "&amp;IF(D21-C21&gt;=0,"up by ","down by ")&amp;TEXT(D21-C21,"0.00")&amp;". This accrual accounting must be un-done."</f>
        <v>AP went down by -20.00. This accrual accounting must be un-done.</v>
      </c>
    </row>
    <row r="22" spans="1:5" x14ac:dyDescent="0.75">
      <c r="A22" s="35"/>
      <c r="B22" s="34" t="s">
        <v>66</v>
      </c>
      <c r="C22" s="39"/>
      <c r="D22" s="39"/>
      <c r="E22" s="35"/>
    </row>
    <row r="23" spans="1:5" x14ac:dyDescent="0.75">
      <c r="A23" s="35"/>
      <c r="B23" s="35"/>
      <c r="C23" s="35"/>
      <c r="D23" s="35"/>
      <c r="E23" s="35"/>
    </row>
    <row r="24" spans="1:5" ht="29.5" x14ac:dyDescent="0.75">
      <c r="A24" s="34" t="s">
        <v>69</v>
      </c>
      <c r="B24" s="34" t="str">
        <f>B19</f>
        <v>AR</v>
      </c>
      <c r="C24" s="34" t="s">
        <v>7</v>
      </c>
      <c r="D24" s="39"/>
      <c r="E24" s="36" t="str">
        <f>IF(D19-C19&gt;=0,"remove ","add back ")&amp;B24&amp;IF(D19-C19&gt;=0," increase "," decrease ")&amp;"from "&amp;C24&amp;" - sales were recorded on Income Statement with no associated cash in."</f>
        <v>remove AR increase from Sales - sales were recorded on Income Statement with no associated cash in.</v>
      </c>
    </row>
    <row r="25" spans="1:5" ht="29.5" x14ac:dyDescent="0.75">
      <c r="A25" s="34" t="s">
        <v>70</v>
      </c>
      <c r="B25" s="34" t="str">
        <f>B20</f>
        <v>Inventory</v>
      </c>
      <c r="C25" s="34" t="s">
        <v>68</v>
      </c>
      <c r="D25" s="39"/>
      <c r="E25" s="36" t="str">
        <f>IF(D20-C20&gt;=0,"remove ","add back ")&amp;B25&amp;IF(D20-C20&gt;=0," increase "," decrease ")&amp;"to "&amp;C25&amp;" - expenses were recorded on Income statement with no associated cash out."</f>
        <v>add back Inventory decrease to COGS Expenses - expenses were recorded on Income statement with no associated cash out.</v>
      </c>
    </row>
    <row r="26" spans="1:5" ht="29.5" x14ac:dyDescent="0.75">
      <c r="A26" s="34" t="s">
        <v>71</v>
      </c>
      <c r="B26" s="34" t="str">
        <f>B21</f>
        <v>AP</v>
      </c>
      <c r="C26" s="34" t="s">
        <v>67</v>
      </c>
      <c r="D26" s="39"/>
      <c r="E26" s="36" t="str">
        <f>IF(D21-C21&lt;0,"remove ","add back ")&amp;B26&amp;IF(D21-C21&lt;0," decrease "," increase ")&amp;"from "&amp;C26&amp;" - cash went out with no associated expense in Income Statement."</f>
        <v>remove AP decrease from Expenses - cash went out with no associated expense in Income Statement.</v>
      </c>
    </row>
    <row r="27" spans="1:5" x14ac:dyDescent="0.75">
      <c r="A27" s="35"/>
      <c r="B27" s="35"/>
      <c r="C27" s="1" t="s">
        <v>315</v>
      </c>
      <c r="D27" s="39"/>
      <c r="E27" s="35"/>
    </row>
    <row r="28" spans="1:5" x14ac:dyDescent="0.75">
      <c r="A28" s="35"/>
      <c r="E28" s="35"/>
    </row>
    <row r="29" spans="1:5" x14ac:dyDescent="0.75">
      <c r="A29" s="35"/>
      <c r="C29" s="34" t="s">
        <v>17</v>
      </c>
      <c r="D29" s="1"/>
    </row>
    <row r="30" spans="1:5" x14ac:dyDescent="0.75">
      <c r="C30" s="34" t="s">
        <v>316</v>
      </c>
      <c r="D30" s="39"/>
      <c r="E30" s="32" t="s">
        <v>317</v>
      </c>
    </row>
    <row r="31" spans="1:5" x14ac:dyDescent="0.75">
      <c r="C31" s="34" t="s">
        <v>316</v>
      </c>
      <c r="D31" s="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31"/>
  <sheetViews>
    <sheetView zoomScale="55" zoomScaleNormal="55" workbookViewId="0"/>
  </sheetViews>
  <sheetFormatPr defaultRowHeight="14.75" x14ac:dyDescent="0.75"/>
  <cols>
    <col min="1" max="1" width="2" bestFit="1" customWidth="1"/>
    <col min="2" max="2" width="19.76953125" customWidth="1"/>
    <col min="3" max="3" width="16.86328125" customWidth="1"/>
    <col min="4" max="4" width="13.2265625" customWidth="1"/>
    <col min="5" max="5" width="36.6796875" customWidth="1"/>
    <col min="6" max="6" width="2" bestFit="1" customWidth="1"/>
    <col min="7" max="7" width="5.453125" customWidth="1"/>
    <col min="8" max="8" width="28.453125" customWidth="1"/>
    <col min="9" max="10" width="7.453125" customWidth="1"/>
  </cols>
  <sheetData>
    <row r="1" spans="1:5" ht="30.25" thickTop="1" x14ac:dyDescent="0.75">
      <c r="B1" s="42" t="s">
        <v>83</v>
      </c>
      <c r="C1" s="43"/>
      <c r="D1" s="44"/>
    </row>
    <row r="2" spans="1:5" x14ac:dyDescent="0.75">
      <c r="B2" s="45" t="s">
        <v>78</v>
      </c>
      <c r="C2" s="20"/>
      <c r="D2" s="46"/>
    </row>
    <row r="3" spans="1:5" x14ac:dyDescent="0.75">
      <c r="B3" s="47" t="s">
        <v>73</v>
      </c>
      <c r="C3" s="1" t="s">
        <v>74</v>
      </c>
      <c r="D3" s="48" t="s">
        <v>75</v>
      </c>
    </row>
    <row r="4" spans="1:5" x14ac:dyDescent="0.75">
      <c r="B4" s="47" t="s">
        <v>63</v>
      </c>
      <c r="C4" s="40">
        <v>100</v>
      </c>
      <c r="D4" s="49"/>
    </row>
    <row r="5" spans="1:5" x14ac:dyDescent="0.75">
      <c r="B5" s="50" t="s">
        <v>7</v>
      </c>
      <c r="C5" s="40"/>
      <c r="D5" s="49">
        <f>C4</f>
        <v>100</v>
      </c>
    </row>
    <row r="6" spans="1:5" x14ac:dyDescent="0.75">
      <c r="B6" s="47" t="s">
        <v>76</v>
      </c>
      <c r="C6" s="40">
        <v>50</v>
      </c>
      <c r="D6" s="49"/>
    </row>
    <row r="7" spans="1:5" x14ac:dyDescent="0.75">
      <c r="B7" s="50" t="s">
        <v>77</v>
      </c>
      <c r="C7" s="40"/>
      <c r="D7" s="49">
        <f>C6</f>
        <v>50</v>
      </c>
    </row>
    <row r="8" spans="1:5" x14ac:dyDescent="0.75">
      <c r="B8" s="47"/>
      <c r="C8" s="40"/>
      <c r="D8" s="49"/>
    </row>
    <row r="9" spans="1:5" x14ac:dyDescent="0.75">
      <c r="B9" s="45" t="s">
        <v>79</v>
      </c>
      <c r="C9" s="41"/>
      <c r="D9" s="51"/>
    </row>
    <row r="10" spans="1:5" x14ac:dyDescent="0.75">
      <c r="B10" s="47" t="s">
        <v>80</v>
      </c>
      <c r="C10" s="40">
        <v>25</v>
      </c>
      <c r="D10" s="49"/>
    </row>
    <row r="11" spans="1:5" ht="15.5" thickBot="1" x14ac:dyDescent="0.9">
      <c r="B11" s="52" t="s">
        <v>65</v>
      </c>
      <c r="C11" s="53"/>
      <c r="D11" s="54">
        <f>C10</f>
        <v>25</v>
      </c>
    </row>
    <row r="12" spans="1:5" ht="15.5" thickTop="1" x14ac:dyDescent="0.75"/>
    <row r="13" spans="1:5" x14ac:dyDescent="0.75">
      <c r="A13" s="55" t="s">
        <v>84</v>
      </c>
      <c r="B13" s="55"/>
      <c r="C13" s="55"/>
      <c r="D13" s="55"/>
      <c r="E13" s="55"/>
    </row>
    <row r="14" spans="1:5" x14ac:dyDescent="0.75">
      <c r="B14" s="1" t="s">
        <v>85</v>
      </c>
      <c r="C14" s="40">
        <v>1000</v>
      </c>
    </row>
    <row r="15" spans="1:5" x14ac:dyDescent="0.75">
      <c r="B15" s="1" t="s">
        <v>72</v>
      </c>
      <c r="C15" s="40">
        <v>800</v>
      </c>
    </row>
    <row r="16" spans="1:5" x14ac:dyDescent="0.75">
      <c r="B16" s="1" t="s">
        <v>86</v>
      </c>
      <c r="C16" s="40">
        <f>C14-C15</f>
        <v>200</v>
      </c>
    </row>
    <row r="18" spans="1:5" ht="29.5" x14ac:dyDescent="0.75">
      <c r="C18" s="31" t="s">
        <v>81</v>
      </c>
      <c r="D18" s="31" t="s">
        <v>82</v>
      </c>
    </row>
    <row r="19" spans="1:5" ht="29.5" x14ac:dyDescent="0.75">
      <c r="A19" s="34" t="s">
        <v>69</v>
      </c>
      <c r="B19" s="34" t="s">
        <v>63</v>
      </c>
      <c r="C19" s="38">
        <v>200</v>
      </c>
      <c r="D19" s="38">
        <v>220</v>
      </c>
      <c r="E19" s="36" t="str">
        <f>B19&amp;" went "&amp;IF(D19-C19&gt;=0,"up by ","down by ")&amp;TEXT(D19-C19,"0.00")&amp;". This accrual accounting must be un-done."</f>
        <v>AR went up by 20.00. This accrual accounting must be un-done.</v>
      </c>
    </row>
    <row r="20" spans="1:5" ht="29.5" x14ac:dyDescent="0.75">
      <c r="A20" s="34" t="s">
        <v>70</v>
      </c>
      <c r="B20" s="34" t="s">
        <v>64</v>
      </c>
      <c r="C20" s="38">
        <v>100</v>
      </c>
      <c r="D20" s="38">
        <v>90</v>
      </c>
      <c r="E20" s="36" t="str">
        <f>B20&amp;" went "&amp;IF(D20-C20&gt;=0,"up by ","down by ")&amp;TEXT(D20-C20,"0.00")&amp;". This accrual accounting must be un-done."</f>
        <v>Inventory went down by -10.00. This accrual accounting must be un-done.</v>
      </c>
    </row>
    <row r="21" spans="1:5" ht="29.5" x14ac:dyDescent="0.75">
      <c r="A21" s="34" t="s">
        <v>71</v>
      </c>
      <c r="B21" s="34" t="s">
        <v>65</v>
      </c>
      <c r="C21" s="38">
        <v>200</v>
      </c>
      <c r="D21" s="38">
        <v>180</v>
      </c>
      <c r="E21" s="36" t="str">
        <f>B21&amp;" went "&amp;IF(D21-C21&gt;=0,"up by ","down by ")&amp;TEXT(D21-C21,"0.00")&amp;". This accrual accounting must be un-done."</f>
        <v>AP went down by -20.00. This accrual accounting must be un-done.</v>
      </c>
    </row>
    <row r="22" spans="1:5" x14ac:dyDescent="0.75">
      <c r="A22" s="35"/>
      <c r="B22" s="34" t="s">
        <v>66</v>
      </c>
      <c r="C22" s="39">
        <f>C19+C20-C21</f>
        <v>100</v>
      </c>
      <c r="D22" s="39">
        <f>D19+D20-D21</f>
        <v>130</v>
      </c>
      <c r="E22" s="35"/>
    </row>
    <row r="23" spans="1:5" x14ac:dyDescent="0.75">
      <c r="A23" s="35"/>
      <c r="B23" s="35"/>
      <c r="C23" s="35"/>
      <c r="D23" s="35"/>
      <c r="E23" s="35"/>
    </row>
    <row r="24" spans="1:5" ht="44.25" x14ac:dyDescent="0.75">
      <c r="A24" s="34" t="s">
        <v>69</v>
      </c>
      <c r="B24" s="34" t="str">
        <f>B19</f>
        <v>AR</v>
      </c>
      <c r="C24" s="34" t="s">
        <v>7</v>
      </c>
      <c r="D24" s="39">
        <f>C19-D19</f>
        <v>-20</v>
      </c>
      <c r="E24" s="36" t="str">
        <f>IF(D19-C19&gt;=0,"remove ","add back ")&amp;B24&amp;IF(D19-C19&gt;=0," increase "," decrease ")&amp;"from "&amp;C24&amp;" - sales were recorded on Income Statement with no associated cash in."</f>
        <v>remove AR increase from Sales - sales were recorded on Income Statement with no associated cash in.</v>
      </c>
    </row>
    <row r="25" spans="1:5" ht="59" x14ac:dyDescent="0.75">
      <c r="A25" s="34" t="s">
        <v>70</v>
      </c>
      <c r="B25" s="34" t="str">
        <f>B20</f>
        <v>Inventory</v>
      </c>
      <c r="C25" s="34" t="s">
        <v>68</v>
      </c>
      <c r="D25" s="39">
        <f>C20-D20</f>
        <v>10</v>
      </c>
      <c r="E25" s="36" t="str">
        <f>IF(D20-C20&gt;=0,"remove ","add back ")&amp;B25&amp;IF(D20-C20&gt;=0," increase "," decrease ")&amp;"to "&amp;C25&amp;" - expenses were recorded on Income statement with no associated cash out."</f>
        <v>add back Inventory decrease to COGS Expenses - expenses were recorded on Income statement with no associated cash out.</v>
      </c>
    </row>
    <row r="26" spans="1:5" ht="44.25" x14ac:dyDescent="0.75">
      <c r="A26" s="34" t="s">
        <v>71</v>
      </c>
      <c r="B26" s="34" t="str">
        <f>B21</f>
        <v>AP</v>
      </c>
      <c r="C26" s="34" t="s">
        <v>67</v>
      </c>
      <c r="D26" s="39">
        <f>D21-C21</f>
        <v>-20</v>
      </c>
      <c r="E26" s="36" t="str">
        <f>IF(D21-C21&lt;0,"remove ","add back ")&amp;B26&amp;IF(D21-C21&lt;0," decrease "," increase ")&amp;"from "&amp;C26&amp;" - cash went out with no associated expense in Income Statement."</f>
        <v>remove AP decrease from Expenses - cash went out with no associated expense in Income Statement.</v>
      </c>
    </row>
    <row r="27" spans="1:5" x14ac:dyDescent="0.75">
      <c r="A27" s="35"/>
      <c r="B27" s="35"/>
      <c r="C27" s="1" t="s">
        <v>315</v>
      </c>
      <c r="D27" s="39">
        <f>SUM(D24:D26)</f>
        <v>-30</v>
      </c>
      <c r="E27" s="35"/>
    </row>
    <row r="28" spans="1:5" x14ac:dyDescent="0.75">
      <c r="A28" s="35"/>
      <c r="E28" s="35"/>
    </row>
    <row r="29" spans="1:5" x14ac:dyDescent="0.75">
      <c r="A29" s="35"/>
      <c r="C29" s="34" t="s">
        <v>17</v>
      </c>
      <c r="D29" s="1">
        <v>170</v>
      </c>
    </row>
    <row r="30" spans="1:5" ht="29.5" x14ac:dyDescent="0.75">
      <c r="C30" s="34" t="s">
        <v>316</v>
      </c>
      <c r="D30" s="39">
        <f>D29+D27</f>
        <v>140</v>
      </c>
      <c r="E30" s="32" t="s">
        <v>317</v>
      </c>
    </row>
    <row r="31" spans="1:5" x14ac:dyDescent="0.75">
      <c r="C31" s="34" t="s">
        <v>316</v>
      </c>
      <c r="D31" s="39">
        <f>D29-(D22-C22)</f>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L32"/>
  <sheetViews>
    <sheetView zoomScale="85" zoomScaleNormal="85" workbookViewId="0"/>
  </sheetViews>
  <sheetFormatPr defaultRowHeight="14.75" outlineLevelCol="1" x14ac:dyDescent="0.75"/>
  <cols>
    <col min="1" max="1" width="18.2265625" customWidth="1" outlineLevel="1"/>
    <col min="2" max="2" width="8.86328125" customWidth="1" outlineLevel="1"/>
    <col min="3" max="3" width="11.86328125" bestFit="1" customWidth="1" outlineLevel="1"/>
    <col min="4" max="4" width="18.76953125" customWidth="1" outlineLevel="1"/>
    <col min="5" max="5" width="17.86328125" customWidth="1" outlineLevel="1"/>
    <col min="6" max="6" width="8.86328125" customWidth="1" outlineLevel="1"/>
    <col min="7" max="7" width="8.86328125" customWidth="1"/>
    <col min="8" max="8" width="4.6796875" bestFit="1" customWidth="1"/>
    <col min="9" max="9" width="20.54296875" bestFit="1" customWidth="1"/>
    <col min="10" max="10" width="14.08984375" customWidth="1"/>
    <col min="11" max="11" width="20.453125" customWidth="1"/>
    <col min="12" max="12" width="22" customWidth="1"/>
    <col min="13" max="13" width="19.31640625" customWidth="1"/>
    <col min="14" max="14" width="9.86328125" bestFit="1" customWidth="1"/>
    <col min="15" max="15" width="34.6796875" customWidth="1"/>
    <col min="16" max="16" width="24" customWidth="1"/>
  </cols>
  <sheetData>
    <row r="1" spans="1:12" x14ac:dyDescent="0.75">
      <c r="A1" s="64" t="s">
        <v>165</v>
      </c>
      <c r="C1" s="20" t="s">
        <v>157</v>
      </c>
      <c r="D1" s="20"/>
      <c r="E1" s="20"/>
      <c r="I1" s="31" t="s">
        <v>170</v>
      </c>
      <c r="J1" s="1">
        <v>0.34</v>
      </c>
    </row>
    <row r="2" spans="1:12" x14ac:dyDescent="0.75">
      <c r="A2" s="12" t="str">
        <f>INDEX(PropertyClass,INT((ROWS(A$2:A2)-1)/COLUMNS($D$3:$E$3))+1,MOD(ROWS(A$2:A2)-1,COLUMNS($D$3:$E$3))+1)</f>
        <v>Research Equipment</v>
      </c>
      <c r="C2" s="63" t="s">
        <v>87</v>
      </c>
      <c r="D2" s="63" t="s">
        <v>88</v>
      </c>
      <c r="E2" s="63" t="s">
        <v>89</v>
      </c>
      <c r="I2" s="64" t="s">
        <v>162</v>
      </c>
      <c r="J2" s="37">
        <v>25000</v>
      </c>
    </row>
    <row r="3" spans="1:12" x14ac:dyDescent="0.75">
      <c r="A3" s="12" t="str">
        <f>INDEX(PropertyClass,INT((ROWS(A$2:A3)-1)/COLUMNS($D$3:$E$3))+1,MOD(ROWS(A$2:A3)-1,COLUMNS($D$3:$E$3))+1)</f>
        <v>Special Tools</v>
      </c>
      <c r="C3" s="1" t="s">
        <v>163</v>
      </c>
      <c r="D3" s="1" t="s">
        <v>90</v>
      </c>
      <c r="E3" s="1" t="s">
        <v>158</v>
      </c>
      <c r="I3" s="64" t="s">
        <v>165</v>
      </c>
      <c r="J3" s="1" t="s">
        <v>92</v>
      </c>
    </row>
    <row r="4" spans="1:12" x14ac:dyDescent="0.75">
      <c r="A4" s="12" t="str">
        <f>INDEX(PropertyClass,INT((ROWS(A$2:A4)-1)/COLUMNS($D$3:$E$3))+1,MOD(ROWS(A$2:A4)-1,COLUMNS($D$3:$E$3))+1)</f>
        <v>Autos</v>
      </c>
      <c r="C4" s="1" t="s">
        <v>175</v>
      </c>
      <c r="D4" s="1" t="s">
        <v>91</v>
      </c>
      <c r="E4" s="1" t="s">
        <v>92</v>
      </c>
      <c r="I4" s="64" t="s">
        <v>87</v>
      </c>
      <c r="J4" s="12" t="str">
        <f>INDEX(Class,SUMPRODUCT((PropertyClass=J3)*(ROW(PropertyClass)-ROW(D3)+1)))</f>
        <v>5-Year</v>
      </c>
    </row>
    <row r="5" spans="1:12" x14ac:dyDescent="0.75">
      <c r="A5" s="12" t="str">
        <f>INDEX($D$3:$E$5,INT((ROWS(A$2:A5)-1)/COLUMNS($D$3:$E$3))+1,MOD(ROWS(A$2:A5)-1,COLUMNS($D$3:$E$3))+1)</f>
        <v>Computers</v>
      </c>
      <c r="C5" s="1" t="s">
        <v>164</v>
      </c>
      <c r="D5" s="1" t="s">
        <v>93</v>
      </c>
      <c r="E5" s="1" t="s">
        <v>159</v>
      </c>
    </row>
    <row r="6" spans="1:12" ht="29.5" x14ac:dyDescent="0.75">
      <c r="A6" s="12" t="str">
        <f>INDEX($D$3:$E$5,INT((ROWS(A$2:A6)-1)/COLUMNS($D$3:$E$3))+1,MOD(ROWS(A$2:A6)-1,COLUMNS($D$3:$E$3))+1)</f>
        <v>Industrial Equipment</v>
      </c>
      <c r="H6" s="31" t="s">
        <v>168</v>
      </c>
      <c r="I6" s="31" t="s">
        <v>166</v>
      </c>
      <c r="J6" s="31" t="s">
        <v>177</v>
      </c>
      <c r="K6" s="31" t="s">
        <v>169</v>
      </c>
      <c r="L6" s="31" t="s">
        <v>167</v>
      </c>
    </row>
    <row r="7" spans="1:12" x14ac:dyDescent="0.75">
      <c r="A7" s="12" t="str">
        <f>INDEX($D$3:$E$5,INT((ROWS(A$2:A7)-1)/COLUMNS($D$3:$E$3))+1,MOD(ROWS(A$2:A7)-1,COLUMNS($D$3:$E$3))+1)</f>
        <v>Office Furniture</v>
      </c>
      <c r="C7" s="20" t="s">
        <v>160</v>
      </c>
      <c r="D7" s="20"/>
      <c r="E7" s="20"/>
      <c r="F7" s="20"/>
      <c r="H7" s="16">
        <v>1</v>
      </c>
      <c r="I7" s="19">
        <f>IF(J7="","",J2)</f>
        <v>25000</v>
      </c>
      <c r="J7" s="19" t="str">
        <f>IF(K7="","",$J$2&amp;"*"&amp;VLOOKUP(H7,$C$10:$F$17,MATCH($J$4,$C$9:$F$9,0)))</f>
        <v>25000*0.2</v>
      </c>
      <c r="K7" s="19">
        <f>IF(0=$J$2*VLOOKUP(H7,$C$10:$F$17,MATCH($J$4,$C$9:$F$9,0)),"",$J$2*VLOOKUP(H7,$C$10:$F$17,MATCH($J$4,$C$9:$F$9,0)))</f>
        <v>5000</v>
      </c>
      <c r="L7" s="19">
        <f t="shared" ref="L7:L9" si="0">IF(K7="","",ROUND(I7-K7,2))</f>
        <v>20000</v>
      </c>
    </row>
    <row r="8" spans="1:12" x14ac:dyDescent="0.75">
      <c r="C8" s="1"/>
      <c r="D8" s="65" t="s">
        <v>87</v>
      </c>
      <c r="E8" s="65"/>
      <c r="F8" s="65"/>
      <c r="H8" s="16">
        <v>2</v>
      </c>
      <c r="I8" s="19">
        <f>IF(J8="","",L7)</f>
        <v>20000</v>
      </c>
      <c r="J8" s="19" t="str">
        <f t="shared" ref="J8:J14" si="1">IF(K8="","",$J$2&amp;"*"&amp;VLOOKUP(H8,$C$10:$F$17,MATCH($J$4,$C$9:$F$9,0)))</f>
        <v>25000*0.32</v>
      </c>
      <c r="K8" s="19">
        <f t="shared" ref="K8:K14" si="2">IF(0=$J$2*VLOOKUP(H8,$C$10:$F$17,MATCH($J$4,$C$9:$F$9,0)),"",$J$2*VLOOKUP(H8,$C$10:$F$17,MATCH($J$4,$C$9:$F$9,0)))</f>
        <v>8000</v>
      </c>
      <c r="L8" s="19">
        <f t="shared" si="0"/>
        <v>12000</v>
      </c>
    </row>
    <row r="9" spans="1:12" x14ac:dyDescent="0.75">
      <c r="A9" s="94" t="s">
        <v>331</v>
      </c>
      <c r="C9" s="66" t="s">
        <v>1</v>
      </c>
      <c r="D9" s="66" t="str">
        <f t="array" ref="D9:F9">TRANSPOSE(C3:C5)</f>
        <v>3-Year</v>
      </c>
      <c r="E9" s="66" t="str">
        <v>5-Year</v>
      </c>
      <c r="F9" s="66" t="str">
        <v>7-Year</v>
      </c>
      <c r="H9" s="16">
        <v>3</v>
      </c>
      <c r="I9" s="19">
        <f t="shared" ref="I9:I14" si="3">IF(J9="","",L8)</f>
        <v>12000</v>
      </c>
      <c r="J9" s="19" t="str">
        <f t="shared" si="1"/>
        <v>25000*0.192</v>
      </c>
      <c r="K9" s="19">
        <f t="shared" si="2"/>
        <v>4800</v>
      </c>
      <c r="L9" s="19">
        <f t="shared" si="0"/>
        <v>7200</v>
      </c>
    </row>
    <row r="10" spans="1:12" x14ac:dyDescent="0.75">
      <c r="C10" s="1">
        <v>1</v>
      </c>
      <c r="D10" s="1">
        <v>0.33329999999999999</v>
      </c>
      <c r="E10" s="1">
        <v>0.2</v>
      </c>
      <c r="F10" s="1">
        <v>0.1429</v>
      </c>
      <c r="H10" s="16">
        <v>4</v>
      </c>
      <c r="I10" s="19">
        <f t="shared" si="3"/>
        <v>7200</v>
      </c>
      <c r="J10" s="19" t="str">
        <f t="shared" si="1"/>
        <v>25000*0.1152</v>
      </c>
      <c r="K10" s="19">
        <f t="shared" si="2"/>
        <v>2880</v>
      </c>
      <c r="L10" s="19">
        <f>IF(K10="","",ROUND(I10-K10,2))</f>
        <v>4320</v>
      </c>
    </row>
    <row r="11" spans="1:12" x14ac:dyDescent="0.75">
      <c r="A11" s="64" t="s">
        <v>165</v>
      </c>
      <c r="C11" s="1">
        <v>2</v>
      </c>
      <c r="D11" s="1">
        <v>0.44450000000000001</v>
      </c>
      <c r="E11" s="1">
        <v>0.32</v>
      </c>
      <c r="F11" s="1">
        <v>0.24490000000000001</v>
      </c>
      <c r="H11" s="16">
        <v>5</v>
      </c>
      <c r="I11" s="19">
        <f t="shared" si="3"/>
        <v>4320</v>
      </c>
      <c r="J11" s="19" t="str">
        <f t="shared" si="1"/>
        <v>25000*0.1152</v>
      </c>
      <c r="K11" s="19">
        <f t="shared" si="2"/>
        <v>2880</v>
      </c>
      <c r="L11" s="19">
        <f t="shared" ref="L11:L14" si="4">IF(K11="","",ROUND(I11-K11,2))</f>
        <v>1440</v>
      </c>
    </row>
    <row r="12" spans="1:12" x14ac:dyDescent="0.75">
      <c r="A12" s="12" t="str" cm="1">
        <f t="array" ref="A12:A17">_xlfn.TOCOL(PropertyClass)</f>
        <v>Research Equipment</v>
      </c>
      <c r="C12" s="1">
        <v>3</v>
      </c>
      <c r="D12" s="1">
        <v>0.14810000000000001</v>
      </c>
      <c r="E12" s="1">
        <v>0.192</v>
      </c>
      <c r="F12" s="1">
        <v>0.1749</v>
      </c>
      <c r="H12" s="16">
        <v>6</v>
      </c>
      <c r="I12" s="19">
        <f t="shared" si="3"/>
        <v>1440</v>
      </c>
      <c r="J12" s="19" t="str">
        <f t="shared" si="1"/>
        <v>25000*0.0576</v>
      </c>
      <c r="K12" s="19">
        <f t="shared" si="2"/>
        <v>1440</v>
      </c>
      <c r="L12" s="19">
        <f t="shared" si="4"/>
        <v>0</v>
      </c>
    </row>
    <row r="13" spans="1:12" x14ac:dyDescent="0.75">
      <c r="A13" s="12" t="str">
        <v>Special Tools</v>
      </c>
      <c r="C13" s="1">
        <v>4</v>
      </c>
      <c r="D13" s="1">
        <v>7.4099999999999999E-2</v>
      </c>
      <c r="E13" s="1">
        <v>0.1152</v>
      </c>
      <c r="F13" s="1">
        <v>0.1249</v>
      </c>
      <c r="H13" s="16">
        <v>7</v>
      </c>
      <c r="I13" s="19" t="str">
        <f t="shared" si="3"/>
        <v/>
      </c>
      <c r="J13" s="19" t="str">
        <f t="shared" si="1"/>
        <v/>
      </c>
      <c r="K13" s="19" t="str">
        <f t="shared" si="2"/>
        <v/>
      </c>
      <c r="L13" s="19" t="str">
        <f t="shared" si="4"/>
        <v/>
      </c>
    </row>
    <row r="14" spans="1:12" x14ac:dyDescent="0.75">
      <c r="A14" s="12" t="str">
        <v>Autos</v>
      </c>
      <c r="C14" s="1">
        <v>5</v>
      </c>
      <c r="D14" s="1"/>
      <c r="E14" s="1">
        <v>0.1152</v>
      </c>
      <c r="F14" s="1">
        <v>8.9300000000000004E-2</v>
      </c>
      <c r="H14" s="16">
        <v>8</v>
      </c>
      <c r="I14" s="19" t="str">
        <f t="shared" si="3"/>
        <v/>
      </c>
      <c r="J14" s="19" t="str">
        <f t="shared" si="1"/>
        <v/>
      </c>
      <c r="K14" s="19" t="str">
        <f t="shared" si="2"/>
        <v/>
      </c>
      <c r="L14" s="19" t="str">
        <f t="shared" si="4"/>
        <v/>
      </c>
    </row>
    <row r="15" spans="1:12" x14ac:dyDescent="0.75">
      <c r="A15" s="12" t="str">
        <v>Computers</v>
      </c>
      <c r="C15" s="1">
        <v>6</v>
      </c>
      <c r="D15" s="1"/>
      <c r="E15" s="1">
        <v>5.7599999999999998E-2</v>
      </c>
      <c r="F15" s="1">
        <v>8.9200000000000002E-2</v>
      </c>
      <c r="K15" s="19">
        <f>SUM(K7:K14)</f>
        <v>25000</v>
      </c>
    </row>
    <row r="16" spans="1:12" x14ac:dyDescent="0.75">
      <c r="A16" s="12" t="str">
        <v>Industrial Equipment</v>
      </c>
      <c r="C16" s="1">
        <v>7</v>
      </c>
      <c r="D16" s="1"/>
      <c r="E16" s="1"/>
      <c r="F16" s="1">
        <v>8.9300000000000004E-2</v>
      </c>
    </row>
    <row r="17" spans="1:12" ht="44.25" x14ac:dyDescent="0.75">
      <c r="A17" s="12" t="str">
        <v>Office Furniture</v>
      </c>
      <c r="C17" s="1">
        <v>8</v>
      </c>
      <c r="D17" s="1"/>
      <c r="E17" s="1"/>
      <c r="F17" s="1">
        <v>4.4600000000000001E-2</v>
      </c>
      <c r="H17" s="20" t="s">
        <v>173</v>
      </c>
      <c r="I17" s="20"/>
      <c r="J17" s="20"/>
      <c r="K17" s="20"/>
    </row>
    <row r="18" spans="1:12" x14ac:dyDescent="0.75">
      <c r="I18" s="1" t="s">
        <v>172</v>
      </c>
      <c r="J18" s="17">
        <v>4500</v>
      </c>
    </row>
    <row r="19" spans="1:12" x14ac:dyDescent="0.75">
      <c r="C19" t="s">
        <v>161</v>
      </c>
      <c r="D19">
        <f>SUM(D10:D17)</f>
        <v>1</v>
      </c>
      <c r="E19">
        <f>SUM(E10:E17)</f>
        <v>0.99999999999999989</v>
      </c>
      <c r="F19">
        <f>SUM(F10:F17)</f>
        <v>1.0000000000000002</v>
      </c>
      <c r="I19" s="1" t="s">
        <v>171</v>
      </c>
      <c r="J19" s="1">
        <v>4</v>
      </c>
    </row>
    <row r="20" spans="1:12" x14ac:dyDescent="0.75">
      <c r="I20" s="1" t="str">
        <f>"End BV at year "&amp;J19</f>
        <v>End BV at year 4</v>
      </c>
      <c r="J20" s="29">
        <f>VLOOKUP(J19,$H$7:$L$14,5)</f>
        <v>4320</v>
      </c>
    </row>
    <row r="21" spans="1:12" ht="59" x14ac:dyDescent="0.75">
      <c r="I21" s="32" t="s">
        <v>174</v>
      </c>
      <c r="J21" s="29">
        <f>J18-J20</f>
        <v>180</v>
      </c>
      <c r="K21" t="s">
        <v>179</v>
      </c>
    </row>
    <row r="22" spans="1:12" x14ac:dyDescent="0.75">
      <c r="I22" s="1" t="str">
        <f>IF(VLOOKUP(J19,H7:L14,4)&lt;=J18,"Pay this tax:","Get this tax benefit:")</f>
        <v>Pay this tax:</v>
      </c>
      <c r="J22" s="29">
        <f>ROUND(J21*$J$1,0)</f>
        <v>61</v>
      </c>
      <c r="K22" t="s">
        <v>180</v>
      </c>
      <c r="L22" t="s">
        <v>182</v>
      </c>
    </row>
    <row r="23" spans="1:12" x14ac:dyDescent="0.75">
      <c r="I23" s="1" t="s">
        <v>176</v>
      </c>
      <c r="J23" s="29">
        <f>J18-J22</f>
        <v>4439</v>
      </c>
      <c r="K23" t="s">
        <v>181</v>
      </c>
    </row>
    <row r="26" spans="1:12" ht="29.5" x14ac:dyDescent="0.75">
      <c r="H26" s="20" t="s">
        <v>178</v>
      </c>
      <c r="I26" s="20"/>
      <c r="J26" s="20"/>
      <c r="K26" s="20"/>
    </row>
    <row r="27" spans="1:12" x14ac:dyDescent="0.75">
      <c r="I27" s="1" t="s">
        <v>172</v>
      </c>
      <c r="J27" s="17">
        <v>4000</v>
      </c>
    </row>
    <row r="28" spans="1:12" x14ac:dyDescent="0.75">
      <c r="I28" s="1" t="s">
        <v>171</v>
      </c>
      <c r="J28" s="1">
        <v>2</v>
      </c>
    </row>
    <row r="29" spans="1:12" x14ac:dyDescent="0.75">
      <c r="I29" s="1" t="str">
        <f>"End BV at year "&amp;J28</f>
        <v>End BV at year 2</v>
      </c>
      <c r="J29" s="29">
        <f>VLOOKUP(J28,H7:L14,5)</f>
        <v>12000</v>
      </c>
    </row>
    <row r="30" spans="1:12" ht="59" x14ac:dyDescent="0.75">
      <c r="I30" s="32" t="s">
        <v>174</v>
      </c>
      <c r="J30" s="29">
        <f>J27-J29</f>
        <v>-8000</v>
      </c>
      <c r="K30" t="s">
        <v>183</v>
      </c>
    </row>
    <row r="31" spans="1:12" x14ac:dyDescent="0.75">
      <c r="I31" s="1" t="str">
        <f>IF(VLOOKUP(J28,H7:L14,5)&lt;=J27,"Pay this tax:","Get this tax benefit:")</f>
        <v>Get this tax benefit:</v>
      </c>
      <c r="J31" s="29">
        <f>ROUND(J30*$J$1,0)</f>
        <v>-2720</v>
      </c>
      <c r="K31" t="s">
        <v>184</v>
      </c>
      <c r="L31" t="s">
        <v>182</v>
      </c>
    </row>
    <row r="32" spans="1:12" x14ac:dyDescent="0.75">
      <c r="I32" s="1" t="s">
        <v>176</v>
      </c>
      <c r="J32" s="29">
        <f>J27-J31</f>
        <v>6720</v>
      </c>
      <c r="K32" t="s">
        <v>185</v>
      </c>
    </row>
  </sheetData>
  <dataValidations count="1">
    <dataValidation type="list" allowBlank="1" showInputMessage="1" showErrorMessage="1" sqref="J3" xr:uid="{00000000-0002-0000-0C00-000000000000}">
      <formula1>Property</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L32"/>
  <sheetViews>
    <sheetView zoomScale="70" zoomScaleNormal="70" workbookViewId="0"/>
  </sheetViews>
  <sheetFormatPr defaultRowHeight="14.75" outlineLevelCol="1" x14ac:dyDescent="0.75"/>
  <cols>
    <col min="1" max="1" width="18.2265625" customWidth="1" outlineLevel="1"/>
    <col min="2" max="2" width="8.86328125" customWidth="1" outlineLevel="1"/>
    <col min="3" max="3" width="11.86328125" bestFit="1" customWidth="1" outlineLevel="1"/>
    <col min="4" max="4" width="18.76953125" customWidth="1" outlineLevel="1"/>
    <col min="5" max="5" width="17.86328125" customWidth="1" outlineLevel="1"/>
    <col min="6" max="6" width="8.86328125" customWidth="1" outlineLevel="1"/>
    <col min="7" max="7" width="8.86328125" customWidth="1"/>
    <col min="8" max="8" width="4.6796875" bestFit="1" customWidth="1"/>
    <col min="9" max="9" width="20.54296875" bestFit="1" customWidth="1"/>
    <col min="10" max="10" width="12.86328125" bestFit="1" customWidth="1"/>
    <col min="11" max="11" width="20.453125" customWidth="1"/>
    <col min="12" max="12" width="22" customWidth="1"/>
    <col min="13" max="13" width="19.31640625" customWidth="1"/>
    <col min="14" max="14" width="9.86328125" bestFit="1" customWidth="1"/>
    <col min="15" max="15" width="34.6796875" customWidth="1"/>
    <col min="16" max="16" width="24" customWidth="1"/>
  </cols>
  <sheetData>
    <row r="1" spans="1:12" x14ac:dyDescent="0.75">
      <c r="A1" s="64" t="s">
        <v>165</v>
      </c>
      <c r="C1" s="20" t="s">
        <v>157</v>
      </c>
      <c r="D1" s="20"/>
      <c r="E1" s="20"/>
      <c r="I1" s="31" t="s">
        <v>170</v>
      </c>
      <c r="J1" s="1">
        <v>0.34</v>
      </c>
    </row>
    <row r="2" spans="1:12" x14ac:dyDescent="0.75">
      <c r="A2" s="12" t="str">
        <f>INDEX(PropertyClass,INT((ROWS(A$2:A2)-1)/COLUMNS($D$3:$E$3))+1,MOD(ROWS(A$2:A2)-1,COLUMNS($D$3:$E$3))+1)</f>
        <v>Research Equipment</v>
      </c>
      <c r="C2" s="63" t="s">
        <v>87</v>
      </c>
      <c r="D2" s="63" t="s">
        <v>88</v>
      </c>
      <c r="E2" s="63" t="s">
        <v>89</v>
      </c>
      <c r="I2" s="64" t="s">
        <v>162</v>
      </c>
      <c r="J2" s="37">
        <v>25000</v>
      </c>
    </row>
    <row r="3" spans="1:12" x14ac:dyDescent="0.75">
      <c r="A3" s="12" t="str">
        <f>INDEX(PropertyClass,INT((ROWS(A$2:A3)-1)/COLUMNS($D$3:$E$3))+1,MOD(ROWS(A$2:A3)-1,COLUMNS($D$3:$E$3))+1)</f>
        <v>Special Tools</v>
      </c>
      <c r="C3" s="1" t="s">
        <v>163</v>
      </c>
      <c r="D3" s="1" t="s">
        <v>90</v>
      </c>
      <c r="E3" s="1" t="s">
        <v>158</v>
      </c>
      <c r="I3" s="64" t="s">
        <v>165</v>
      </c>
      <c r="J3" s="1" t="s">
        <v>92</v>
      </c>
    </row>
    <row r="4" spans="1:12" x14ac:dyDescent="0.75">
      <c r="A4" s="12" t="str">
        <f>INDEX(PropertyClass,INT((ROWS(A$2:A4)-1)/COLUMNS($D$3:$E$3))+1,MOD(ROWS(A$2:A4)-1,COLUMNS($D$3:$E$3))+1)</f>
        <v>Autos</v>
      </c>
      <c r="C4" s="1" t="s">
        <v>175</v>
      </c>
      <c r="D4" s="1" t="s">
        <v>91</v>
      </c>
      <c r="E4" s="1" t="s">
        <v>92</v>
      </c>
      <c r="I4" s="64" t="s">
        <v>87</v>
      </c>
      <c r="J4" s="12"/>
    </row>
    <row r="5" spans="1:12" x14ac:dyDescent="0.75">
      <c r="A5" s="12" t="str">
        <f>INDEX($D$3:$E$5,INT((ROWS(A$2:A5)-1)/COLUMNS($D$3:$E$3))+1,MOD(ROWS(A$2:A5)-1,COLUMNS($D$3:$E$3))+1)</f>
        <v>Computers</v>
      </c>
      <c r="C5" s="1" t="s">
        <v>164</v>
      </c>
      <c r="D5" s="1" t="s">
        <v>93</v>
      </c>
      <c r="E5" s="1" t="s">
        <v>159</v>
      </c>
    </row>
    <row r="6" spans="1:12" ht="29.5" x14ac:dyDescent="0.75">
      <c r="A6" s="12" t="str">
        <f>INDEX($D$3:$E$5,INT((ROWS(A$2:A6)-1)/COLUMNS($D$3:$E$3))+1,MOD(ROWS(A$2:A6)-1,COLUMNS($D$3:$E$3))+1)</f>
        <v>Industrial Equipment</v>
      </c>
      <c r="H6" s="31" t="s">
        <v>168</v>
      </c>
      <c r="I6" s="31" t="s">
        <v>166</v>
      </c>
      <c r="J6" s="31" t="s">
        <v>177</v>
      </c>
      <c r="K6" s="31" t="s">
        <v>169</v>
      </c>
      <c r="L6" s="31" t="s">
        <v>167</v>
      </c>
    </row>
    <row r="7" spans="1:12" x14ac:dyDescent="0.75">
      <c r="A7" s="12" t="str">
        <f>INDEX($D$3:$E$5,INT((ROWS(A$2:A7)-1)/COLUMNS($D$3:$E$3))+1,MOD(ROWS(A$2:A7)-1,COLUMNS($D$3:$E$3))+1)</f>
        <v>Office Furniture</v>
      </c>
      <c r="C7" s="20" t="s">
        <v>160</v>
      </c>
      <c r="D7" s="20"/>
      <c r="E7" s="20"/>
      <c r="F7" s="20"/>
      <c r="H7" s="16">
        <v>1</v>
      </c>
      <c r="I7" s="19"/>
      <c r="J7" s="19"/>
      <c r="K7" s="19"/>
      <c r="L7" s="19"/>
    </row>
    <row r="8" spans="1:12" x14ac:dyDescent="0.75">
      <c r="C8" s="1"/>
      <c r="D8" s="65" t="s">
        <v>87</v>
      </c>
      <c r="E8" s="65"/>
      <c r="F8" s="65"/>
      <c r="H8" s="16">
        <v>2</v>
      </c>
      <c r="I8" s="19"/>
      <c r="J8" s="19"/>
      <c r="K8" s="19"/>
      <c r="L8" s="19"/>
    </row>
    <row r="9" spans="1:12" x14ac:dyDescent="0.75">
      <c r="C9" s="66" t="s">
        <v>1</v>
      </c>
      <c r="D9" s="66" t="str">
        <f t="array" ref="D9:F9">TRANSPOSE(C3:C5)</f>
        <v>3-Year</v>
      </c>
      <c r="E9" s="66" t="str">
        <v>5-Year</v>
      </c>
      <c r="F9" s="66" t="str">
        <v>7-Year</v>
      </c>
      <c r="H9" s="16">
        <v>3</v>
      </c>
      <c r="I9" s="19"/>
      <c r="J9" s="19"/>
      <c r="K9" s="19"/>
      <c r="L9" s="19"/>
    </row>
    <row r="10" spans="1:12" x14ac:dyDescent="0.75">
      <c r="C10" s="1">
        <v>1</v>
      </c>
      <c r="D10" s="1">
        <v>0.33329999999999999</v>
      </c>
      <c r="E10" s="1">
        <v>0.2</v>
      </c>
      <c r="F10" s="1">
        <v>0.1429</v>
      </c>
      <c r="H10" s="16">
        <v>4</v>
      </c>
      <c r="I10" s="19"/>
      <c r="J10" s="19"/>
      <c r="K10" s="19"/>
      <c r="L10" s="19"/>
    </row>
    <row r="11" spans="1:12" x14ac:dyDescent="0.75">
      <c r="C11" s="1">
        <v>2</v>
      </c>
      <c r="D11" s="1">
        <v>0.44450000000000001</v>
      </c>
      <c r="E11" s="1">
        <v>0.32</v>
      </c>
      <c r="F11" s="1">
        <v>0.24490000000000001</v>
      </c>
      <c r="H11" s="16">
        <v>5</v>
      </c>
      <c r="I11" s="19"/>
      <c r="J11" s="19"/>
      <c r="K11" s="19"/>
      <c r="L11" s="19"/>
    </row>
    <row r="12" spans="1:12" x14ac:dyDescent="0.75">
      <c r="C12" s="1">
        <v>3</v>
      </c>
      <c r="D12" s="1">
        <v>0.14810000000000001</v>
      </c>
      <c r="E12" s="1">
        <v>0.192</v>
      </c>
      <c r="F12" s="1">
        <v>0.1749</v>
      </c>
      <c r="H12" s="16">
        <v>6</v>
      </c>
      <c r="I12" s="19"/>
      <c r="J12" s="19"/>
      <c r="K12" s="19"/>
      <c r="L12" s="19"/>
    </row>
    <row r="13" spans="1:12" x14ac:dyDescent="0.75">
      <c r="C13" s="1">
        <v>4</v>
      </c>
      <c r="D13" s="1">
        <v>7.4099999999999999E-2</v>
      </c>
      <c r="E13" s="1">
        <v>0.1152</v>
      </c>
      <c r="F13" s="1">
        <v>0.1249</v>
      </c>
      <c r="H13" s="16">
        <v>7</v>
      </c>
      <c r="I13" s="19"/>
      <c r="J13" s="19"/>
      <c r="K13" s="19"/>
      <c r="L13" s="19"/>
    </row>
    <row r="14" spans="1:12" x14ac:dyDescent="0.75">
      <c r="C14" s="1">
        <v>5</v>
      </c>
      <c r="D14" s="1"/>
      <c r="E14" s="1">
        <v>0.1152</v>
      </c>
      <c r="F14" s="1">
        <v>8.9300000000000004E-2</v>
      </c>
      <c r="H14" s="16">
        <v>8</v>
      </c>
      <c r="I14" s="19"/>
      <c r="J14" s="19"/>
      <c r="K14" s="19"/>
      <c r="L14" s="19"/>
    </row>
    <row r="15" spans="1:12" x14ac:dyDescent="0.75">
      <c r="C15" s="1">
        <v>6</v>
      </c>
      <c r="D15" s="1"/>
      <c r="E15" s="1">
        <v>5.7599999999999998E-2</v>
      </c>
      <c r="F15" s="1">
        <v>8.9200000000000002E-2</v>
      </c>
      <c r="K15" s="19"/>
    </row>
    <row r="16" spans="1:12" x14ac:dyDescent="0.75">
      <c r="C16" s="1">
        <v>7</v>
      </c>
      <c r="D16" s="1"/>
      <c r="E16" s="1"/>
      <c r="F16" s="1">
        <v>8.9300000000000004E-2</v>
      </c>
    </row>
    <row r="17" spans="3:11" ht="44.25" x14ac:dyDescent="0.75">
      <c r="C17" s="1">
        <v>8</v>
      </c>
      <c r="D17" s="1"/>
      <c r="E17" s="1"/>
      <c r="F17" s="1">
        <v>4.4600000000000001E-2</v>
      </c>
      <c r="H17" s="20" t="s">
        <v>173</v>
      </c>
      <c r="I17" s="20"/>
      <c r="J17" s="20"/>
      <c r="K17" s="20"/>
    </row>
    <row r="18" spans="3:11" x14ac:dyDescent="0.75">
      <c r="I18" s="1" t="s">
        <v>172</v>
      </c>
      <c r="J18" s="17">
        <v>4500</v>
      </c>
    </row>
    <row r="19" spans="3:11" x14ac:dyDescent="0.75">
      <c r="C19" t="s">
        <v>161</v>
      </c>
      <c r="D19">
        <f>SUM(D10:D17)</f>
        <v>1</v>
      </c>
      <c r="E19">
        <f>SUM(E10:E17)</f>
        <v>0.99999999999999989</v>
      </c>
      <c r="F19">
        <f>SUM(F10:F17)</f>
        <v>1.0000000000000002</v>
      </c>
      <c r="I19" s="1" t="s">
        <v>171</v>
      </c>
      <c r="J19" s="1">
        <v>4</v>
      </c>
    </row>
    <row r="20" spans="3:11" x14ac:dyDescent="0.75">
      <c r="I20" s="1" t="str">
        <f>"End BV at year "&amp;J19</f>
        <v>End BV at year 4</v>
      </c>
      <c r="J20" s="29"/>
    </row>
    <row r="21" spans="3:11" ht="29.5" x14ac:dyDescent="0.75">
      <c r="I21" s="32" t="s">
        <v>318</v>
      </c>
      <c r="J21" s="29"/>
    </row>
    <row r="22" spans="3:11" x14ac:dyDescent="0.75">
      <c r="I22" s="1" t="str">
        <f>IF(VLOOKUP(J19,H7:L14,4)&lt;=J18,"Pay this tax:","Get this tax benefit:")</f>
        <v>Pay this tax:</v>
      </c>
      <c r="J22" s="29"/>
    </row>
    <row r="23" spans="3:11" x14ac:dyDescent="0.75">
      <c r="I23" s="1" t="s">
        <v>176</v>
      </c>
      <c r="J23" s="29"/>
    </row>
    <row r="26" spans="3:11" ht="29.5" x14ac:dyDescent="0.75">
      <c r="H26" s="20" t="s">
        <v>178</v>
      </c>
      <c r="I26" s="20"/>
      <c r="J26" s="20"/>
      <c r="K26" s="20"/>
    </row>
    <row r="27" spans="3:11" x14ac:dyDescent="0.75">
      <c r="I27" s="1" t="s">
        <v>172</v>
      </c>
      <c r="J27" s="17">
        <v>4000</v>
      </c>
    </row>
    <row r="28" spans="3:11" x14ac:dyDescent="0.75">
      <c r="I28" s="1" t="s">
        <v>171</v>
      </c>
      <c r="J28" s="1">
        <v>2</v>
      </c>
    </row>
    <row r="29" spans="3:11" x14ac:dyDescent="0.75">
      <c r="I29" s="1" t="str">
        <f>"End BV at year "&amp;J28</f>
        <v>End BV at year 2</v>
      </c>
      <c r="J29" s="29"/>
    </row>
    <row r="30" spans="3:11" x14ac:dyDescent="0.75">
      <c r="I30" s="32" t="s">
        <v>300</v>
      </c>
      <c r="J30" s="29"/>
    </row>
    <row r="31" spans="3:11" x14ac:dyDescent="0.75">
      <c r="I31" s="1" t="str">
        <f>IF(VLOOKUP(J28,H7:L14,5)&lt;=J27,"Pay this tax:","Get this tax benefit:")</f>
        <v>Pay this tax:</v>
      </c>
      <c r="J31" s="29"/>
    </row>
    <row r="32" spans="3:11" x14ac:dyDescent="0.75">
      <c r="I32" s="1" t="s">
        <v>176</v>
      </c>
      <c r="J32" s="29"/>
    </row>
  </sheetData>
  <dataValidations count="1">
    <dataValidation type="list" allowBlank="1" showInputMessage="1" showErrorMessage="1" sqref="J3" xr:uid="{00000000-0002-0000-0D00-000000000000}">
      <formula1>Property</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R32"/>
  <sheetViews>
    <sheetView zoomScale="55" zoomScaleNormal="55" workbookViewId="0"/>
  </sheetViews>
  <sheetFormatPr defaultRowHeight="14.75" outlineLevelCol="1" x14ac:dyDescent="0.75"/>
  <cols>
    <col min="1" max="1" width="18.2265625" customWidth="1" outlineLevel="1"/>
    <col min="2" max="2" width="8.86328125" customWidth="1" outlineLevel="1"/>
    <col min="3" max="3" width="11.86328125" bestFit="1" customWidth="1" outlineLevel="1"/>
    <col min="4" max="4" width="18.76953125" customWidth="1" outlineLevel="1"/>
    <col min="5" max="5" width="17.86328125" customWidth="1" outlineLevel="1"/>
    <col min="6" max="6" width="8.86328125" customWidth="1" outlineLevel="1"/>
    <col min="7" max="7" width="8.86328125" customWidth="1"/>
    <col min="8" max="8" width="4.6796875" bestFit="1" customWidth="1"/>
    <col min="9" max="9" width="20.54296875" bestFit="1" customWidth="1"/>
    <col min="10" max="10" width="12.86328125" bestFit="1" customWidth="1"/>
    <col min="11" max="11" width="20.453125" customWidth="1"/>
    <col min="12" max="12" width="22" customWidth="1"/>
    <col min="13" max="13" width="4.54296875" customWidth="1"/>
    <col min="14" max="14" width="4.6796875" bestFit="1" customWidth="1"/>
    <col min="15" max="15" width="20.54296875" bestFit="1" customWidth="1"/>
    <col min="16" max="16" width="20.2265625" customWidth="1"/>
    <col min="17" max="17" width="20.453125" customWidth="1"/>
    <col min="18" max="18" width="22" customWidth="1"/>
  </cols>
  <sheetData>
    <row r="1" spans="3:18" x14ac:dyDescent="0.75">
      <c r="C1" s="20" t="s">
        <v>157</v>
      </c>
      <c r="D1" s="20"/>
      <c r="E1" s="20"/>
      <c r="I1" s="31" t="s">
        <v>170</v>
      </c>
      <c r="J1" s="1">
        <v>0.34</v>
      </c>
      <c r="O1" s="31" t="s">
        <v>170</v>
      </c>
      <c r="P1" s="1">
        <v>0.34</v>
      </c>
      <c r="R1" s="94" t="s">
        <v>332</v>
      </c>
    </row>
    <row r="2" spans="3:18" x14ac:dyDescent="0.75">
      <c r="C2" s="63" t="s">
        <v>87</v>
      </c>
      <c r="D2" s="63" t="s">
        <v>88</v>
      </c>
      <c r="E2" s="63" t="s">
        <v>89</v>
      </c>
      <c r="I2" s="64" t="s">
        <v>162</v>
      </c>
      <c r="J2" s="37">
        <v>25000</v>
      </c>
      <c r="O2" s="64" t="s">
        <v>162</v>
      </c>
      <c r="P2" s="37">
        <v>25000</v>
      </c>
    </row>
    <row r="3" spans="3:18" x14ac:dyDescent="0.75">
      <c r="C3" s="1" t="s">
        <v>163</v>
      </c>
      <c r="D3" s="1" t="s">
        <v>90</v>
      </c>
      <c r="E3" s="1" t="s">
        <v>158</v>
      </c>
      <c r="I3" s="64" t="s">
        <v>165</v>
      </c>
      <c r="J3" s="1" t="s">
        <v>92</v>
      </c>
      <c r="O3" s="64" t="s">
        <v>165</v>
      </c>
      <c r="P3" s="1" t="s">
        <v>92</v>
      </c>
    </row>
    <row r="4" spans="3:18" x14ac:dyDescent="0.75">
      <c r="C4" s="1" t="s">
        <v>175</v>
      </c>
      <c r="D4" s="1" t="s">
        <v>91</v>
      </c>
      <c r="E4" s="1" t="s">
        <v>92</v>
      </c>
      <c r="I4" s="64" t="s">
        <v>87</v>
      </c>
      <c r="J4" s="12" t="s">
        <v>175</v>
      </c>
      <c r="O4" s="64" t="s">
        <v>87</v>
      </c>
      <c r="P4" s="12" t="str" cm="1">
        <f t="array" ref="P4">_xlfn.XLOOKUP(P3,_xlfn.ANCHORARRAY(A23),B23:B28)</f>
        <v>5-Year</v>
      </c>
    </row>
    <row r="5" spans="3:18" x14ac:dyDescent="0.75">
      <c r="C5" s="1" t="s">
        <v>164</v>
      </c>
      <c r="D5" s="1" t="s">
        <v>93</v>
      </c>
      <c r="E5" s="1" t="s">
        <v>159</v>
      </c>
    </row>
    <row r="6" spans="3:18" ht="29.5" x14ac:dyDescent="0.75">
      <c r="H6" s="31" t="s">
        <v>168</v>
      </c>
      <c r="I6" s="31" t="s">
        <v>166</v>
      </c>
      <c r="J6" s="31" t="s">
        <v>177</v>
      </c>
      <c r="K6" s="31" t="s">
        <v>169</v>
      </c>
      <c r="L6" s="31" t="s">
        <v>167</v>
      </c>
      <c r="N6" s="31" t="s">
        <v>168</v>
      </c>
      <c r="O6" s="31" t="s">
        <v>166</v>
      </c>
      <c r="P6" s="31" t="s">
        <v>177</v>
      </c>
      <c r="Q6" s="31" t="s">
        <v>169</v>
      </c>
      <c r="R6" s="31" t="s">
        <v>167</v>
      </c>
    </row>
    <row r="7" spans="3:18" x14ac:dyDescent="0.75">
      <c r="C7" s="20" t="s">
        <v>160</v>
      </c>
      <c r="D7" s="20"/>
      <c r="E7" s="20"/>
      <c r="F7" s="20"/>
      <c r="H7" s="16">
        <v>1</v>
      </c>
      <c r="I7" s="19">
        <f>J2</f>
        <v>25000</v>
      </c>
      <c r="J7" s="19" t="str">
        <f>$J$2&amp;"*"&amp;E10</f>
        <v>25000*0.2</v>
      </c>
      <c r="K7" s="19">
        <f>$J$2*E10</f>
        <v>5000</v>
      </c>
      <c r="L7" s="19">
        <f>I7-K7</f>
        <v>20000</v>
      </c>
      <c r="N7" s="16">
        <v>1</v>
      </c>
      <c r="O7" s="19">
        <f>P2</f>
        <v>25000</v>
      </c>
      <c r="P7" s="19" t="str" cm="1">
        <f t="array" ref="P7:P12">P2&amp;" * "&amp;E10:E15</f>
        <v>25000 * 0.2</v>
      </c>
      <c r="Q7" s="19" cm="1">
        <f t="array" ref="Q7:Q12">E10:E15*P2</f>
        <v>5000</v>
      </c>
      <c r="R7" s="19">
        <f>O7-Q7</f>
        <v>20000</v>
      </c>
    </row>
    <row r="8" spans="3:18" x14ac:dyDescent="0.75">
      <c r="C8" s="1"/>
      <c r="D8" s="65" t="s">
        <v>87</v>
      </c>
      <c r="E8" s="65"/>
      <c r="F8" s="65"/>
      <c r="H8" s="16">
        <v>2</v>
      </c>
      <c r="I8" s="19">
        <f>L7</f>
        <v>20000</v>
      </c>
      <c r="J8" s="19" t="str">
        <f t="shared" ref="J8:J12" si="0">$J$2&amp;"*"&amp;E11</f>
        <v>25000*0.32</v>
      </c>
      <c r="K8" s="19">
        <f t="shared" ref="K8:K12" si="1">$J$2*E11</f>
        <v>8000</v>
      </c>
      <c r="L8" s="19">
        <f>I8-K8</f>
        <v>12000</v>
      </c>
      <c r="N8" s="16">
        <v>2</v>
      </c>
      <c r="O8" s="19">
        <f>R7</f>
        <v>20000</v>
      </c>
      <c r="P8" s="19" t="str">
        <v>25000 * 0.32</v>
      </c>
      <c r="Q8" s="19">
        <v>8000</v>
      </c>
      <c r="R8" s="19">
        <f t="shared" ref="R8:R12" si="2">O8-Q8</f>
        <v>12000</v>
      </c>
    </row>
    <row r="9" spans="3:18" x14ac:dyDescent="0.75">
      <c r="C9" s="66" t="s">
        <v>1</v>
      </c>
      <c r="D9" s="66" t="str">
        <f t="array" ref="D9:F9">TRANSPOSE(C3:C5)</f>
        <v>3-Year</v>
      </c>
      <c r="E9" s="66" t="str">
        <v>5-Year</v>
      </c>
      <c r="F9" s="66" t="str">
        <v>7-Year</v>
      </c>
      <c r="H9" s="16">
        <v>3</v>
      </c>
      <c r="I9" s="19">
        <f t="shared" ref="I9:I12" si="3">L8</f>
        <v>12000</v>
      </c>
      <c r="J9" s="19" t="str">
        <f t="shared" si="0"/>
        <v>25000*0.192</v>
      </c>
      <c r="K9" s="19">
        <f t="shared" si="1"/>
        <v>4800</v>
      </c>
      <c r="L9" s="19">
        <f t="shared" ref="L9:L12" si="4">I9-K9</f>
        <v>7200</v>
      </c>
      <c r="N9" s="16">
        <v>3</v>
      </c>
      <c r="O9" s="19">
        <f t="shared" ref="O9:O12" si="5">R8</f>
        <v>12000</v>
      </c>
      <c r="P9" s="19" t="str">
        <v>25000 * 0.192</v>
      </c>
      <c r="Q9" s="19">
        <v>4800</v>
      </c>
      <c r="R9" s="19">
        <f t="shared" si="2"/>
        <v>7200</v>
      </c>
    </row>
    <row r="10" spans="3:18" x14ac:dyDescent="0.75">
      <c r="C10" s="1">
        <v>1</v>
      </c>
      <c r="D10" s="1">
        <v>0.33329999999999999</v>
      </c>
      <c r="E10" s="1">
        <v>0.2</v>
      </c>
      <c r="F10" s="1">
        <v>0.1429</v>
      </c>
      <c r="H10" s="16">
        <v>4</v>
      </c>
      <c r="I10" s="19">
        <f t="shared" si="3"/>
        <v>7200</v>
      </c>
      <c r="J10" s="19" t="str">
        <f t="shared" si="0"/>
        <v>25000*0.1152</v>
      </c>
      <c r="K10" s="19">
        <f t="shared" si="1"/>
        <v>2880</v>
      </c>
      <c r="L10" s="19">
        <f t="shared" si="4"/>
        <v>4320</v>
      </c>
      <c r="N10" s="16">
        <v>4</v>
      </c>
      <c r="O10" s="19">
        <f t="shared" si="5"/>
        <v>7200</v>
      </c>
      <c r="P10" s="19" t="str">
        <v>25000 * 0.1152</v>
      </c>
      <c r="Q10" s="19">
        <v>2880</v>
      </c>
      <c r="R10" s="19">
        <f t="shared" si="2"/>
        <v>4320</v>
      </c>
    </row>
    <row r="11" spans="3:18" x14ac:dyDescent="0.75">
      <c r="C11" s="1">
        <v>2</v>
      </c>
      <c r="D11" s="1">
        <v>0.44450000000000001</v>
      </c>
      <c r="E11" s="1">
        <v>0.32</v>
      </c>
      <c r="F11" s="1">
        <v>0.24490000000000001</v>
      </c>
      <c r="H11" s="16">
        <v>5</v>
      </c>
      <c r="I11" s="19">
        <f t="shared" si="3"/>
        <v>4320</v>
      </c>
      <c r="J11" s="19" t="str">
        <f t="shared" si="0"/>
        <v>25000*0.1152</v>
      </c>
      <c r="K11" s="19">
        <f t="shared" si="1"/>
        <v>2880</v>
      </c>
      <c r="L11" s="19">
        <f t="shared" si="4"/>
        <v>1440</v>
      </c>
      <c r="N11" s="16">
        <v>5</v>
      </c>
      <c r="O11" s="19">
        <f t="shared" si="5"/>
        <v>4320</v>
      </c>
      <c r="P11" s="19" t="str">
        <v>25000 * 0.1152</v>
      </c>
      <c r="Q11" s="19">
        <v>2880</v>
      </c>
      <c r="R11" s="19">
        <f t="shared" si="2"/>
        <v>1440</v>
      </c>
    </row>
    <row r="12" spans="3:18" x14ac:dyDescent="0.75">
      <c r="C12" s="1">
        <v>3</v>
      </c>
      <c r="D12" s="1">
        <v>0.14810000000000001</v>
      </c>
      <c r="E12" s="1">
        <v>0.192</v>
      </c>
      <c r="F12" s="1">
        <v>0.1749</v>
      </c>
      <c r="H12" s="16">
        <v>6</v>
      </c>
      <c r="I12" s="19">
        <f t="shared" si="3"/>
        <v>1440</v>
      </c>
      <c r="J12" s="19" t="str">
        <f t="shared" si="0"/>
        <v>25000*0.0576</v>
      </c>
      <c r="K12" s="19">
        <f t="shared" si="1"/>
        <v>1440</v>
      </c>
      <c r="L12" s="19">
        <f t="shared" si="4"/>
        <v>0</v>
      </c>
      <c r="N12" s="16">
        <v>6</v>
      </c>
      <c r="O12" s="19">
        <f t="shared" si="5"/>
        <v>1440</v>
      </c>
      <c r="P12" s="19" t="str">
        <v>25000 * 0.0576</v>
      </c>
      <c r="Q12" s="19">
        <v>1440</v>
      </c>
      <c r="R12" s="19">
        <f t="shared" si="2"/>
        <v>0</v>
      </c>
    </row>
    <row r="13" spans="3:18" x14ac:dyDescent="0.75">
      <c r="C13" s="1">
        <v>4</v>
      </c>
      <c r="D13" s="1">
        <v>7.4099999999999999E-2</v>
      </c>
      <c r="E13" s="1">
        <v>0.1152</v>
      </c>
      <c r="F13" s="1">
        <v>0.1249</v>
      </c>
      <c r="H13" s="16">
        <v>7</v>
      </c>
      <c r="I13" s="19"/>
      <c r="J13" s="19"/>
      <c r="K13" s="19"/>
      <c r="L13" s="19"/>
      <c r="N13" s="16">
        <v>7</v>
      </c>
      <c r="O13" s="19"/>
      <c r="P13" s="19"/>
      <c r="Q13" s="19"/>
      <c r="R13" s="19"/>
    </row>
    <row r="14" spans="3:18" x14ac:dyDescent="0.75">
      <c r="C14" s="1">
        <v>5</v>
      </c>
      <c r="D14" s="1"/>
      <c r="E14" s="1">
        <v>0.1152</v>
      </c>
      <c r="F14" s="1">
        <v>8.9300000000000004E-2</v>
      </c>
      <c r="H14" s="16">
        <v>8</v>
      </c>
      <c r="I14" s="19"/>
      <c r="J14" s="19"/>
      <c r="K14" s="19"/>
      <c r="L14" s="19"/>
      <c r="N14" s="16">
        <v>8</v>
      </c>
      <c r="O14" s="19"/>
      <c r="P14" s="19"/>
      <c r="Q14" s="19"/>
      <c r="R14" s="19"/>
    </row>
    <row r="15" spans="3:18" x14ac:dyDescent="0.75">
      <c r="C15" s="1">
        <v>6</v>
      </c>
      <c r="D15" s="1"/>
      <c r="E15" s="1">
        <v>5.7599999999999998E-2</v>
      </c>
      <c r="F15" s="1">
        <v>8.9200000000000002E-2</v>
      </c>
      <c r="K15" s="19">
        <f>SUM(K7:K12)</f>
        <v>25000</v>
      </c>
      <c r="Q15" s="19"/>
    </row>
    <row r="16" spans="3:18" x14ac:dyDescent="0.75">
      <c r="C16" s="1">
        <v>7</v>
      </c>
      <c r="D16" s="1"/>
      <c r="E16" s="1"/>
      <c r="F16" s="1">
        <v>8.9300000000000004E-2</v>
      </c>
    </row>
    <row r="17" spans="1:11" ht="44.25" x14ac:dyDescent="0.75">
      <c r="C17" s="1">
        <v>8</v>
      </c>
      <c r="D17" s="1"/>
      <c r="E17" s="1"/>
      <c r="F17" s="1">
        <v>4.4600000000000001E-2</v>
      </c>
      <c r="H17" s="20" t="s">
        <v>173</v>
      </c>
      <c r="I17" s="20"/>
      <c r="J17" s="20"/>
      <c r="K17" s="20"/>
    </row>
    <row r="18" spans="1:11" x14ac:dyDescent="0.75">
      <c r="I18" s="1" t="s">
        <v>172</v>
      </c>
      <c r="J18" s="17">
        <v>4500</v>
      </c>
    </row>
    <row r="19" spans="1:11" x14ac:dyDescent="0.75">
      <c r="C19" t="s">
        <v>161</v>
      </c>
      <c r="D19">
        <f>SUM(D10:D17)</f>
        <v>1</v>
      </c>
      <c r="E19">
        <f>SUM(E10:E17)</f>
        <v>0.99999999999999989</v>
      </c>
      <c r="F19">
        <f>SUM(F10:F17)</f>
        <v>1.0000000000000002</v>
      </c>
      <c r="I19" s="1" t="s">
        <v>171</v>
      </c>
      <c r="J19" s="1">
        <v>4</v>
      </c>
    </row>
    <row r="20" spans="1:11" x14ac:dyDescent="0.75">
      <c r="I20" s="1" t="str">
        <f>"End BV at year "&amp;J19</f>
        <v>End BV at year 4</v>
      </c>
      <c r="J20" s="29">
        <f>L10</f>
        <v>4320</v>
      </c>
    </row>
    <row r="21" spans="1:11" ht="29.5" x14ac:dyDescent="0.75">
      <c r="I21" s="32" t="s">
        <v>318</v>
      </c>
      <c r="J21" s="29">
        <f>J18-J20</f>
        <v>180</v>
      </c>
    </row>
    <row r="22" spans="1:11" x14ac:dyDescent="0.75">
      <c r="A22" s="64" t="s">
        <v>165</v>
      </c>
      <c r="B22" s="64" t="s">
        <v>87</v>
      </c>
      <c r="I22" s="1" t="str">
        <f>IF(VLOOKUP(J19,H7:L14,4)&lt;=J18,"Pay this tax:","Get this tax benefit:")</f>
        <v>Pay this tax:</v>
      </c>
      <c r="J22" s="29">
        <f>J21*J1</f>
        <v>61.2</v>
      </c>
    </row>
    <row r="23" spans="1:11" x14ac:dyDescent="0.75">
      <c r="A23" s="12" t="str" cm="1">
        <f t="array" ref="A23:A28">_xlfn.TOCOL(D3:E5)</f>
        <v>Research Equipment</v>
      </c>
      <c r="B23" s="1" t="str" cm="1">
        <f t="array" ref="B23">INDEX($C$3:$C$5,SUM((A23=$D$3:$E$5)*(ROW($D$3:$D$5)-ROW($D$3)+1)))</f>
        <v>3-Year</v>
      </c>
      <c r="I23" s="1" t="s">
        <v>176</v>
      </c>
      <c r="J23" s="29">
        <f>J18-J22</f>
        <v>4438.8</v>
      </c>
    </row>
    <row r="24" spans="1:11" x14ac:dyDescent="0.75">
      <c r="A24" s="12" t="str">
        <v>Special Tools</v>
      </c>
      <c r="B24" s="1" t="str" cm="1">
        <f t="array" ref="B24">INDEX($C$3:$C$5,SUM((A24=$D$3:$E$5)*(ROW($D$3:$D$5)-ROW($D$3)+1)))</f>
        <v>3-Year</v>
      </c>
    </row>
    <row r="25" spans="1:11" x14ac:dyDescent="0.75">
      <c r="A25" s="12" t="str">
        <v>Autos</v>
      </c>
      <c r="B25" s="1" t="str" cm="1">
        <f t="array" ref="B25">INDEX($C$3:$C$5,SUM((A25=$D$3:$E$5)*(ROW($D$3:$D$5)-ROW($D$3)+1)))</f>
        <v>5-Year</v>
      </c>
    </row>
    <row r="26" spans="1:11" ht="29.5" x14ac:dyDescent="0.75">
      <c r="A26" s="12" t="str">
        <v>Computers</v>
      </c>
      <c r="B26" s="1" t="str" cm="1">
        <f t="array" ref="B26">INDEX($C$3:$C$5,SUM((A26=$D$3:$E$5)*(ROW($D$3:$D$5)-ROW($D$3)+1)))</f>
        <v>5-Year</v>
      </c>
      <c r="H26" s="20" t="s">
        <v>178</v>
      </c>
      <c r="I26" s="20"/>
      <c r="J26" s="20"/>
      <c r="K26" s="20"/>
    </row>
    <row r="27" spans="1:11" x14ac:dyDescent="0.75">
      <c r="A27" s="12" t="str">
        <v>Industrial Equipment</v>
      </c>
      <c r="B27" s="1" t="str" cm="1">
        <f t="array" ref="B27">INDEX($C$3:$C$5,SUM((A27=$D$3:$E$5)*(ROW($D$3:$D$5)-ROW($D$3)+1)))</f>
        <v>7-Year</v>
      </c>
      <c r="I27" s="1" t="s">
        <v>172</v>
      </c>
      <c r="J27" s="17">
        <v>4000</v>
      </c>
    </row>
    <row r="28" spans="1:11" x14ac:dyDescent="0.75">
      <c r="A28" s="12" t="str">
        <v>Office Furniture</v>
      </c>
      <c r="B28" s="1" t="str" cm="1">
        <f t="array" ref="B28">INDEX($C$3:$C$5,SUM((A28=$D$3:$E$5)*(ROW($D$3:$D$5)-ROW($D$3)+1)))</f>
        <v>7-Year</v>
      </c>
      <c r="I28" s="1" t="s">
        <v>171</v>
      </c>
      <c r="J28" s="1">
        <v>2</v>
      </c>
    </row>
    <row r="29" spans="1:11" x14ac:dyDescent="0.75">
      <c r="I29" s="1" t="str">
        <f>"End BV at year "&amp;J28</f>
        <v>End BV at year 2</v>
      </c>
      <c r="J29" s="29">
        <f>L8</f>
        <v>12000</v>
      </c>
    </row>
    <row r="30" spans="1:11" x14ac:dyDescent="0.75">
      <c r="I30" s="32" t="s">
        <v>300</v>
      </c>
      <c r="J30" s="29">
        <f>J27-J29</f>
        <v>-8000</v>
      </c>
    </row>
    <row r="31" spans="1:11" x14ac:dyDescent="0.75">
      <c r="I31" s="1" t="str">
        <f>IF(VLOOKUP(J28,H7:L14,5)&lt;=J27,"Pay this tax:","Get this tax benefit:")</f>
        <v>Get this tax benefit:</v>
      </c>
      <c r="J31" s="29">
        <f>-J30*J1</f>
        <v>2720</v>
      </c>
    </row>
    <row r="32" spans="1:11" x14ac:dyDescent="0.75">
      <c r="I32" s="1" t="s">
        <v>176</v>
      </c>
      <c r="J32" s="29">
        <f>J27+J31</f>
        <v>6720</v>
      </c>
    </row>
  </sheetData>
  <dataValidations disablePrompts="1" count="1">
    <dataValidation type="list" allowBlank="1" showInputMessage="1" showErrorMessage="1" sqref="J3 P3" xr:uid="{00000000-0002-0000-0E00-000000000000}">
      <formula1>Property</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P35"/>
  <sheetViews>
    <sheetView zoomScale="85" zoomScaleNormal="85" workbookViewId="0"/>
  </sheetViews>
  <sheetFormatPr defaultRowHeight="14.75" x14ac:dyDescent="0.75"/>
  <cols>
    <col min="1" max="1" width="16.31640625" bestFit="1" customWidth="1"/>
    <col min="2" max="2" width="61.08984375" bestFit="1" customWidth="1"/>
    <col min="4" max="4" width="12.6796875" bestFit="1" customWidth="1"/>
    <col min="5" max="7" width="13.86328125" bestFit="1" customWidth="1"/>
    <col min="8" max="10" width="14.86328125" bestFit="1" customWidth="1"/>
  </cols>
  <sheetData>
    <row r="1" spans="1:10" x14ac:dyDescent="0.75">
      <c r="A1" s="58" t="s">
        <v>94</v>
      </c>
      <c r="B1" s="58" t="s">
        <v>95</v>
      </c>
      <c r="D1" s="56" t="s">
        <v>126</v>
      </c>
      <c r="E1" s="56" t="s">
        <v>127</v>
      </c>
      <c r="F1" s="56" t="s">
        <v>128</v>
      </c>
      <c r="G1" s="56" t="s">
        <v>129</v>
      </c>
      <c r="H1" s="56" t="s">
        <v>130</v>
      </c>
      <c r="I1" s="56" t="s">
        <v>131</v>
      </c>
      <c r="J1" s="56" t="s">
        <v>132</v>
      </c>
    </row>
    <row r="2" spans="1:10" x14ac:dyDescent="0.75">
      <c r="A2" s="150" t="s">
        <v>96</v>
      </c>
      <c r="B2" s="59" t="s">
        <v>97</v>
      </c>
      <c r="D2" s="57">
        <v>1</v>
      </c>
      <c r="E2" s="57">
        <v>33.33</v>
      </c>
      <c r="F2" s="57">
        <v>20</v>
      </c>
      <c r="G2" s="57">
        <v>14.29</v>
      </c>
      <c r="H2" s="57">
        <v>10</v>
      </c>
      <c r="I2" s="57">
        <v>5</v>
      </c>
      <c r="J2" s="57">
        <v>3.75</v>
      </c>
    </row>
    <row r="3" spans="1:10" ht="29.5" x14ac:dyDescent="0.75">
      <c r="A3" s="150"/>
      <c r="B3" s="59" t="s">
        <v>98</v>
      </c>
      <c r="D3" s="57">
        <v>2</v>
      </c>
      <c r="E3" s="57">
        <v>44.45</v>
      </c>
      <c r="F3" s="57">
        <v>32</v>
      </c>
      <c r="G3" s="57">
        <v>24.49</v>
      </c>
      <c r="H3" s="57">
        <v>18</v>
      </c>
      <c r="I3" s="57">
        <v>9.5</v>
      </c>
      <c r="J3" s="57">
        <v>7.2190000000000003</v>
      </c>
    </row>
    <row r="4" spans="1:10" x14ac:dyDescent="0.75">
      <c r="A4" s="150"/>
      <c r="B4" s="59" t="s">
        <v>99</v>
      </c>
      <c r="D4" s="57">
        <v>3</v>
      </c>
      <c r="E4" s="57" t="s">
        <v>133</v>
      </c>
      <c r="F4" s="57">
        <v>19.2</v>
      </c>
      <c r="G4" s="57">
        <v>17.489999999999998</v>
      </c>
      <c r="H4" s="57">
        <v>14.4</v>
      </c>
      <c r="I4" s="57">
        <v>8.5500000000000007</v>
      </c>
      <c r="J4" s="57">
        <v>6.6769999999999996</v>
      </c>
    </row>
    <row r="5" spans="1:10" x14ac:dyDescent="0.75">
      <c r="A5" s="150" t="s">
        <v>100</v>
      </c>
      <c r="B5" s="59" t="s">
        <v>101</v>
      </c>
      <c r="D5" s="57">
        <v>4</v>
      </c>
      <c r="E5" s="57">
        <v>7.41</v>
      </c>
      <c r="F5" s="57" t="s">
        <v>134</v>
      </c>
      <c r="G5" s="57">
        <v>12.49</v>
      </c>
      <c r="H5" s="57">
        <v>11.52</v>
      </c>
      <c r="I5" s="57">
        <v>7.7</v>
      </c>
      <c r="J5" s="57">
        <v>6.1769999999999996</v>
      </c>
    </row>
    <row r="6" spans="1:10" x14ac:dyDescent="0.75">
      <c r="A6" s="150"/>
      <c r="B6" s="59" t="s">
        <v>102</v>
      </c>
      <c r="D6" s="57">
        <v>5</v>
      </c>
      <c r="E6" s="57"/>
      <c r="F6" s="57">
        <v>11.52</v>
      </c>
      <c r="G6" s="57" t="s">
        <v>135</v>
      </c>
      <c r="H6" s="57">
        <v>9.2200000000000006</v>
      </c>
      <c r="I6" s="57">
        <v>6.93</v>
      </c>
      <c r="J6" s="57">
        <v>5.7130000000000001</v>
      </c>
    </row>
    <row r="7" spans="1:10" x14ac:dyDescent="0.75">
      <c r="A7" s="150"/>
      <c r="B7" s="59" t="s">
        <v>92</v>
      </c>
      <c r="D7" s="57">
        <v>6</v>
      </c>
      <c r="E7" s="57"/>
      <c r="F7" s="57">
        <v>5.76</v>
      </c>
      <c r="G7" s="57">
        <v>8.92</v>
      </c>
      <c r="H7" s="57">
        <v>7.37</v>
      </c>
      <c r="I7" s="57">
        <v>6.23</v>
      </c>
      <c r="J7" s="57">
        <v>5.2850000000000001</v>
      </c>
    </row>
    <row r="8" spans="1:10" x14ac:dyDescent="0.75">
      <c r="A8" s="150"/>
      <c r="B8" s="59" t="s">
        <v>103</v>
      </c>
      <c r="D8" s="57">
        <v>7</v>
      </c>
      <c r="E8" s="57"/>
      <c r="F8" s="57"/>
      <c r="G8" s="57">
        <v>8.93</v>
      </c>
      <c r="H8" s="57" t="s">
        <v>136</v>
      </c>
      <c r="I8" s="57" t="s">
        <v>137</v>
      </c>
      <c r="J8" s="57">
        <v>4.8879999999999999</v>
      </c>
    </row>
    <row r="9" spans="1:10" x14ac:dyDescent="0.75">
      <c r="A9" s="150"/>
      <c r="B9" s="59" t="s">
        <v>104</v>
      </c>
      <c r="D9" s="57">
        <v>8</v>
      </c>
      <c r="E9" s="57"/>
      <c r="F9" s="57"/>
      <c r="G9" s="57">
        <v>4.46</v>
      </c>
      <c r="H9" s="57">
        <v>6.55</v>
      </c>
      <c r="I9" s="57">
        <v>5.9</v>
      </c>
      <c r="J9" s="57">
        <v>4.5220000000000002</v>
      </c>
    </row>
    <row r="10" spans="1:10" x14ac:dyDescent="0.75">
      <c r="A10" s="150"/>
      <c r="B10" s="59" t="s">
        <v>105</v>
      </c>
      <c r="D10" s="57">
        <v>9</v>
      </c>
      <c r="E10" s="57"/>
      <c r="F10" s="57"/>
      <c r="G10" s="57"/>
      <c r="H10" s="57">
        <v>6.56</v>
      </c>
      <c r="I10" s="57">
        <v>5.91</v>
      </c>
      <c r="J10" s="57" t="s">
        <v>138</v>
      </c>
    </row>
    <row r="11" spans="1:10" x14ac:dyDescent="0.75">
      <c r="A11" s="150" t="s">
        <v>106</v>
      </c>
      <c r="B11" s="59" t="s">
        <v>107</v>
      </c>
      <c r="D11" s="57">
        <v>10</v>
      </c>
      <c r="E11" s="57"/>
      <c r="F11" s="57"/>
      <c r="G11" s="57"/>
      <c r="H11" s="57">
        <v>6.55</v>
      </c>
      <c r="I11" s="57">
        <v>5.9</v>
      </c>
      <c r="J11" s="57">
        <v>4.4610000000000003</v>
      </c>
    </row>
    <row r="12" spans="1:10" x14ac:dyDescent="0.75">
      <c r="A12" s="150"/>
      <c r="B12" s="59" t="s">
        <v>108</v>
      </c>
      <c r="D12" s="57">
        <v>11</v>
      </c>
      <c r="E12" s="57"/>
      <c r="F12" s="57"/>
      <c r="G12" s="57"/>
      <c r="H12" s="57">
        <v>3.28</v>
      </c>
      <c r="I12" s="57">
        <v>5.91</v>
      </c>
      <c r="J12" s="57">
        <v>4.4619999999999997</v>
      </c>
    </row>
    <row r="13" spans="1:10" ht="29.5" x14ac:dyDescent="0.75">
      <c r="A13" s="150"/>
      <c r="B13" s="59" t="s">
        <v>109</v>
      </c>
      <c r="D13" s="57">
        <v>12</v>
      </c>
      <c r="E13" s="57"/>
      <c r="F13" s="57"/>
      <c r="G13" s="57"/>
      <c r="H13" s="57"/>
      <c r="I13" s="57">
        <v>5.9</v>
      </c>
      <c r="J13" s="57">
        <v>4.4610000000000003</v>
      </c>
    </row>
    <row r="14" spans="1:10" x14ac:dyDescent="0.75">
      <c r="A14" s="150" t="s">
        <v>110</v>
      </c>
      <c r="B14" s="59" t="s">
        <v>111</v>
      </c>
      <c r="D14" s="57">
        <v>13</v>
      </c>
      <c r="E14" s="57"/>
      <c r="F14" s="57"/>
      <c r="G14" s="57"/>
      <c r="H14" s="57"/>
      <c r="I14" s="57" t="s">
        <v>139</v>
      </c>
      <c r="J14" s="57">
        <v>4.4619999999999997</v>
      </c>
    </row>
    <row r="15" spans="1:10" x14ac:dyDescent="0.75">
      <c r="A15" s="150"/>
      <c r="B15" s="59" t="s">
        <v>112</v>
      </c>
      <c r="D15" s="57">
        <v>14</v>
      </c>
      <c r="E15" s="57"/>
      <c r="F15" s="57"/>
      <c r="G15" s="57"/>
      <c r="H15" s="57"/>
      <c r="I15" s="57">
        <v>5.9</v>
      </c>
      <c r="J15" s="57">
        <v>4.4610000000000003</v>
      </c>
    </row>
    <row r="16" spans="1:10" x14ac:dyDescent="0.75">
      <c r="A16" s="150"/>
      <c r="B16" s="59" t="s">
        <v>113</v>
      </c>
      <c r="D16" s="57">
        <v>15</v>
      </c>
      <c r="E16" s="57"/>
      <c r="F16" s="57"/>
      <c r="G16" s="57"/>
      <c r="H16" s="57"/>
      <c r="I16" s="57">
        <v>5.91</v>
      </c>
      <c r="J16" s="57">
        <v>4.4619999999999997</v>
      </c>
    </row>
    <row r="17" spans="1:16" x14ac:dyDescent="0.75">
      <c r="A17" s="150" t="s">
        <v>114</v>
      </c>
      <c r="B17" s="59" t="s">
        <v>115</v>
      </c>
      <c r="D17" s="57">
        <v>16</v>
      </c>
      <c r="E17" s="57"/>
      <c r="F17" s="57"/>
      <c r="G17" s="57"/>
      <c r="H17" s="57"/>
      <c r="I17" s="57">
        <v>2.95</v>
      </c>
      <c r="J17" s="57">
        <v>4.4610000000000003</v>
      </c>
    </row>
    <row r="18" spans="1:16" x14ac:dyDescent="0.75">
      <c r="A18" s="150"/>
      <c r="B18" s="59" t="s">
        <v>116</v>
      </c>
      <c r="D18" s="57">
        <v>17</v>
      </c>
      <c r="E18" s="57"/>
      <c r="F18" s="57"/>
      <c r="G18" s="57"/>
      <c r="H18" s="57"/>
      <c r="I18" s="57"/>
      <c r="J18" s="57">
        <v>4.4619999999999997</v>
      </c>
    </row>
    <row r="19" spans="1:16" x14ac:dyDescent="0.75">
      <c r="A19" s="150"/>
      <c r="B19" s="59" t="s">
        <v>117</v>
      </c>
      <c r="D19" s="57">
        <v>18</v>
      </c>
      <c r="E19" s="57"/>
      <c r="F19" s="57"/>
      <c r="G19" s="57"/>
      <c r="H19" s="57"/>
      <c r="I19" s="57"/>
      <c r="J19" s="57">
        <v>4.4610000000000003</v>
      </c>
    </row>
    <row r="20" spans="1:16" x14ac:dyDescent="0.75">
      <c r="A20" s="150" t="s">
        <v>118</v>
      </c>
      <c r="B20" s="59" t="s">
        <v>119</v>
      </c>
      <c r="D20" s="57">
        <v>19</v>
      </c>
      <c r="E20" s="57"/>
      <c r="F20" s="57"/>
      <c r="G20" s="57"/>
      <c r="H20" s="57"/>
      <c r="I20" s="57"/>
      <c r="J20" s="57">
        <v>4.4619999999999997</v>
      </c>
    </row>
    <row r="21" spans="1:16" x14ac:dyDescent="0.75">
      <c r="A21" s="150"/>
      <c r="B21" s="59" t="s">
        <v>120</v>
      </c>
      <c r="D21" s="57">
        <v>20</v>
      </c>
      <c r="E21" s="57"/>
      <c r="F21" s="57"/>
      <c r="G21" s="57"/>
      <c r="H21" s="57"/>
      <c r="I21" s="57"/>
      <c r="J21" s="57">
        <v>4.4610000000000003</v>
      </c>
    </row>
    <row r="22" spans="1:16" x14ac:dyDescent="0.75">
      <c r="A22" s="60" t="s">
        <v>94</v>
      </c>
      <c r="B22" s="60" t="s">
        <v>121</v>
      </c>
      <c r="D22" s="57">
        <v>21</v>
      </c>
      <c r="E22" s="57"/>
      <c r="F22" s="57"/>
      <c r="G22" s="57"/>
      <c r="H22" s="57"/>
      <c r="I22" s="57"/>
      <c r="J22" s="57">
        <v>2.2309999999999999</v>
      </c>
    </row>
    <row r="23" spans="1:16" x14ac:dyDescent="0.75">
      <c r="A23" s="59" t="s">
        <v>122</v>
      </c>
      <c r="B23" s="59" t="s">
        <v>123</v>
      </c>
    </row>
    <row r="24" spans="1:16" x14ac:dyDescent="0.75">
      <c r="A24" s="59" t="s">
        <v>124</v>
      </c>
      <c r="B24" s="59" t="s">
        <v>125</v>
      </c>
      <c r="D24" s="61" t="s">
        <v>140</v>
      </c>
    </row>
    <row r="25" spans="1:16" x14ac:dyDescent="0.75">
      <c r="D25" s="61" t="s">
        <v>141</v>
      </c>
    </row>
    <row r="26" spans="1:16" x14ac:dyDescent="0.75">
      <c r="D26" s="61" t="s">
        <v>142</v>
      </c>
    </row>
    <row r="27" spans="1:16" x14ac:dyDescent="0.75">
      <c r="D27" s="61" t="s">
        <v>143</v>
      </c>
    </row>
    <row r="30" spans="1:16" ht="29.5" x14ac:dyDescent="0.75">
      <c r="D30" s="56" t="s">
        <v>126</v>
      </c>
      <c r="E30" s="56" t="s">
        <v>144</v>
      </c>
      <c r="F30" s="56" t="s">
        <v>145</v>
      </c>
      <c r="G30" s="56" t="s">
        <v>146</v>
      </c>
      <c r="H30" s="56" t="s">
        <v>147</v>
      </c>
      <c r="I30" s="56" t="s">
        <v>148</v>
      </c>
      <c r="J30" s="56" t="s">
        <v>149</v>
      </c>
      <c r="K30" s="56" t="s">
        <v>150</v>
      </c>
      <c r="L30" s="56" t="s">
        <v>151</v>
      </c>
      <c r="M30" s="56" t="s">
        <v>152</v>
      </c>
      <c r="N30" s="56" t="s">
        <v>153</v>
      </c>
      <c r="O30" s="56" t="s">
        <v>154</v>
      </c>
      <c r="P30" s="56" t="s">
        <v>155</v>
      </c>
    </row>
    <row r="31" spans="1:16" x14ac:dyDescent="0.75">
      <c r="D31" s="57">
        <v>1</v>
      </c>
      <c r="E31" s="57">
        <v>2.4609999999999999</v>
      </c>
      <c r="F31" s="57">
        <v>2.2469999999999999</v>
      </c>
      <c r="G31" s="57">
        <v>2.0329999999999999</v>
      </c>
      <c r="H31" s="57">
        <v>1.819</v>
      </c>
      <c r="I31" s="57">
        <v>1.605</v>
      </c>
      <c r="J31" s="57">
        <v>1.391</v>
      </c>
      <c r="K31" s="57">
        <v>1.177</v>
      </c>
      <c r="L31" s="57">
        <v>0.96299999999999997</v>
      </c>
      <c r="M31" s="57">
        <v>0.749</v>
      </c>
      <c r="N31" s="57">
        <v>0.53500000000000003</v>
      </c>
      <c r="O31" s="57">
        <v>0.32100000000000001</v>
      </c>
      <c r="P31" s="57">
        <v>0.107</v>
      </c>
    </row>
    <row r="32" spans="1:16" x14ac:dyDescent="0.75">
      <c r="D32" s="62">
        <v>14277</v>
      </c>
      <c r="E32" s="57">
        <v>2.5640000000000001</v>
      </c>
      <c r="F32" s="57">
        <v>2.5640000000000001</v>
      </c>
      <c r="G32" s="57">
        <v>2.5640000000000001</v>
      </c>
      <c r="H32" s="57">
        <v>2.5640000000000001</v>
      </c>
      <c r="I32" s="57">
        <v>2.5640000000000001</v>
      </c>
      <c r="J32" s="57">
        <v>2.5640000000000001</v>
      </c>
      <c r="K32" s="57">
        <v>2.5640000000000001</v>
      </c>
      <c r="L32" s="57">
        <v>2.5640000000000001</v>
      </c>
      <c r="M32" s="57">
        <v>2.5640000000000001</v>
      </c>
      <c r="N32" s="57">
        <v>2.5640000000000001</v>
      </c>
      <c r="O32" s="57">
        <v>2.5640000000000001</v>
      </c>
      <c r="P32" s="57">
        <v>2.5640000000000001</v>
      </c>
    </row>
    <row r="33" spans="4:16" x14ac:dyDescent="0.75">
      <c r="D33" s="57">
        <v>40</v>
      </c>
      <c r="E33" s="57">
        <v>0.107</v>
      </c>
      <c r="F33" s="57">
        <v>0.32100000000000001</v>
      </c>
      <c r="G33" s="57">
        <v>0.53500000000000003</v>
      </c>
      <c r="H33" s="57">
        <v>0.749</v>
      </c>
      <c r="I33" s="57">
        <v>0.96299999999999997</v>
      </c>
      <c r="J33" s="57">
        <v>1.177</v>
      </c>
      <c r="K33" s="57">
        <v>1.391</v>
      </c>
      <c r="L33" s="57">
        <v>1.605</v>
      </c>
      <c r="M33" s="57">
        <v>1.819</v>
      </c>
      <c r="N33" s="57">
        <v>2.0329999999999999</v>
      </c>
      <c r="O33" s="57">
        <v>2.2469999999999999</v>
      </c>
      <c r="P33" s="57">
        <v>2.4609999999999999</v>
      </c>
    </row>
    <row r="34" spans="4:16" x14ac:dyDescent="0.75">
      <c r="D34" s="61"/>
    </row>
    <row r="35" spans="4:16" x14ac:dyDescent="0.75">
      <c r="D35" s="61" t="s">
        <v>156</v>
      </c>
    </row>
  </sheetData>
  <mergeCells count="6">
    <mergeCell ref="A20:A21"/>
    <mergeCell ref="A2:A4"/>
    <mergeCell ref="A5:A10"/>
    <mergeCell ref="A11:A13"/>
    <mergeCell ref="A14:A16"/>
    <mergeCell ref="A17:A19"/>
  </mergeCells>
  <hyperlinks>
    <hyperlink ref="A1" display="Property Class" xr:uid="{00000000-0004-0000-0F00-000000000000}"/>
    <hyperlink ref="B1" display="Personal Property (all property except real-estate)" xr:uid="{00000000-0004-0000-0F00-000001000000}"/>
    <hyperlink ref="D1" display="Recovery Year" xr:uid="{00000000-0004-0000-0F00-000002000000}"/>
    <hyperlink ref="E1" display="3-Year Property" xr:uid="{00000000-0004-0000-0F00-000003000000}"/>
    <hyperlink ref="F1" display="5-Year Property" xr:uid="{00000000-0004-0000-0F00-000004000000}"/>
    <hyperlink ref="G1" display="7-Year Property" xr:uid="{00000000-0004-0000-0F00-000005000000}"/>
    <hyperlink ref="H1" display="10-Year Property" xr:uid="{00000000-0004-0000-0F00-000006000000}"/>
    <hyperlink ref="I1" display="15-Year Property" xr:uid="{00000000-0004-0000-0F00-000007000000}"/>
    <hyperlink ref="J1" display="20-Year Property" xr:uid="{00000000-0004-0000-0F00-000008000000}"/>
    <hyperlink ref="D30" display="Recovery Year" xr:uid="{00000000-0004-0000-0F00-000009000000}"/>
    <hyperlink ref="E30" display="Month 1" xr:uid="{00000000-0004-0000-0F00-00000A000000}"/>
    <hyperlink ref="F30" display="Month 2" xr:uid="{00000000-0004-0000-0F00-00000B000000}"/>
    <hyperlink ref="G30" display="Month 3" xr:uid="{00000000-0004-0000-0F00-00000C000000}"/>
    <hyperlink ref="H30" display="Month 4" xr:uid="{00000000-0004-0000-0F00-00000D000000}"/>
    <hyperlink ref="I30" display="Month 5" xr:uid="{00000000-0004-0000-0F00-00000E000000}"/>
    <hyperlink ref="J30" display="Month 6" xr:uid="{00000000-0004-0000-0F00-00000F000000}"/>
    <hyperlink ref="K30" display="Month 7" xr:uid="{00000000-0004-0000-0F00-000010000000}"/>
    <hyperlink ref="L30" display="Month 8" xr:uid="{00000000-0004-0000-0F00-000011000000}"/>
    <hyperlink ref="M30" display="Month 9" xr:uid="{00000000-0004-0000-0F00-000012000000}"/>
    <hyperlink ref="N30" display="Month 10" xr:uid="{00000000-0004-0000-0F00-000013000000}"/>
    <hyperlink ref="O30" display="Month 11" xr:uid="{00000000-0004-0000-0F00-000014000000}"/>
    <hyperlink ref="P30" display="Month 12" xr:uid="{00000000-0004-0000-0F00-000015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AC28"/>
  <sheetViews>
    <sheetView workbookViewId="0">
      <selection activeCell="U17" sqref="U17"/>
    </sheetView>
  </sheetViews>
  <sheetFormatPr defaultRowHeight="14.75" x14ac:dyDescent="0.75"/>
  <cols>
    <col min="1" max="1" width="29.6796875" style="15" customWidth="1"/>
    <col min="2" max="2" width="18.31640625" customWidth="1"/>
    <col min="6" max="6" width="9" bestFit="1" customWidth="1"/>
    <col min="7" max="7" width="13.08984375" bestFit="1" customWidth="1"/>
    <col min="8" max="8" width="13.08984375" customWidth="1"/>
    <col min="9" max="9" width="13.08984375" bestFit="1" customWidth="1"/>
    <col min="10" max="10" width="10.54296875" bestFit="1" customWidth="1"/>
    <col min="11" max="11" width="11.54296875" bestFit="1" customWidth="1"/>
    <col min="12" max="13" width="10.453125" bestFit="1" customWidth="1"/>
    <col min="14" max="15" width="16.76953125" customWidth="1"/>
    <col min="16" max="16" width="13.54296875" bestFit="1" customWidth="1"/>
    <col min="18" max="18" width="10.54296875" bestFit="1" customWidth="1"/>
    <col min="19" max="19" width="9.54296875" bestFit="1" customWidth="1"/>
    <col min="20" max="20" width="12.31640625" customWidth="1"/>
    <col min="21" max="21" width="14.76953125" customWidth="1"/>
    <col min="27" max="27" width="6.08984375" bestFit="1" customWidth="1"/>
    <col min="28" max="28" width="19.08984375" bestFit="1" customWidth="1"/>
    <col min="29" max="29" width="19.76953125" bestFit="1" customWidth="1"/>
  </cols>
  <sheetData>
    <row r="1" spans="1:29" x14ac:dyDescent="0.75">
      <c r="A1" s="31" t="s">
        <v>187</v>
      </c>
      <c r="B1" s="37">
        <v>120</v>
      </c>
      <c r="D1" s="72" t="s">
        <v>196</v>
      </c>
      <c r="E1" s="73"/>
      <c r="AB1" t="s">
        <v>215</v>
      </c>
      <c r="AC1">
        <v>1000</v>
      </c>
    </row>
    <row r="2" spans="1:29" ht="29.5" x14ac:dyDescent="0.75">
      <c r="A2" s="31" t="s">
        <v>199</v>
      </c>
      <c r="B2" s="1">
        <v>3</v>
      </c>
      <c r="D2" s="64" t="s">
        <v>168</v>
      </c>
      <c r="E2" s="64" t="s">
        <v>15</v>
      </c>
      <c r="F2" s="64" t="s">
        <v>200</v>
      </c>
      <c r="G2" s="64" t="s">
        <v>85</v>
      </c>
      <c r="H2" s="64" t="s">
        <v>207</v>
      </c>
      <c r="I2" s="64" t="s">
        <v>49</v>
      </c>
      <c r="J2" s="64" t="s">
        <v>197</v>
      </c>
      <c r="K2" s="64" t="s">
        <v>198</v>
      </c>
      <c r="L2" s="64" t="s">
        <v>10</v>
      </c>
      <c r="M2" s="64" t="s">
        <v>52</v>
      </c>
      <c r="N2" s="31" t="s">
        <v>201</v>
      </c>
      <c r="O2" s="31" t="s">
        <v>28</v>
      </c>
      <c r="P2" s="71" t="s">
        <v>203</v>
      </c>
      <c r="Q2" s="31" t="s">
        <v>17</v>
      </c>
      <c r="R2" s="64" t="s">
        <v>202</v>
      </c>
      <c r="S2" s="76" t="s">
        <v>204</v>
      </c>
      <c r="T2" s="76" t="s">
        <v>205</v>
      </c>
      <c r="U2" s="76" t="s">
        <v>206</v>
      </c>
    </row>
    <row r="3" spans="1:29" x14ac:dyDescent="0.75">
      <c r="A3" s="31" t="str">
        <f>"Price after year "&amp;B2</f>
        <v>Price after year 3</v>
      </c>
      <c r="B3" s="37">
        <v>110</v>
      </c>
      <c r="D3" s="1">
        <v>0</v>
      </c>
      <c r="E3" s="1"/>
      <c r="F3" s="1"/>
      <c r="G3" s="1"/>
      <c r="H3" s="1"/>
      <c r="I3" s="1"/>
      <c r="J3" s="1"/>
      <c r="K3" s="1"/>
      <c r="L3" s="1"/>
      <c r="M3" s="1"/>
      <c r="N3" s="1"/>
      <c r="O3" s="74">
        <f>B19</f>
        <v>20000</v>
      </c>
      <c r="P3" s="1"/>
      <c r="Q3" s="1"/>
      <c r="R3" s="74">
        <f>-O3</f>
        <v>-20000</v>
      </c>
      <c r="S3" s="74">
        <f>-B21</f>
        <v>-800000</v>
      </c>
      <c r="T3" s="74">
        <f t="shared" ref="T3:T11" si="0">SUM(Q3:S3)</f>
        <v>-820000</v>
      </c>
      <c r="U3" s="74">
        <f>SUM($T$3:T3)</f>
        <v>-820000</v>
      </c>
      <c r="AA3" s="1"/>
      <c r="AB3" s="64" t="s">
        <v>14</v>
      </c>
      <c r="AC3" s="64" t="s">
        <v>216</v>
      </c>
    </row>
    <row r="4" spans="1:29" x14ac:dyDescent="0.75">
      <c r="D4" s="1">
        <v>1</v>
      </c>
      <c r="E4" s="68">
        <f t="shared" ref="E4:E11" si="1">B6</f>
        <v>3000</v>
      </c>
      <c r="F4" s="69">
        <f t="shared" ref="F4:F11" si="2">IF(D4&gt;$B$2,$B$3,$B$1)</f>
        <v>120</v>
      </c>
      <c r="G4" s="69">
        <f>E4*F4</f>
        <v>360000</v>
      </c>
      <c r="H4" s="69">
        <f>IF(D4&gt;$B$16,$B$17,$B$15)</f>
        <v>60</v>
      </c>
      <c r="I4" s="69">
        <f>H4*E4</f>
        <v>180000</v>
      </c>
      <c r="J4" s="69">
        <f t="shared" ref="J4:J11" si="3">$B$18</f>
        <v>25000</v>
      </c>
      <c r="K4" s="69">
        <f>$B$21*'Ex(7auto)'!F10</f>
        <v>114320</v>
      </c>
      <c r="L4" s="69">
        <f>G4-SUM(I4:K4)</f>
        <v>40680</v>
      </c>
      <c r="M4" s="69">
        <f t="shared" ref="M4:M11" si="4">ROUND(L4*$B$27,0)</f>
        <v>13831</v>
      </c>
      <c r="N4" s="69">
        <f t="shared" ref="N4:N11" si="5">L4-M4</f>
        <v>26849</v>
      </c>
      <c r="O4" s="69">
        <f t="shared" ref="O4:O11" si="6">G4*$B$20</f>
        <v>54000</v>
      </c>
      <c r="P4" s="70" t="s">
        <v>203</v>
      </c>
      <c r="Q4" s="69">
        <f>L4+K4-M4</f>
        <v>141169</v>
      </c>
      <c r="R4" s="74">
        <f>-O4+O3</f>
        <v>-34000</v>
      </c>
      <c r="S4" s="74"/>
      <c r="T4" s="74">
        <f t="shared" si="0"/>
        <v>107169</v>
      </c>
      <c r="U4" s="74">
        <f>SUM($T$3:T4)</f>
        <v>-712831</v>
      </c>
      <c r="AA4" s="1" t="s">
        <v>33</v>
      </c>
      <c r="AB4" s="79">
        <v>-1000</v>
      </c>
      <c r="AC4" s="79">
        <v>-1000</v>
      </c>
    </row>
    <row r="5" spans="1:29" x14ac:dyDescent="0.75">
      <c r="A5" s="31" t="s">
        <v>168</v>
      </c>
      <c r="B5" s="64" t="s">
        <v>186</v>
      </c>
      <c r="D5" s="1">
        <v>2</v>
      </c>
      <c r="E5" s="68">
        <f t="shared" si="1"/>
        <v>5000</v>
      </c>
      <c r="F5" s="14">
        <f t="shared" si="2"/>
        <v>120</v>
      </c>
      <c r="G5" s="14">
        <f t="shared" ref="G5:G11" si="7">E5*F5</f>
        <v>600000</v>
      </c>
      <c r="H5" s="14">
        <f t="shared" ref="H5:H11" si="8">IF(D5&gt;$B$16,$B$17,$B$15)</f>
        <v>60</v>
      </c>
      <c r="I5" s="14">
        <f t="shared" ref="I5:I11" si="9">H5*E5</f>
        <v>300000</v>
      </c>
      <c r="J5" s="14">
        <f t="shared" si="3"/>
        <v>25000</v>
      </c>
      <c r="K5" s="14">
        <f>$B$21*'Ex(7auto)'!F11</f>
        <v>195920</v>
      </c>
      <c r="L5" s="14">
        <f t="shared" ref="L5:L11" si="10">G5-SUM(I5:K5)</f>
        <v>79080</v>
      </c>
      <c r="M5" s="14">
        <f t="shared" si="4"/>
        <v>26887</v>
      </c>
      <c r="N5" s="14">
        <f t="shared" si="5"/>
        <v>52193</v>
      </c>
      <c r="O5" s="69">
        <f t="shared" si="6"/>
        <v>90000</v>
      </c>
      <c r="P5" s="75" t="s">
        <v>203</v>
      </c>
      <c r="Q5" s="14">
        <f t="shared" ref="Q5:Q11" si="11">L5+K5-M5</f>
        <v>248113</v>
      </c>
      <c r="R5" s="74">
        <f t="shared" ref="R5:R10" si="12">-O5+O4</f>
        <v>-36000</v>
      </c>
      <c r="S5" s="74"/>
      <c r="T5" s="74">
        <f t="shared" si="0"/>
        <v>212113</v>
      </c>
      <c r="U5" s="74">
        <f>SUM($T$3:T5)</f>
        <v>-500718</v>
      </c>
      <c r="AA5" s="1" t="s">
        <v>30</v>
      </c>
      <c r="AB5" s="79">
        <v>500</v>
      </c>
      <c r="AC5" s="79">
        <v>-500</v>
      </c>
    </row>
    <row r="6" spans="1:29" x14ac:dyDescent="0.75">
      <c r="A6" s="32">
        <v>1</v>
      </c>
      <c r="B6" s="7">
        <v>3000</v>
      </c>
      <c r="D6" s="1">
        <v>3</v>
      </c>
      <c r="E6" s="68">
        <f t="shared" si="1"/>
        <v>6000</v>
      </c>
      <c r="F6" s="14">
        <f t="shared" si="2"/>
        <v>120</v>
      </c>
      <c r="G6" s="14">
        <f t="shared" si="7"/>
        <v>720000</v>
      </c>
      <c r="H6" s="14">
        <f t="shared" si="8"/>
        <v>60</v>
      </c>
      <c r="I6" s="14">
        <f t="shared" si="9"/>
        <v>360000</v>
      </c>
      <c r="J6" s="14">
        <f t="shared" si="3"/>
        <v>25000</v>
      </c>
      <c r="K6" s="14">
        <f>$B$21*'Ex(7auto)'!F12</f>
        <v>139920</v>
      </c>
      <c r="L6" s="14">
        <f t="shared" si="10"/>
        <v>195080</v>
      </c>
      <c r="M6" s="14">
        <f t="shared" si="4"/>
        <v>66327</v>
      </c>
      <c r="N6" s="14">
        <f t="shared" si="5"/>
        <v>128753</v>
      </c>
      <c r="O6" s="69">
        <f t="shared" si="6"/>
        <v>108000</v>
      </c>
      <c r="P6" s="75" t="s">
        <v>203</v>
      </c>
      <c r="Q6" s="14">
        <f t="shared" si="11"/>
        <v>268673</v>
      </c>
      <c r="R6" s="74">
        <f t="shared" si="12"/>
        <v>-18000</v>
      </c>
      <c r="S6" s="74"/>
      <c r="T6" s="74">
        <f t="shared" si="0"/>
        <v>250673</v>
      </c>
      <c r="U6" s="74">
        <f>SUM($T$3:T6)</f>
        <v>-250045</v>
      </c>
      <c r="AA6" s="1" t="s">
        <v>31</v>
      </c>
      <c r="AB6" s="79">
        <v>400</v>
      </c>
      <c r="AC6" s="79">
        <v>-100</v>
      </c>
    </row>
    <row r="7" spans="1:29" x14ac:dyDescent="0.75">
      <c r="A7" s="32">
        <v>2</v>
      </c>
      <c r="B7" s="7">
        <v>5000</v>
      </c>
      <c r="D7" s="1">
        <v>4</v>
      </c>
      <c r="E7" s="68">
        <f t="shared" si="1"/>
        <v>6500</v>
      </c>
      <c r="F7" s="14">
        <f t="shared" si="2"/>
        <v>110</v>
      </c>
      <c r="G7" s="14">
        <f t="shared" si="7"/>
        <v>715000</v>
      </c>
      <c r="H7" s="14">
        <f t="shared" si="8"/>
        <v>60</v>
      </c>
      <c r="I7" s="14">
        <f t="shared" si="9"/>
        <v>390000</v>
      </c>
      <c r="J7" s="14">
        <f t="shared" si="3"/>
        <v>25000</v>
      </c>
      <c r="K7" s="14">
        <f>$B$21*'Ex(7auto)'!F13</f>
        <v>99920</v>
      </c>
      <c r="L7" s="14">
        <f t="shared" si="10"/>
        <v>200080</v>
      </c>
      <c r="M7" s="14">
        <f t="shared" si="4"/>
        <v>68027</v>
      </c>
      <c r="N7" s="14">
        <f t="shared" si="5"/>
        <v>132053</v>
      </c>
      <c r="O7" s="69">
        <f t="shared" si="6"/>
        <v>107250</v>
      </c>
      <c r="P7" s="75" t="s">
        <v>203</v>
      </c>
      <c r="Q7" s="14">
        <f t="shared" si="11"/>
        <v>231973</v>
      </c>
      <c r="R7" s="74">
        <f t="shared" si="12"/>
        <v>750</v>
      </c>
      <c r="S7" s="74"/>
      <c r="T7" s="74">
        <f t="shared" si="0"/>
        <v>232723</v>
      </c>
      <c r="U7" s="74">
        <f>SUM($T$3:T7)</f>
        <v>-17322</v>
      </c>
      <c r="AA7" s="1" t="s">
        <v>32</v>
      </c>
      <c r="AB7" s="79">
        <v>500</v>
      </c>
      <c r="AC7" s="79">
        <v>400</v>
      </c>
    </row>
    <row r="8" spans="1:29" x14ac:dyDescent="0.75">
      <c r="A8" s="32">
        <v>3</v>
      </c>
      <c r="B8" s="7">
        <v>6000</v>
      </c>
      <c r="D8" s="1">
        <v>5</v>
      </c>
      <c r="E8" s="68">
        <f t="shared" si="1"/>
        <v>6000</v>
      </c>
      <c r="F8" s="14">
        <f t="shared" si="2"/>
        <v>110</v>
      </c>
      <c r="G8" s="14">
        <f t="shared" si="7"/>
        <v>660000</v>
      </c>
      <c r="H8" s="14">
        <f t="shared" si="8"/>
        <v>60</v>
      </c>
      <c r="I8" s="14">
        <f t="shared" si="9"/>
        <v>360000</v>
      </c>
      <c r="J8" s="14">
        <f t="shared" si="3"/>
        <v>25000</v>
      </c>
      <c r="K8" s="14">
        <f>$B$21*'Ex(7auto)'!F14</f>
        <v>71440</v>
      </c>
      <c r="L8" s="14">
        <f t="shared" si="10"/>
        <v>203560</v>
      </c>
      <c r="M8" s="14">
        <f t="shared" si="4"/>
        <v>69210</v>
      </c>
      <c r="N8" s="14">
        <f t="shared" si="5"/>
        <v>134350</v>
      </c>
      <c r="O8" s="69">
        <f t="shared" si="6"/>
        <v>99000</v>
      </c>
      <c r="P8" s="75" t="s">
        <v>203</v>
      </c>
      <c r="Q8" s="14">
        <f t="shared" si="11"/>
        <v>205790</v>
      </c>
      <c r="R8" s="74">
        <f t="shared" si="12"/>
        <v>8250</v>
      </c>
      <c r="S8" s="74"/>
      <c r="T8" s="74">
        <f t="shared" si="0"/>
        <v>214040</v>
      </c>
      <c r="U8" s="74">
        <f>SUM($T$3:T8)</f>
        <v>196718</v>
      </c>
      <c r="AA8" s="1" t="s">
        <v>208</v>
      </c>
      <c r="AB8" s="79">
        <v>200</v>
      </c>
      <c r="AC8" s="79">
        <v>600</v>
      </c>
    </row>
    <row r="9" spans="1:29" x14ac:dyDescent="0.75">
      <c r="A9" s="32">
        <v>4</v>
      </c>
      <c r="B9" s="7">
        <v>6500</v>
      </c>
      <c r="D9" s="1">
        <v>6</v>
      </c>
      <c r="E9" s="68">
        <f t="shared" si="1"/>
        <v>5000</v>
      </c>
      <c r="F9" s="14">
        <f t="shared" si="2"/>
        <v>110</v>
      </c>
      <c r="G9" s="14">
        <f t="shared" si="7"/>
        <v>550000</v>
      </c>
      <c r="H9" s="14">
        <f t="shared" si="8"/>
        <v>60</v>
      </c>
      <c r="I9" s="14">
        <f t="shared" si="9"/>
        <v>300000</v>
      </c>
      <c r="J9" s="14">
        <f t="shared" si="3"/>
        <v>25000</v>
      </c>
      <c r="K9" s="14">
        <f>$B$21*'Ex(7auto)'!F15</f>
        <v>71360</v>
      </c>
      <c r="L9" s="14">
        <f t="shared" si="10"/>
        <v>153640</v>
      </c>
      <c r="M9" s="14">
        <f t="shared" si="4"/>
        <v>52238</v>
      </c>
      <c r="N9" s="14">
        <f t="shared" si="5"/>
        <v>101402</v>
      </c>
      <c r="O9" s="69">
        <f t="shared" si="6"/>
        <v>82500</v>
      </c>
      <c r="P9" s="75" t="s">
        <v>203</v>
      </c>
      <c r="Q9" s="14">
        <f t="shared" si="11"/>
        <v>172762</v>
      </c>
      <c r="R9" s="74">
        <f t="shared" si="12"/>
        <v>16500</v>
      </c>
      <c r="S9" s="74"/>
      <c r="T9" s="74">
        <f t="shared" si="0"/>
        <v>189262</v>
      </c>
      <c r="U9" s="74">
        <f>SUM($T$3:T9)</f>
        <v>385980</v>
      </c>
      <c r="AA9" s="1" t="s">
        <v>209</v>
      </c>
      <c r="AB9" s="79">
        <v>500</v>
      </c>
      <c r="AC9" s="79">
        <v>1100</v>
      </c>
    </row>
    <row r="10" spans="1:29" x14ac:dyDescent="0.75">
      <c r="A10" s="32">
        <v>5</v>
      </c>
      <c r="B10" s="7">
        <v>6000</v>
      </c>
      <c r="D10" s="1">
        <v>7</v>
      </c>
      <c r="E10" s="68">
        <f t="shared" si="1"/>
        <v>4000</v>
      </c>
      <c r="F10" s="14">
        <f t="shared" si="2"/>
        <v>110</v>
      </c>
      <c r="G10" s="14">
        <f t="shared" si="7"/>
        <v>440000</v>
      </c>
      <c r="H10" s="14">
        <f t="shared" si="8"/>
        <v>60</v>
      </c>
      <c r="I10" s="14">
        <f t="shared" si="9"/>
        <v>240000</v>
      </c>
      <c r="J10" s="14">
        <f t="shared" si="3"/>
        <v>25000</v>
      </c>
      <c r="K10" s="14">
        <f>$B$21*'Ex(7auto)'!F16</f>
        <v>71440</v>
      </c>
      <c r="L10" s="14">
        <f t="shared" si="10"/>
        <v>103560</v>
      </c>
      <c r="M10" s="14">
        <f t="shared" si="4"/>
        <v>35210</v>
      </c>
      <c r="N10" s="14">
        <f t="shared" si="5"/>
        <v>68350</v>
      </c>
      <c r="O10" s="69">
        <f t="shared" si="6"/>
        <v>66000</v>
      </c>
      <c r="P10" s="75" t="s">
        <v>203</v>
      </c>
      <c r="Q10" s="14">
        <f t="shared" si="11"/>
        <v>139790</v>
      </c>
      <c r="R10" s="74">
        <f t="shared" si="12"/>
        <v>16500</v>
      </c>
      <c r="S10" s="74"/>
      <c r="T10" s="74">
        <f t="shared" si="0"/>
        <v>156290</v>
      </c>
      <c r="U10" s="74">
        <f>SUM($T$3:T10)</f>
        <v>542270</v>
      </c>
      <c r="AA10" s="1" t="s">
        <v>210</v>
      </c>
      <c r="AB10" s="79">
        <v>0</v>
      </c>
      <c r="AC10" s="79">
        <v>1100</v>
      </c>
    </row>
    <row r="11" spans="1:29" x14ac:dyDescent="0.75">
      <c r="A11" s="32">
        <v>6</v>
      </c>
      <c r="B11" s="7">
        <v>5000</v>
      </c>
      <c r="D11" s="1">
        <v>8</v>
      </c>
      <c r="E11" s="68">
        <f t="shared" si="1"/>
        <v>3000</v>
      </c>
      <c r="F11" s="14">
        <f t="shared" si="2"/>
        <v>110</v>
      </c>
      <c r="G11" s="14">
        <f t="shared" si="7"/>
        <v>330000</v>
      </c>
      <c r="H11" s="14">
        <f t="shared" si="8"/>
        <v>60</v>
      </c>
      <c r="I11" s="14">
        <f t="shared" si="9"/>
        <v>180000</v>
      </c>
      <c r="J11" s="14">
        <f t="shared" si="3"/>
        <v>25000</v>
      </c>
      <c r="K11" s="14">
        <f>$B$21*'Ex(7auto)'!F17</f>
        <v>35680</v>
      </c>
      <c r="L11" s="14">
        <f t="shared" si="10"/>
        <v>89320</v>
      </c>
      <c r="M11" s="14">
        <f t="shared" si="4"/>
        <v>30369</v>
      </c>
      <c r="N11" s="14">
        <f t="shared" si="5"/>
        <v>58951</v>
      </c>
      <c r="O11" s="69">
        <f t="shared" si="6"/>
        <v>49500</v>
      </c>
      <c r="P11" s="75" t="s">
        <v>203</v>
      </c>
      <c r="Q11" s="14">
        <f t="shared" si="11"/>
        <v>94631</v>
      </c>
      <c r="R11" s="74">
        <f>-O11+O10+O11</f>
        <v>66000</v>
      </c>
      <c r="S11" s="74">
        <f>B26*(1-B27)</f>
        <v>105599.99999999999</v>
      </c>
      <c r="T11" s="74">
        <f t="shared" si="0"/>
        <v>266231</v>
      </c>
      <c r="U11" s="74">
        <f>SUM($T$3:T11)</f>
        <v>808501</v>
      </c>
      <c r="AA11" s="1" t="s">
        <v>211</v>
      </c>
      <c r="AB11" s="79">
        <v>0</v>
      </c>
      <c r="AC11" s="79">
        <v>1100</v>
      </c>
    </row>
    <row r="12" spans="1:29" x14ac:dyDescent="0.75">
      <c r="A12" s="32">
        <v>7</v>
      </c>
      <c r="B12" s="7">
        <v>4000</v>
      </c>
    </row>
    <row r="13" spans="1:29" x14ac:dyDescent="0.75">
      <c r="A13" s="32">
        <v>8</v>
      </c>
      <c r="B13" s="7">
        <v>3000</v>
      </c>
      <c r="T13" s="1" t="s">
        <v>18</v>
      </c>
      <c r="U13" s="29">
        <f>NPV($B$28,T4:T11)+T3</f>
        <v>65485.513593581505</v>
      </c>
      <c r="AB13" s="32" t="s">
        <v>217</v>
      </c>
      <c r="AC13" s="12">
        <f>COUNTIF(AC5:AC11,"&lt;=0")-LOOKUP(2,1/(AC5:AC11&lt;=0),AC5:AC11)/INDEX(AB5:AB11,MATCH(2,INDEX(1/(AC5:AC11&lt;=0),))+1)</f>
        <v>2.2000000000000002</v>
      </c>
    </row>
    <row r="14" spans="1:29" x14ac:dyDescent="0.75">
      <c r="T14" s="1" t="s">
        <v>13</v>
      </c>
      <c r="U14" s="77">
        <f>IRR(T3:T11)</f>
        <v>0.17235997833027983</v>
      </c>
      <c r="AC14" s="12">
        <f>COUNTIF(AC5:AC11,"&lt;=0")-LOOKUP(9.99999999999999E+307,1/(AC5:AC11&lt;=0),AC5:AC11)/INDEX(AB5:AB11,MATCH(9.99999999999999E+307,INDEX(1/(AC5:AC11&lt;=0),))+1)</f>
        <v>2.2000000000000002</v>
      </c>
    </row>
    <row r="15" spans="1:29" x14ac:dyDescent="0.75">
      <c r="A15" s="31" t="s">
        <v>190</v>
      </c>
      <c r="B15" s="37">
        <v>60</v>
      </c>
      <c r="T15" s="1" t="s">
        <v>19</v>
      </c>
      <c r="U15" s="78">
        <f>COUNTIF(U4:U11,"&lt;0")-U7/T8</f>
        <v>4.0809287983554476</v>
      </c>
      <c r="AB15" s="32" t="s">
        <v>1</v>
      </c>
      <c r="AC15" s="12">
        <f>COUNTIF(AC5:AC11,"&lt;=0")</f>
        <v>2</v>
      </c>
    </row>
    <row r="16" spans="1:29" x14ac:dyDescent="0.75">
      <c r="A16" s="31" t="s">
        <v>199</v>
      </c>
      <c r="B16" s="1">
        <v>5</v>
      </c>
      <c r="AB16" s="32" t="s">
        <v>212</v>
      </c>
      <c r="AC16" s="12">
        <f>-LOOKUP(2,1/(AC5:AC11&lt;=0),AC5:AC11)</f>
        <v>100</v>
      </c>
    </row>
    <row r="17" spans="1:29" x14ac:dyDescent="0.75">
      <c r="A17" s="31" t="str">
        <f>"Price after year "&amp;B16</f>
        <v>Price after year 5</v>
      </c>
      <c r="B17" s="37">
        <v>60</v>
      </c>
      <c r="T17" t="s">
        <v>161</v>
      </c>
      <c r="U17" s="80">
        <f>COUNTIF(U4:U11,"&lt;=0")-LOOKUP(2,1/(U4:U11&lt;=0),U4:U11)/INDEX(T4:T11,MATCH(2,INDEX(1/(U4:U11&lt;=0),))+1)</f>
        <v>4.0809287983554476</v>
      </c>
      <c r="AB17" s="32" t="s">
        <v>213</v>
      </c>
      <c r="AC17" s="12">
        <f>INDEX(AB5:AB11,MATCH(2,INDEX(1/(AC5:AC11&lt;=0),))+1)</f>
        <v>500</v>
      </c>
    </row>
    <row r="18" spans="1:29" x14ac:dyDescent="0.75">
      <c r="A18" s="31" t="s">
        <v>189</v>
      </c>
      <c r="B18" s="37">
        <v>25000</v>
      </c>
      <c r="AB18" s="32" t="s">
        <v>214</v>
      </c>
      <c r="AC18" s="12">
        <f>COUNTIF(AC5:AC11,0)</f>
        <v>0</v>
      </c>
    </row>
    <row r="19" spans="1:29" x14ac:dyDescent="0.75">
      <c r="A19" s="31" t="s">
        <v>188</v>
      </c>
      <c r="B19" s="37">
        <v>20000</v>
      </c>
      <c r="AB19" s="32" t="s">
        <v>19</v>
      </c>
      <c r="AC19" s="12">
        <f>AC15+AC16/AC17</f>
        <v>2.2000000000000002</v>
      </c>
    </row>
    <row r="20" spans="1:29" ht="44.25" x14ac:dyDescent="0.75">
      <c r="A20" s="31" t="str">
        <f>"NWC requirement during each year is "&amp;TEXT(B20,"0.00%")&amp;" of previous year's estimated sales."</f>
        <v>NWC requirement during each year is 15.00% of previous year's estimated sales.</v>
      </c>
      <c r="B20" s="67">
        <v>0.15</v>
      </c>
    </row>
    <row r="21" spans="1:29" x14ac:dyDescent="0.75">
      <c r="A21" s="31" t="s">
        <v>192</v>
      </c>
      <c r="B21" s="37">
        <v>800000</v>
      </c>
    </row>
    <row r="22" spans="1:29" x14ac:dyDescent="0.75">
      <c r="A22" s="31" t="s">
        <v>191</v>
      </c>
      <c r="B22" s="1" t="s">
        <v>93</v>
      </c>
    </row>
    <row r="23" spans="1:29" x14ac:dyDescent="0.75">
      <c r="A23" s="31"/>
      <c r="B23" s="12" t="str">
        <f>INDEX(Class,SUMPRODUCT((PropertyClass=B22)*(ROW(PropertyClass)-ROW('Ex(7auto)'!$D$3)+1)))</f>
        <v>7-Year</v>
      </c>
    </row>
    <row r="24" spans="1:29" x14ac:dyDescent="0.75">
      <c r="A24" s="31" t="s">
        <v>193</v>
      </c>
      <c r="B24" s="1">
        <v>8</v>
      </c>
    </row>
    <row r="25" spans="1:29" x14ac:dyDescent="0.75">
      <c r="A25" s="31" t="str">
        <f>"Value as % in "&amp;B24&amp;" years"</f>
        <v>Value as % in 8 years</v>
      </c>
      <c r="B25" s="1">
        <v>0.2</v>
      </c>
    </row>
    <row r="26" spans="1:29" x14ac:dyDescent="0.75">
      <c r="A26" s="31" t="s">
        <v>194</v>
      </c>
      <c r="B26" s="37">
        <f>B25*B21</f>
        <v>160000</v>
      </c>
    </row>
    <row r="27" spans="1:29" x14ac:dyDescent="0.75">
      <c r="A27" s="31" t="s">
        <v>195</v>
      </c>
      <c r="B27" s="1">
        <v>0.34</v>
      </c>
    </row>
    <row r="28" spans="1:29" x14ac:dyDescent="0.75">
      <c r="A28" s="31" t="s">
        <v>41</v>
      </c>
      <c r="B28" s="1">
        <v>0.15</v>
      </c>
    </row>
  </sheetData>
  <dataValidations disablePrompts="1" count="1">
    <dataValidation type="list" allowBlank="1" showInputMessage="1" showErrorMessage="1" sqref="B22" xr:uid="{00000000-0002-0000-1000-000000000000}">
      <formula1>Property</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sheetPr>
  <dimension ref="A1:V30"/>
  <sheetViews>
    <sheetView zoomScale="70" zoomScaleNormal="70" workbookViewId="0"/>
  </sheetViews>
  <sheetFormatPr defaultRowHeight="14.75" x14ac:dyDescent="0.75"/>
  <cols>
    <col min="1" max="1" width="29.6796875" style="15" customWidth="1"/>
    <col min="2" max="2" width="18.31640625" customWidth="1"/>
    <col min="3" max="3" width="0.86328125" customWidth="1"/>
    <col min="5" max="5" width="12" bestFit="1" customWidth="1"/>
    <col min="6" max="6" width="14.2265625" customWidth="1"/>
    <col min="7" max="7" width="14.2265625" bestFit="1" customWidth="1"/>
    <col min="8" max="8" width="12.08984375" customWidth="1"/>
    <col min="9" max="9" width="13.2265625" bestFit="1" customWidth="1"/>
    <col min="10" max="10" width="11.54296875" bestFit="1" customWidth="1"/>
    <col min="11" max="12" width="14.2265625" bestFit="1" customWidth="1"/>
    <col min="13" max="13" width="12.6796875" bestFit="1" customWidth="1"/>
    <col min="14" max="15" width="16.76953125" customWidth="1"/>
    <col min="16" max="16" width="13.54296875" bestFit="1" customWidth="1"/>
    <col min="17" max="17" width="12.6796875" bestFit="1" customWidth="1"/>
    <col min="18" max="18" width="13.2265625" bestFit="1" customWidth="1"/>
    <col min="19" max="19" width="14.86328125" bestFit="1" customWidth="1"/>
    <col min="20" max="20" width="7.6796875" bestFit="1" customWidth="1"/>
    <col min="21" max="21" width="15.54296875" customWidth="1"/>
    <col min="22" max="22" width="14.86328125" bestFit="1" customWidth="1"/>
    <col min="25" max="25" width="6.08984375" bestFit="1" customWidth="1"/>
    <col min="26" max="26" width="19.08984375" bestFit="1" customWidth="1"/>
    <col min="27" max="27" width="19.76953125" bestFit="1" customWidth="1"/>
  </cols>
  <sheetData>
    <row r="1" spans="1:22" x14ac:dyDescent="0.75">
      <c r="A1" s="31" t="s">
        <v>187</v>
      </c>
      <c r="B1" s="37">
        <v>90</v>
      </c>
      <c r="D1" s="72" t="s">
        <v>219</v>
      </c>
      <c r="E1" s="73"/>
    </row>
    <row r="2" spans="1:22" ht="29.5" x14ac:dyDescent="0.75">
      <c r="A2" s="31" t="s">
        <v>319</v>
      </c>
      <c r="B2" s="1">
        <v>4</v>
      </c>
      <c r="D2" s="64" t="s">
        <v>168</v>
      </c>
      <c r="E2" s="64" t="s">
        <v>15</v>
      </c>
      <c r="F2" s="64" t="s">
        <v>200</v>
      </c>
      <c r="G2" s="64" t="s">
        <v>85</v>
      </c>
      <c r="H2" s="64" t="s">
        <v>207</v>
      </c>
      <c r="I2" s="64" t="s">
        <v>49</v>
      </c>
      <c r="J2" s="64" t="s">
        <v>197</v>
      </c>
      <c r="K2" s="64" t="s">
        <v>198</v>
      </c>
      <c r="L2" s="64" t="s">
        <v>10</v>
      </c>
      <c r="M2" s="64" t="s">
        <v>52</v>
      </c>
      <c r="N2" s="31" t="s">
        <v>201</v>
      </c>
      <c r="O2" s="31" t="s">
        <v>320</v>
      </c>
      <c r="P2" s="71" t="s">
        <v>203</v>
      </c>
      <c r="Q2" s="31" t="s">
        <v>17</v>
      </c>
      <c r="R2" s="64" t="s">
        <v>202</v>
      </c>
      <c r="S2" s="76" t="s">
        <v>204</v>
      </c>
      <c r="T2" s="31" t="s">
        <v>220</v>
      </c>
      <c r="U2" s="76" t="s">
        <v>205</v>
      </c>
      <c r="V2" s="76" t="s">
        <v>206</v>
      </c>
    </row>
    <row r="3" spans="1:22" x14ac:dyDescent="0.75">
      <c r="A3" s="31" t="str">
        <f>"Price after year "&amp;B2</f>
        <v>Price after year 4</v>
      </c>
      <c r="B3" s="37">
        <v>80</v>
      </c>
      <c r="D3" s="1">
        <v>0</v>
      </c>
      <c r="E3" s="6"/>
      <c r="F3" s="6"/>
      <c r="G3" s="6"/>
      <c r="H3" s="6"/>
      <c r="I3" s="6"/>
      <c r="J3" s="6"/>
      <c r="K3" s="6"/>
      <c r="L3" s="6"/>
      <c r="M3" s="6"/>
      <c r="N3" s="6"/>
      <c r="O3" s="138">
        <f>B19</f>
        <v>15000</v>
      </c>
      <c r="P3" s="6"/>
      <c r="Q3" s="6"/>
      <c r="R3" s="138"/>
      <c r="S3" s="138"/>
      <c r="T3" s="10">
        <v>0</v>
      </c>
      <c r="U3" s="82"/>
      <c r="V3" s="82"/>
    </row>
    <row r="4" spans="1:22" x14ac:dyDescent="0.75">
      <c r="D4" s="1">
        <v>1</v>
      </c>
      <c r="E4" s="68"/>
      <c r="F4" s="82"/>
      <c r="G4" s="82"/>
      <c r="H4" s="82"/>
      <c r="I4" s="82"/>
      <c r="J4" s="138"/>
      <c r="K4" s="82"/>
      <c r="L4" s="82"/>
      <c r="M4" s="82"/>
      <c r="N4" s="82"/>
      <c r="O4" s="82"/>
      <c r="P4" s="70" t="s">
        <v>203</v>
      </c>
      <c r="Q4" s="82"/>
      <c r="R4" s="82"/>
      <c r="S4" s="82"/>
      <c r="T4" s="1">
        <v>1</v>
      </c>
      <c r="U4" s="82"/>
      <c r="V4" s="82"/>
    </row>
    <row r="5" spans="1:22" x14ac:dyDescent="0.75">
      <c r="A5" s="31" t="s">
        <v>168</v>
      </c>
      <c r="B5" s="64" t="s">
        <v>186</v>
      </c>
      <c r="D5" s="1">
        <v>2</v>
      </c>
      <c r="E5" s="68"/>
      <c r="F5" s="82"/>
      <c r="G5" s="82"/>
      <c r="H5" s="82"/>
      <c r="I5" s="82"/>
      <c r="J5" s="138"/>
      <c r="K5" s="82"/>
      <c r="L5" s="82"/>
      <c r="M5" s="82"/>
      <c r="N5" s="82"/>
      <c r="O5" s="82"/>
      <c r="P5" s="75" t="s">
        <v>203</v>
      </c>
      <c r="Q5" s="82"/>
      <c r="R5" s="82"/>
      <c r="S5" s="3"/>
      <c r="T5" s="10">
        <v>2</v>
      </c>
      <c r="U5" s="82"/>
      <c r="V5" s="82"/>
    </row>
    <row r="6" spans="1:22" x14ac:dyDescent="0.75">
      <c r="A6" s="32">
        <v>1</v>
      </c>
      <c r="B6" s="7">
        <v>13000</v>
      </c>
      <c r="D6" s="1">
        <v>3</v>
      </c>
      <c r="E6" s="68"/>
      <c r="F6" s="82"/>
      <c r="G6" s="82"/>
      <c r="H6" s="82"/>
      <c r="I6" s="82"/>
      <c r="J6" s="138"/>
      <c r="K6" s="82"/>
      <c r="L6" s="82"/>
      <c r="M6" s="82"/>
      <c r="N6" s="82"/>
      <c r="O6" s="82"/>
      <c r="P6" s="75" t="s">
        <v>203</v>
      </c>
      <c r="Q6" s="82"/>
      <c r="R6" s="82"/>
      <c r="S6" s="3"/>
      <c r="T6" s="1">
        <v>3</v>
      </c>
      <c r="U6" s="82"/>
      <c r="V6" s="82"/>
    </row>
    <row r="7" spans="1:22" x14ac:dyDescent="0.75">
      <c r="A7" s="32">
        <v>2</v>
      </c>
      <c r="B7" s="7">
        <v>15000</v>
      </c>
      <c r="D7" s="1">
        <v>4</v>
      </c>
      <c r="E7" s="68"/>
      <c r="F7" s="82"/>
      <c r="G7" s="82"/>
      <c r="H7" s="82"/>
      <c r="I7" s="82"/>
      <c r="J7" s="138"/>
      <c r="K7" s="82"/>
      <c r="L7" s="82"/>
      <c r="M7" s="82"/>
      <c r="N7" s="82"/>
      <c r="O7" s="82"/>
      <c r="P7" s="75" t="s">
        <v>203</v>
      </c>
      <c r="Q7" s="82"/>
      <c r="R7" s="82"/>
      <c r="S7" s="3"/>
      <c r="T7" s="10">
        <v>4</v>
      </c>
      <c r="U7" s="82"/>
      <c r="V7" s="82"/>
    </row>
    <row r="8" spans="1:22" x14ac:dyDescent="0.75">
      <c r="A8" s="32">
        <v>3</v>
      </c>
      <c r="B8" s="7">
        <v>16000</v>
      </c>
      <c r="D8" s="1">
        <v>5</v>
      </c>
      <c r="E8" s="68"/>
      <c r="F8" s="82"/>
      <c r="G8" s="82"/>
      <c r="H8" s="82"/>
      <c r="I8" s="82"/>
      <c r="J8" s="138"/>
      <c r="K8" s="82"/>
      <c r="L8" s="82"/>
      <c r="M8" s="82"/>
      <c r="N8" s="82"/>
      <c r="O8" s="82"/>
      <c r="P8" s="75" t="s">
        <v>203</v>
      </c>
      <c r="Q8" s="82"/>
      <c r="R8" s="82"/>
      <c r="S8" s="3"/>
      <c r="T8" s="1">
        <v>5</v>
      </c>
      <c r="U8" s="82"/>
      <c r="V8" s="82"/>
    </row>
    <row r="9" spans="1:22" x14ac:dyDescent="0.75">
      <c r="A9" s="32">
        <v>4</v>
      </c>
      <c r="B9" s="7">
        <v>16500</v>
      </c>
      <c r="D9" s="1">
        <v>6</v>
      </c>
      <c r="E9" s="68"/>
      <c r="F9" s="82"/>
      <c r="G9" s="82"/>
      <c r="H9" s="82"/>
      <c r="I9" s="82"/>
      <c r="J9" s="138"/>
      <c r="K9" s="82"/>
      <c r="L9" s="82"/>
      <c r="M9" s="82"/>
      <c r="N9" s="82"/>
      <c r="O9" s="82"/>
      <c r="P9" s="75" t="s">
        <v>203</v>
      </c>
      <c r="Q9" s="82"/>
      <c r="R9" s="82"/>
      <c r="S9" s="3"/>
      <c r="T9" s="10">
        <v>6</v>
      </c>
      <c r="U9" s="82"/>
      <c r="V9" s="82"/>
    </row>
    <row r="10" spans="1:22" x14ac:dyDescent="0.75">
      <c r="A10" s="32">
        <v>5</v>
      </c>
      <c r="B10" s="7">
        <v>16000</v>
      </c>
      <c r="D10" s="1">
        <v>7</v>
      </c>
      <c r="E10" s="68"/>
      <c r="F10" s="82"/>
      <c r="G10" s="82"/>
      <c r="H10" s="82"/>
      <c r="I10" s="82"/>
      <c r="J10" s="138"/>
      <c r="K10" s="82"/>
      <c r="L10" s="82"/>
      <c r="M10" s="82"/>
      <c r="N10" s="82"/>
      <c r="O10" s="82"/>
      <c r="P10" s="75" t="s">
        <v>203</v>
      </c>
      <c r="Q10" s="82"/>
      <c r="R10" s="82"/>
      <c r="S10" s="3"/>
      <c r="T10" s="1">
        <v>7</v>
      </c>
      <c r="U10" s="82"/>
      <c r="V10" s="82"/>
    </row>
    <row r="11" spans="1:22" x14ac:dyDescent="0.75">
      <c r="A11" s="32">
        <v>6</v>
      </c>
      <c r="B11" s="7">
        <v>15000</v>
      </c>
      <c r="D11" s="1">
        <v>8</v>
      </c>
      <c r="E11" s="68"/>
      <c r="F11" s="82"/>
      <c r="G11" s="82"/>
      <c r="H11" s="82"/>
      <c r="I11" s="82"/>
      <c r="J11" s="138"/>
      <c r="K11" s="82"/>
      <c r="L11" s="82"/>
      <c r="M11" s="82"/>
      <c r="N11" s="82"/>
      <c r="O11" s="82"/>
      <c r="P11" s="75" t="s">
        <v>203</v>
      </c>
      <c r="Q11" s="82"/>
      <c r="R11" s="82"/>
      <c r="S11" s="3"/>
      <c r="T11" s="10">
        <v>8</v>
      </c>
      <c r="U11" s="82"/>
      <c r="V11" s="82"/>
    </row>
    <row r="12" spans="1:22" x14ac:dyDescent="0.75">
      <c r="A12" s="32">
        <v>7</v>
      </c>
      <c r="B12" s="7">
        <v>14000</v>
      </c>
    </row>
    <row r="13" spans="1:22" x14ac:dyDescent="0.75">
      <c r="A13" s="32">
        <v>8</v>
      </c>
      <c r="B13" s="7">
        <v>13000</v>
      </c>
      <c r="J13" s="1" t="s">
        <v>29</v>
      </c>
      <c r="K13" s="83"/>
      <c r="T13" s="1" t="s">
        <v>18</v>
      </c>
      <c r="U13" s="29"/>
    </row>
    <row r="14" spans="1:22" x14ac:dyDescent="0.75">
      <c r="J14" t="s">
        <v>322</v>
      </c>
      <c r="T14" s="1" t="s">
        <v>13</v>
      </c>
      <c r="U14" s="77"/>
    </row>
    <row r="15" spans="1:22" x14ac:dyDescent="0.75">
      <c r="A15" s="31" t="s">
        <v>190</v>
      </c>
      <c r="B15" s="37">
        <v>55</v>
      </c>
      <c r="T15" s="1" t="s">
        <v>19</v>
      </c>
      <c r="U15" s="78"/>
    </row>
    <row r="16" spans="1:22" x14ac:dyDescent="0.75">
      <c r="A16" s="31" t="s">
        <v>218</v>
      </c>
      <c r="B16" s="1">
        <v>5</v>
      </c>
    </row>
    <row r="17" spans="1:2" x14ac:dyDescent="0.75">
      <c r="A17" s="31" t="str">
        <f>"Cost after year "&amp;B16</f>
        <v>Cost after year 5</v>
      </c>
      <c r="B17" s="37">
        <v>60</v>
      </c>
    </row>
    <row r="18" spans="1:2" x14ac:dyDescent="0.75">
      <c r="A18" s="31" t="s">
        <v>189</v>
      </c>
      <c r="B18" s="37">
        <v>35000</v>
      </c>
    </row>
    <row r="19" spans="1:2" x14ac:dyDescent="0.75">
      <c r="A19" s="31" t="s">
        <v>188</v>
      </c>
      <c r="B19" s="37">
        <v>15000</v>
      </c>
    </row>
    <row r="20" spans="1:2" ht="44.25" x14ac:dyDescent="0.75">
      <c r="A20" s="31" t="str">
        <f>"NWC requirement during each year is "&amp;TEXT(B20,"0.00%")&amp;" of previous year's estimated sales."</f>
        <v>NWC requirement during each year is 17.00% of previous year's estimated sales.</v>
      </c>
      <c r="B20" s="1">
        <v>0.17</v>
      </c>
    </row>
    <row r="21" spans="1:2" x14ac:dyDescent="0.75">
      <c r="A21" s="31" t="s">
        <v>192</v>
      </c>
      <c r="B21" s="37">
        <v>1100000</v>
      </c>
    </row>
    <row r="22" spans="1:2" x14ac:dyDescent="0.75">
      <c r="A22" s="31" t="s">
        <v>2</v>
      </c>
      <c r="B22" s="37" t="s">
        <v>35</v>
      </c>
    </row>
    <row r="23" spans="1:2" x14ac:dyDescent="0.75">
      <c r="A23" s="31" t="s">
        <v>191</v>
      </c>
      <c r="B23" s="1" t="s">
        <v>93</v>
      </c>
    </row>
    <row r="24" spans="1:2" x14ac:dyDescent="0.75">
      <c r="A24" s="31" t="s">
        <v>87</v>
      </c>
      <c r="B24" s="12"/>
    </row>
    <row r="25" spans="1:2" x14ac:dyDescent="0.75">
      <c r="A25" s="31" t="s">
        <v>193</v>
      </c>
      <c r="B25" s="1">
        <v>8</v>
      </c>
    </row>
    <row r="26" spans="1:2" x14ac:dyDescent="0.75">
      <c r="A26" s="31" t="str">
        <f>"Value as % in "&amp;B25&amp;" years"</f>
        <v>Value as % in 8 years</v>
      </c>
      <c r="B26" s="1">
        <v>0.1</v>
      </c>
    </row>
    <row r="27" spans="1:2" x14ac:dyDescent="0.75">
      <c r="A27" s="31" t="s">
        <v>194</v>
      </c>
      <c r="B27" s="69"/>
    </row>
    <row r="28" spans="1:2" x14ac:dyDescent="0.75">
      <c r="A28" s="31" t="s">
        <v>195</v>
      </c>
      <c r="B28" s="1">
        <v>0.34</v>
      </c>
    </row>
    <row r="29" spans="1:2" x14ac:dyDescent="0.75">
      <c r="A29" s="31" t="s">
        <v>321</v>
      </c>
      <c r="B29" s="12"/>
    </row>
    <row r="30" spans="1:2" x14ac:dyDescent="0.75">
      <c r="A30" s="31" t="s">
        <v>41</v>
      </c>
      <c r="B30" s="81">
        <v>0.2</v>
      </c>
    </row>
  </sheetData>
  <dataValidations count="1">
    <dataValidation type="list" allowBlank="1" showInputMessage="1" showErrorMessage="1" sqref="B23" xr:uid="{00000000-0002-0000-1100-000000000000}">
      <formula1>Property</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6"/>
  <sheetViews>
    <sheetView topLeftCell="A4" workbookViewId="0">
      <selection activeCell="E5" sqref="E5"/>
    </sheetView>
  </sheetViews>
  <sheetFormatPr defaultRowHeight="14.75" x14ac:dyDescent="0.75"/>
  <sheetData>
    <row r="1" spans="1:11" x14ac:dyDescent="0.75">
      <c r="A1" s="64" t="s">
        <v>227</v>
      </c>
      <c r="B1" s="1" t="s">
        <v>221</v>
      </c>
    </row>
    <row r="2" spans="1:11" x14ac:dyDescent="0.75">
      <c r="A2" s="64" t="s">
        <v>228</v>
      </c>
      <c r="B2" s="12">
        <f>COUNTIF(A5:A16,B1)</f>
        <v>5</v>
      </c>
    </row>
    <row r="4" spans="1:11" x14ac:dyDescent="0.75">
      <c r="A4" s="64" t="s">
        <v>222</v>
      </c>
      <c r="B4" s="64" t="s">
        <v>223</v>
      </c>
      <c r="C4" s="64" t="s">
        <v>224</v>
      </c>
      <c r="E4" s="64" t="s">
        <v>222</v>
      </c>
      <c r="F4" s="64" t="s">
        <v>223</v>
      </c>
      <c r="G4" s="64" t="s">
        <v>224</v>
      </c>
    </row>
    <row r="5" spans="1:11" x14ac:dyDescent="0.75">
      <c r="A5" s="1" t="s">
        <v>221</v>
      </c>
      <c r="B5" s="1">
        <v>1</v>
      </c>
      <c r="C5" s="1">
        <v>10</v>
      </c>
      <c r="E5" s="12" t="str">
        <f>IF(ROWS(E$5:E5)&gt;$B$2,"",INDEX(A$5:C$16,_xlfn.AGGREGATE(15,6,(ROW($A$5:$A$16)-ROW($A$5)+1)/($A$5:$A$16=$B$1),ROWS(E$5:E5)),COLUMNS($A5:$A5)))</f>
        <v>A</v>
      </c>
      <c r="F5" s="12">
        <f>IF(ROWS(F$5:F5)&gt;$B$2,"",INDEX(B$5:D$16,_xlfn.AGGREGATE(15,6,(ROW($A$5:$A$16)-ROW($A$5)+1)/($A$5:$A$16=$B$1),ROWS(F$5:F5)),COLUMNS($A5:$A5)))</f>
        <v>1</v>
      </c>
      <c r="G5" s="12">
        <f>IF(ROWS(G$5:G5)&gt;$B$2,"",INDEX(C$5:E$16,_xlfn.AGGREGATE(15,6,(ROW($A$5:$A$16)-ROW($A$5)+1)/($A$5:$A$16=$B$1),ROWS(G$5:G5)),COLUMNS($A5:$A5)))</f>
        <v>10</v>
      </c>
      <c r="I5" s="1" t="s">
        <v>221</v>
      </c>
      <c r="J5" s="1">
        <v>1</v>
      </c>
      <c r="K5" s="1">
        <v>10</v>
      </c>
    </row>
    <row r="6" spans="1:11" x14ac:dyDescent="0.75">
      <c r="A6" s="1" t="s">
        <v>221</v>
      </c>
      <c r="B6" s="1">
        <v>2</v>
      </c>
      <c r="C6" s="1">
        <v>20</v>
      </c>
      <c r="E6" s="12" t="str">
        <f>IF(ROWS(E$5:E6)&gt;$B$2,"",INDEX(A$5:C$16,_xlfn.AGGREGATE(15,6,(ROW($A$5:$A$16)-ROW($A$5)+1)/($A$5:$A$16=$B$1),ROWS(E$5:E6)),COLUMNS($A6:$A6)))</f>
        <v>A</v>
      </c>
      <c r="F6" s="12">
        <f>IF(ROWS(F$5:F6)&gt;$B$2,"",INDEX(B$5:D$16,_xlfn.AGGREGATE(15,6,(ROW($A$5:$A$16)-ROW($A$5)+1)/($A$5:$A$16=$B$1),ROWS(F$5:F6)),COLUMNS($A6:$A6)))</f>
        <v>2</v>
      </c>
      <c r="G6" s="12">
        <f>IF(ROWS(G$5:G6)&gt;$B$2,"",INDEX(C$5:E$16,_xlfn.AGGREGATE(15,6,(ROW($A$5:$A$16)-ROW($A$5)+1)/($A$5:$A$16=$B$1),ROWS(G$5:G6)),COLUMNS($A6:$A6)))</f>
        <v>20</v>
      </c>
      <c r="I6" s="1" t="s">
        <v>221</v>
      </c>
      <c r="J6" s="1">
        <v>2</v>
      </c>
      <c r="K6" s="1">
        <v>20</v>
      </c>
    </row>
    <row r="7" spans="1:11" x14ac:dyDescent="0.75">
      <c r="A7" s="1" t="s">
        <v>221</v>
      </c>
      <c r="B7" s="1">
        <v>3</v>
      </c>
      <c r="C7" s="1">
        <v>30</v>
      </c>
      <c r="E7" s="12" t="str">
        <f>IF(ROWS(E$5:E7)&gt;$B$2,"",INDEX(A$5:C$16,_xlfn.AGGREGATE(15,6,(ROW($A$5:$A$16)-ROW($A$5)+1)/($A$5:$A$16=$B$1),ROWS(E$5:E7)),COLUMNS($A7:$A7)))</f>
        <v>A</v>
      </c>
      <c r="F7" s="12">
        <f>IF(ROWS(F$5:F7)&gt;$B$2,"",INDEX(B$5:D$16,_xlfn.AGGREGATE(15,6,(ROW($A$5:$A$16)-ROW($A$5)+1)/($A$5:$A$16=$B$1),ROWS(F$5:F7)),COLUMNS($A7:$A7)))</f>
        <v>3</v>
      </c>
      <c r="G7" s="12">
        <f>IF(ROWS(G$5:G7)&gt;$B$2,"",INDEX(C$5:E$16,_xlfn.AGGREGATE(15,6,(ROW($A$5:$A$16)-ROW($A$5)+1)/($A$5:$A$16=$B$1),ROWS(G$5:G7)),COLUMNS($A7:$A7)))</f>
        <v>30</v>
      </c>
      <c r="I7" s="1" t="s">
        <v>221</v>
      </c>
      <c r="J7" s="1">
        <v>3</v>
      </c>
      <c r="K7" s="1">
        <v>30</v>
      </c>
    </row>
    <row r="8" spans="1:11" x14ac:dyDescent="0.75">
      <c r="A8" s="1" t="s">
        <v>221</v>
      </c>
      <c r="B8" s="1">
        <v>4</v>
      </c>
      <c r="C8" s="1">
        <v>40</v>
      </c>
      <c r="E8" s="12" t="str">
        <f>IF(ROWS(E$5:E8)&gt;$B$2,"",INDEX(A$5:C$16,_xlfn.AGGREGATE(15,6,(ROW($A$5:$A$16)-ROW($A$5)+1)/($A$5:$A$16=$B$1),ROWS(E$5:E8)),COLUMNS($A8:$A8)))</f>
        <v>A</v>
      </c>
      <c r="F8" s="12">
        <f>IF(ROWS(F$5:F8)&gt;$B$2,"",INDEX(B$5:D$16,_xlfn.AGGREGATE(15,6,(ROW($A$5:$A$16)-ROW($A$5)+1)/($A$5:$A$16=$B$1),ROWS(F$5:F8)),COLUMNS($A8:$A8)))</f>
        <v>4</v>
      </c>
      <c r="G8" s="12">
        <f>IF(ROWS(G$5:G8)&gt;$B$2,"",INDEX(C$5:E$16,_xlfn.AGGREGATE(15,6,(ROW($A$5:$A$16)-ROW($A$5)+1)/($A$5:$A$16=$B$1),ROWS(G$5:G8)),COLUMNS($A8:$A8)))</f>
        <v>40</v>
      </c>
      <c r="I8" s="1" t="s">
        <v>221</v>
      </c>
      <c r="J8" s="1">
        <v>4</v>
      </c>
      <c r="K8" s="1">
        <v>40</v>
      </c>
    </row>
    <row r="9" spans="1:11" x14ac:dyDescent="0.75">
      <c r="A9" s="1" t="s">
        <v>225</v>
      </c>
      <c r="B9" s="1">
        <v>1</v>
      </c>
      <c r="C9" s="1">
        <v>50</v>
      </c>
      <c r="E9" s="12" t="str">
        <f>IF(ROWS(E$5:E9)&gt;$B$2,"",INDEX(A$5:C$16,_xlfn.AGGREGATE(15,6,(ROW($A$5:$A$16)-ROW($A$5)+1)/($A$5:$A$16=$B$1),ROWS(E$5:E9)),COLUMNS($A9:$A9)))</f>
        <v>A</v>
      </c>
      <c r="F9" s="12">
        <f>IF(ROWS(F$5:F9)&gt;$B$2,"",INDEX(B$5:D$16,_xlfn.AGGREGATE(15,6,(ROW($A$5:$A$16)-ROW($A$5)+1)/($A$5:$A$16=$B$1),ROWS(F$5:F9)),COLUMNS($A9:$A9)))</f>
        <v>5</v>
      </c>
      <c r="G9" s="12">
        <f>IF(ROWS(G$5:G9)&gt;$B$2,"",INDEX(C$5:E$16,_xlfn.AGGREGATE(15,6,(ROW($A$5:$A$16)-ROW($A$5)+1)/($A$5:$A$16=$B$1),ROWS(G$5:G9)),COLUMNS($A9:$A9)))</f>
        <v>90</v>
      </c>
      <c r="I9" s="1" t="s">
        <v>221</v>
      </c>
      <c r="J9" s="1">
        <v>5</v>
      </c>
      <c r="K9" s="1">
        <v>90</v>
      </c>
    </row>
    <row r="10" spans="1:11" x14ac:dyDescent="0.75">
      <c r="A10" s="1" t="s">
        <v>225</v>
      </c>
      <c r="B10" s="1">
        <v>2</v>
      </c>
      <c r="C10" s="1">
        <v>60</v>
      </c>
      <c r="E10" s="12" t="str">
        <f>IF(ROWS(E$5:E10)&gt;$B$2,"",INDEX(A$5:C$16,_xlfn.AGGREGATE(15,6,(ROW($A$5:$A$16)-ROW($A$5)+1)/($A$5:$A$16=$B$1),ROWS(E$5:E10)),COLUMNS($A10:$A10)))</f>
        <v/>
      </c>
      <c r="F10" s="12" t="str">
        <f>IF(ROWS(F$5:F10)&gt;$B$2,"",INDEX(B$5:D$16,_xlfn.AGGREGATE(15,6,(ROW($A$5:$A$16)-ROW($A$5)+1)/($A$5:$A$16=$B$1),ROWS(F$5:F10)),COLUMNS($A10:$A10)))</f>
        <v/>
      </c>
      <c r="G10" s="12" t="str">
        <f>IF(ROWS(G$5:G10)&gt;$B$2,"",INDEX(C$5:E$16,_xlfn.AGGREGATE(15,6,(ROW($A$5:$A$16)-ROW($A$5)+1)/($A$5:$A$16=$B$1),ROWS(G$5:G10)),COLUMNS($A10:$A10)))</f>
        <v/>
      </c>
    </row>
    <row r="11" spans="1:11" x14ac:dyDescent="0.75">
      <c r="A11" s="1" t="s">
        <v>225</v>
      </c>
      <c r="B11" s="1">
        <v>3</v>
      </c>
      <c r="C11" s="1">
        <v>70</v>
      </c>
      <c r="E11" s="12" t="str">
        <f>IF(ROWS(E$5:E11)&gt;$B$2,"",INDEX(A$5:C$16,_xlfn.AGGREGATE(15,6,(ROW($A$5:$A$16)-ROW($A$5)+1)/($A$5:$A$16=$B$1),ROWS(E$5:E11)),COLUMNS($A11:$A11)))</f>
        <v/>
      </c>
      <c r="F11" s="12" t="str">
        <f>IF(ROWS(F$5:F11)&gt;$B$2,"",INDEX(B$5:D$16,_xlfn.AGGREGATE(15,6,(ROW($A$5:$A$16)-ROW($A$5)+1)/($A$5:$A$16=$B$1),ROWS(F$5:F11)),COLUMNS($A11:$A11)))</f>
        <v/>
      </c>
      <c r="G11" s="12" t="str">
        <f>IF(ROWS(G$5:G11)&gt;$B$2,"",INDEX(C$5:E$16,_xlfn.AGGREGATE(15,6,(ROW($A$5:$A$16)-ROW($A$5)+1)/($A$5:$A$16=$B$1),ROWS(G$5:G11)),COLUMNS($A11:$A11)))</f>
        <v/>
      </c>
    </row>
    <row r="12" spans="1:11" x14ac:dyDescent="0.75">
      <c r="A12" s="1" t="s">
        <v>225</v>
      </c>
      <c r="B12" s="1">
        <v>4</v>
      </c>
      <c r="C12" s="1">
        <v>80</v>
      </c>
      <c r="E12" s="12" t="str">
        <f>IF(ROWS(E$5:E12)&gt;$B$2,"",INDEX(A$5:C$16,_xlfn.AGGREGATE(15,6,(ROW($A$5:$A$16)-ROW($A$5)+1)/($A$5:$A$16=$B$1),ROWS(E$5:E12)),COLUMNS($A12:$A12)))</f>
        <v/>
      </c>
      <c r="F12" s="12" t="str">
        <f>IF(ROWS(F$5:F12)&gt;$B$2,"",INDEX(B$5:D$16,_xlfn.AGGREGATE(15,6,(ROW($A$5:$A$16)-ROW($A$5)+1)/($A$5:$A$16=$B$1),ROWS(F$5:F12)),COLUMNS($A12:$A12)))</f>
        <v/>
      </c>
      <c r="G12" s="12" t="str">
        <f>IF(ROWS(G$5:G12)&gt;$B$2,"",INDEX(C$5:E$16,_xlfn.AGGREGATE(15,6,(ROW($A$5:$A$16)-ROW($A$5)+1)/($A$5:$A$16=$B$1),ROWS(G$5:G12)),COLUMNS($A12:$A12)))</f>
        <v/>
      </c>
    </row>
    <row r="13" spans="1:11" x14ac:dyDescent="0.75">
      <c r="A13" s="1" t="s">
        <v>221</v>
      </c>
      <c r="B13" s="1">
        <v>5</v>
      </c>
      <c r="C13" s="1">
        <v>90</v>
      </c>
      <c r="E13" s="12" t="str">
        <f>IF(ROWS(E$5:E13)&gt;$B$2,"",INDEX(A$5:C$16,_xlfn.AGGREGATE(15,6,(ROW($A$5:$A$16)-ROW($A$5)+1)/($A$5:$A$16=$B$1),ROWS(E$5:E13)),COLUMNS($A13:$A13)))</f>
        <v/>
      </c>
      <c r="F13" s="12" t="str">
        <f>IF(ROWS(F$5:F13)&gt;$B$2,"",INDEX(B$5:D$16,_xlfn.AGGREGATE(15,6,(ROW($A$5:$A$16)-ROW($A$5)+1)/($A$5:$A$16=$B$1),ROWS(F$5:F13)),COLUMNS($A13:$A13)))</f>
        <v/>
      </c>
      <c r="G13" s="12" t="str">
        <f>IF(ROWS(G$5:G13)&gt;$B$2,"",INDEX(C$5:E$16,_xlfn.AGGREGATE(15,6,(ROW($A$5:$A$16)-ROW($A$5)+1)/($A$5:$A$16=$B$1),ROWS(G$5:G13)),COLUMNS($A13:$A13)))</f>
        <v/>
      </c>
    </row>
    <row r="14" spans="1:11" x14ac:dyDescent="0.75">
      <c r="A14" s="1" t="s">
        <v>226</v>
      </c>
      <c r="B14" s="1">
        <v>1</v>
      </c>
      <c r="C14" s="1">
        <v>100</v>
      </c>
      <c r="E14" s="12" t="str">
        <f>IF(ROWS(E$5:E14)&gt;$B$2,"",INDEX(A$5:C$16,_xlfn.AGGREGATE(15,6,(ROW($A$5:$A$16)-ROW($A$5)+1)/($A$5:$A$16=$B$1),ROWS(E$5:E14)),COLUMNS($A14:$A14)))</f>
        <v/>
      </c>
      <c r="F14" s="12" t="str">
        <f>IF(ROWS(F$5:F14)&gt;$B$2,"",INDEX(B$5:D$16,_xlfn.AGGREGATE(15,6,(ROW($A$5:$A$16)-ROW($A$5)+1)/($A$5:$A$16=$B$1),ROWS(F$5:F14)),COLUMNS($A14:$A14)))</f>
        <v/>
      </c>
      <c r="G14" s="12" t="str">
        <f>IF(ROWS(G$5:G14)&gt;$B$2,"",INDEX(C$5:E$16,_xlfn.AGGREGATE(15,6,(ROW($A$5:$A$16)-ROW($A$5)+1)/($A$5:$A$16=$B$1),ROWS(G$5:G14)),COLUMNS($A14:$A14)))</f>
        <v/>
      </c>
    </row>
    <row r="15" spans="1:11" x14ac:dyDescent="0.75">
      <c r="A15" s="1" t="s">
        <v>226</v>
      </c>
      <c r="B15" s="1">
        <v>2</v>
      </c>
      <c r="C15" s="1">
        <v>110</v>
      </c>
      <c r="E15" s="12" t="str">
        <f>IF(ROWS(E$5:E15)&gt;$B$2,"",INDEX(A$5:C$16,_xlfn.AGGREGATE(15,6,(ROW($A$5:$A$16)-ROW($A$5)+1)/($A$5:$A$16=$B$1),ROWS(E$5:E15)),COLUMNS($A15:$A15)))</f>
        <v/>
      </c>
      <c r="F15" s="12" t="str">
        <f>IF(ROWS(F$5:F15)&gt;$B$2,"",INDEX(B$5:D$16,_xlfn.AGGREGATE(15,6,(ROW($A$5:$A$16)-ROW($A$5)+1)/($A$5:$A$16=$B$1),ROWS(F$5:F15)),COLUMNS($A15:$A15)))</f>
        <v/>
      </c>
      <c r="G15" s="12" t="str">
        <f>IF(ROWS(G$5:G15)&gt;$B$2,"",INDEX(C$5:E$16,_xlfn.AGGREGATE(15,6,(ROW($A$5:$A$16)-ROW($A$5)+1)/($A$5:$A$16=$B$1),ROWS(G$5:G15)),COLUMNS($A15:$A15)))</f>
        <v/>
      </c>
    </row>
    <row r="16" spans="1:11" x14ac:dyDescent="0.75">
      <c r="A16" s="1" t="s">
        <v>226</v>
      </c>
      <c r="B16" s="1">
        <v>3</v>
      </c>
      <c r="C16" s="1">
        <v>120</v>
      </c>
      <c r="E16" s="12" t="str">
        <f>IF(ROWS(E$5:E16)&gt;$B$2,"",INDEX(A$5:C$16,_xlfn.AGGREGATE(15,6,(ROW($A$5:$A$16)-ROW($A$5)+1)/($A$5:$A$16=$B$1),ROWS(E$5:E16)),COLUMNS($A16:$A16)))</f>
        <v/>
      </c>
      <c r="F16" s="12" t="str">
        <f>IF(ROWS(F$5:F16)&gt;$B$2,"",INDEX(B$5:D$16,_xlfn.AGGREGATE(15,6,(ROW($A$5:$A$16)-ROW($A$5)+1)/($A$5:$A$16=$B$1),ROWS(F$5:F16)),COLUMNS($A16:$A16)))</f>
        <v/>
      </c>
      <c r="G16" s="12" t="str">
        <f>IF(ROWS(G$5:G16)&gt;$B$2,"",INDEX(C$5:E$16,_xlfn.AGGREGATE(15,6,(ROW($A$5:$A$16)-ROW($A$5)+1)/($A$5:$A$16=$B$1),ROWS(G$5:G16)),COLUMNS($A16:$A16)))</f>
        <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9"/>
  <sheetViews>
    <sheetView workbookViewId="0">
      <selection activeCell="E5" sqref="E5"/>
    </sheetView>
  </sheetViews>
  <sheetFormatPr defaultRowHeight="14.75" x14ac:dyDescent="0.75"/>
  <sheetData>
    <row r="1" spans="1:7" x14ac:dyDescent="0.75">
      <c r="A1" s="1" t="s">
        <v>221</v>
      </c>
      <c r="B1" s="1">
        <v>1</v>
      </c>
      <c r="C1" s="1">
        <v>10</v>
      </c>
      <c r="E1" s="12" t="str">
        <f>INDEX($A$1:$C$9,_xlfn.AGGREGATE(15,6,(ROW($A$1:$A$9)-ROW($A$1)+1)/($A$1:$A$9&lt;&gt;""),ROWS(E$1:E1)),COLUMNS($E1:E1))</f>
        <v>A</v>
      </c>
      <c r="F1" s="12">
        <f>INDEX($A$1:$C$9,_xlfn.AGGREGATE(15,6,(ROW($A$1:$A$9)-ROW($A$1)+1)/($A$1:$A$9&lt;&gt;""),ROWS(F$1:F1)),COLUMNS($E1:F1))</f>
        <v>1</v>
      </c>
      <c r="G1" s="12">
        <f>INDEX($A$1:$C$9,_xlfn.AGGREGATE(15,6,(ROW($A$1:$A$9)-ROW($A$1)+1)/($A$1:$A$9&lt;&gt;""),ROWS(G$1:G1)),COLUMNS($E1:G1))</f>
        <v>10</v>
      </c>
    </row>
    <row r="2" spans="1:7" x14ac:dyDescent="0.75">
      <c r="A2" s="1"/>
      <c r="B2" s="1"/>
      <c r="C2" s="1"/>
      <c r="E2" s="12" t="str">
        <f>INDEX($A$1:$C$9,_xlfn.AGGREGATE(15,6,(ROW($A$1:$A$9)-ROW($A$1)+1)/($A$1:$A$9&lt;&gt;""),ROWS(E$1:E2)),COLUMNS($E2:E2))</f>
        <v>A</v>
      </c>
      <c r="F2" s="12">
        <f>INDEX($A$1:$C$9,_xlfn.AGGREGATE(15,6,(ROW($A$1:$A$9)-ROW($A$1)+1)/($A$1:$A$9&lt;&gt;""),ROWS(F$1:F2)),COLUMNS($E2:F2))</f>
        <v>3</v>
      </c>
      <c r="G2" s="12">
        <f>INDEX($A$1:$C$9,_xlfn.AGGREGATE(15,6,(ROW($A$1:$A$9)-ROW($A$1)+1)/($A$1:$A$9&lt;&gt;""),ROWS(G$1:G2)),COLUMNS($E2:G2))</f>
        <v>30</v>
      </c>
    </row>
    <row r="3" spans="1:7" x14ac:dyDescent="0.75">
      <c r="A3" s="1" t="s">
        <v>221</v>
      </c>
      <c r="B3" s="1">
        <v>3</v>
      </c>
      <c r="C3" s="1">
        <v>30</v>
      </c>
      <c r="E3" s="12" t="str">
        <f>INDEX($A$1:$C$9,_xlfn.AGGREGATE(15,6,(ROW($A$1:$A$9)-ROW($A$1)+1)/($A$1:$A$9&lt;&gt;""),ROWS(E$1:E3)),COLUMNS($E3:E3))</f>
        <v>A</v>
      </c>
      <c r="F3" s="12">
        <f>INDEX($A$1:$C$9,_xlfn.AGGREGATE(15,6,(ROW($A$1:$A$9)-ROW($A$1)+1)/($A$1:$A$9&lt;&gt;""),ROWS(F$1:F3)),COLUMNS($E3:F3))</f>
        <v>4</v>
      </c>
      <c r="G3" s="12">
        <f>INDEX($A$1:$C$9,_xlfn.AGGREGATE(15,6,(ROW($A$1:$A$9)-ROW($A$1)+1)/($A$1:$A$9&lt;&gt;""),ROWS(G$1:G3)),COLUMNS($E3:G3))</f>
        <v>40</v>
      </c>
    </row>
    <row r="4" spans="1:7" x14ac:dyDescent="0.75">
      <c r="A4" s="1" t="s">
        <v>221</v>
      </c>
      <c r="B4" s="1">
        <v>4</v>
      </c>
      <c r="C4" s="1">
        <v>40</v>
      </c>
      <c r="E4" s="12" t="str">
        <f>INDEX($A$1:$C$9,_xlfn.AGGREGATE(15,6,(ROW($A$1:$A$9)-ROW($A$1)+1)/($A$1:$A$9&lt;&gt;""),ROWS(E$1:E4)),COLUMNS($E4:E4))</f>
        <v>A</v>
      </c>
      <c r="F4" s="12">
        <f>INDEX($A$1:$C$9,_xlfn.AGGREGATE(15,6,(ROW($A$1:$A$9)-ROW($A$1)+1)/($A$1:$A$9&lt;&gt;""),ROWS(F$1:F4)),COLUMNS($E4:F4))</f>
        <v>44</v>
      </c>
      <c r="G4" s="12">
        <f>INDEX($A$1:$C$9,_xlfn.AGGREGATE(15,6,(ROW($A$1:$A$9)-ROW($A$1)+1)/($A$1:$A$9&lt;&gt;""),ROWS(G$1:G4)),COLUMNS($E4:G4))</f>
        <v>444</v>
      </c>
    </row>
    <row r="5" spans="1:7" x14ac:dyDescent="0.75">
      <c r="A5" s="1"/>
      <c r="B5" s="1"/>
      <c r="C5" s="1"/>
      <c r="E5" s="12" t="str">
        <f>INDEX($A$1:$C$9,_xlfn.AGGREGATE(15,6,(ROW($A$1:$A$9)-ROW($A$1)+1)/($A$1:$A$9&lt;&gt;""),ROWS(E$1:E5)),COLUMNS($E5:E5))</f>
        <v>A</v>
      </c>
      <c r="F5" s="12">
        <f>INDEX($A$1:$C$9,_xlfn.AGGREGATE(15,6,(ROW($A$1:$A$9)-ROW($A$1)+1)/($A$1:$A$9&lt;&gt;""),ROWS(F$1:F5)),COLUMNS($E5:F5))</f>
        <v>5</v>
      </c>
      <c r="G5" s="12">
        <f>INDEX($A$1:$C$9,_xlfn.AGGREGATE(15,6,(ROW($A$1:$A$9)-ROW($A$1)+1)/($A$1:$A$9&lt;&gt;""),ROWS(G$1:G5)),COLUMNS($E5:G5))</f>
        <v>90</v>
      </c>
    </row>
    <row r="6" spans="1:7" x14ac:dyDescent="0.75">
      <c r="A6" s="1" t="s">
        <v>221</v>
      </c>
      <c r="B6" s="1">
        <v>44</v>
      </c>
      <c r="C6" s="1">
        <v>444</v>
      </c>
    </row>
    <row r="7" spans="1:7" x14ac:dyDescent="0.75">
      <c r="A7" s="1"/>
      <c r="B7" s="1"/>
      <c r="C7" s="1"/>
    </row>
    <row r="8" spans="1:7" x14ac:dyDescent="0.75">
      <c r="A8" s="1"/>
      <c r="B8" s="1"/>
      <c r="C8" s="1"/>
    </row>
    <row r="9" spans="1:7" x14ac:dyDescent="0.75">
      <c r="A9" s="1" t="s">
        <v>221</v>
      </c>
      <c r="B9" s="1">
        <v>5</v>
      </c>
      <c r="C9" s="1">
        <v>90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C47"/>
  <sheetViews>
    <sheetView zoomScale="55" zoomScaleNormal="55" workbookViewId="0"/>
  </sheetViews>
  <sheetFormatPr defaultRowHeight="14.75" x14ac:dyDescent="0.75"/>
  <cols>
    <col min="1" max="1" width="29.6796875" style="15" customWidth="1"/>
    <col min="2" max="2" width="18.31640625" customWidth="1"/>
    <col min="3" max="3" width="0.86328125" customWidth="1"/>
    <col min="5" max="5" width="12" bestFit="1" customWidth="1"/>
    <col min="6" max="6" width="14.2265625" customWidth="1"/>
    <col min="7" max="7" width="14.2265625" bestFit="1" customWidth="1"/>
    <col min="8" max="8" width="12.08984375" customWidth="1"/>
    <col min="9" max="9" width="13.2265625" bestFit="1" customWidth="1"/>
    <col min="10" max="10" width="11.54296875" bestFit="1" customWidth="1"/>
    <col min="11" max="12" width="14.2265625" bestFit="1" customWidth="1"/>
    <col min="13" max="13" width="12.6796875" bestFit="1" customWidth="1"/>
    <col min="14" max="15" width="16.76953125" customWidth="1"/>
    <col min="16" max="16" width="13.54296875" bestFit="1" customWidth="1"/>
    <col min="17" max="17" width="12.6796875" bestFit="1" customWidth="1"/>
    <col min="18" max="18" width="13.2265625" bestFit="1" customWidth="1"/>
    <col min="19" max="19" width="14.86328125" bestFit="1" customWidth="1"/>
    <col min="20" max="20" width="7.6796875" bestFit="1" customWidth="1"/>
    <col min="21" max="21" width="15.54296875" customWidth="1"/>
    <col min="22" max="22" width="14.86328125" bestFit="1" customWidth="1"/>
    <col min="27" max="27" width="6.08984375" bestFit="1" customWidth="1"/>
    <col min="28" max="28" width="19.08984375" bestFit="1" customWidth="1"/>
    <col min="29" max="29" width="19.76953125" bestFit="1" customWidth="1"/>
    <col min="37" max="37" width="6.08984375" bestFit="1" customWidth="1"/>
    <col min="38" max="38" width="19.08984375" bestFit="1" customWidth="1"/>
    <col min="39" max="39" width="19.76953125" bestFit="1" customWidth="1"/>
  </cols>
  <sheetData>
    <row r="1" spans="1:29" x14ac:dyDescent="0.75">
      <c r="A1" s="31" t="s">
        <v>187</v>
      </c>
      <c r="B1" s="37">
        <v>90</v>
      </c>
      <c r="D1" s="72" t="s">
        <v>219</v>
      </c>
      <c r="E1" s="73"/>
      <c r="AB1" t="s">
        <v>215</v>
      </c>
      <c r="AC1">
        <v>1000</v>
      </c>
    </row>
    <row r="2" spans="1:29" ht="29.5" x14ac:dyDescent="0.75">
      <c r="A2" s="31" t="s">
        <v>319</v>
      </c>
      <c r="B2" s="1">
        <v>4</v>
      </c>
      <c r="D2" s="64" t="s">
        <v>168</v>
      </c>
      <c r="E2" s="64" t="s">
        <v>15</v>
      </c>
      <c r="F2" s="64" t="s">
        <v>200</v>
      </c>
      <c r="G2" s="64" t="s">
        <v>85</v>
      </c>
      <c r="H2" s="64" t="s">
        <v>207</v>
      </c>
      <c r="I2" s="64" t="s">
        <v>49</v>
      </c>
      <c r="J2" s="64" t="s">
        <v>197</v>
      </c>
      <c r="K2" s="64" t="s">
        <v>198</v>
      </c>
      <c r="L2" s="64" t="s">
        <v>10</v>
      </c>
      <c r="M2" s="64" t="s">
        <v>52</v>
      </c>
      <c r="N2" s="31" t="s">
        <v>201</v>
      </c>
      <c r="O2" s="31" t="s">
        <v>320</v>
      </c>
      <c r="P2" s="71" t="s">
        <v>203</v>
      </c>
      <c r="Q2" s="31" t="s">
        <v>17</v>
      </c>
      <c r="R2" s="64" t="s">
        <v>202</v>
      </c>
      <c r="S2" s="76" t="s">
        <v>204</v>
      </c>
      <c r="T2" s="31" t="s">
        <v>220</v>
      </c>
      <c r="U2" s="76" t="s">
        <v>205</v>
      </c>
      <c r="V2" s="76" t="s">
        <v>206</v>
      </c>
    </row>
    <row r="3" spans="1:29" x14ac:dyDescent="0.75">
      <c r="A3" s="31" t="str">
        <f>"Price after year "&amp;B2</f>
        <v>Price after year 4</v>
      </c>
      <c r="B3" s="37">
        <v>80</v>
      </c>
      <c r="D3" s="1">
        <v>0</v>
      </c>
      <c r="E3" s="6"/>
      <c r="F3" s="6"/>
      <c r="G3" s="6"/>
      <c r="H3" s="6"/>
      <c r="I3" s="6"/>
      <c r="J3" s="6"/>
      <c r="K3" s="6"/>
      <c r="L3" s="6"/>
      <c r="M3" s="6"/>
      <c r="N3" s="6"/>
      <c r="O3" s="138">
        <f>B19</f>
        <v>15000</v>
      </c>
      <c r="P3" s="6"/>
      <c r="Q3" s="6"/>
      <c r="R3" s="138">
        <f>-B19</f>
        <v>-15000</v>
      </c>
      <c r="S3" s="138">
        <f>-B21</f>
        <v>-1100000</v>
      </c>
      <c r="T3" s="10">
        <v>0</v>
      </c>
      <c r="U3" s="82">
        <f>SUM(Q3:S3)</f>
        <v>-1115000</v>
      </c>
      <c r="V3" s="82">
        <f>SUM($U$3:U3)</f>
        <v>-1115000</v>
      </c>
      <c r="W3">
        <v>0</v>
      </c>
      <c r="AA3" s="1"/>
      <c r="AB3" s="64" t="s">
        <v>14</v>
      </c>
      <c r="AC3" s="64" t="s">
        <v>216</v>
      </c>
    </row>
    <row r="4" spans="1:29" x14ac:dyDescent="0.75">
      <c r="D4" s="1">
        <v>1</v>
      </c>
      <c r="E4" s="68">
        <f>B6</f>
        <v>13000</v>
      </c>
      <c r="F4" s="82">
        <f>IF(D4&gt;$B$2,$B$3,$B$1)</f>
        <v>90</v>
      </c>
      <c r="G4" s="82">
        <f>E4*F4</f>
        <v>1170000</v>
      </c>
      <c r="H4" s="82">
        <f>IF(D4&gt;$B$16,$B$17,$B$15)</f>
        <v>55</v>
      </c>
      <c r="I4" s="82">
        <f>E4*H4</f>
        <v>715000</v>
      </c>
      <c r="J4" s="138">
        <f>$B$18</f>
        <v>35000</v>
      </c>
      <c r="K4" s="82">
        <f>$B$21*'Ex(7)'!F10</f>
        <v>157190</v>
      </c>
      <c r="L4" s="82">
        <f>G4-SUM(I4:K4)</f>
        <v>262810</v>
      </c>
      <c r="M4" s="82">
        <f>ROUND(L4*$B$28,0)</f>
        <v>89355</v>
      </c>
      <c r="N4" s="82">
        <f>L4-M4</f>
        <v>173455</v>
      </c>
      <c r="O4" s="82">
        <f>G4*$B$20</f>
        <v>198900</v>
      </c>
      <c r="P4" s="70" t="s">
        <v>203</v>
      </c>
      <c r="Q4" s="82">
        <f>N4+K4</f>
        <v>330645</v>
      </c>
      <c r="R4" s="82">
        <f>-O4+O3</f>
        <v>-183900</v>
      </c>
      <c r="S4" s="82"/>
      <c r="T4" s="1">
        <v>1</v>
      </c>
      <c r="U4" s="82">
        <f t="shared" ref="U4:U11" si="0">SUM(Q4:S4)</f>
        <v>146745</v>
      </c>
      <c r="V4" s="82">
        <f>SUM($U$3:U4)</f>
        <v>-968255</v>
      </c>
      <c r="W4">
        <v>1</v>
      </c>
      <c r="AA4" s="1" t="s">
        <v>33</v>
      </c>
      <c r="AB4" s="79">
        <v>-1000</v>
      </c>
      <c r="AC4" s="79">
        <v>-1000</v>
      </c>
    </row>
    <row r="5" spans="1:29" x14ac:dyDescent="0.75">
      <c r="A5" s="31" t="s">
        <v>168</v>
      </c>
      <c r="B5" s="64" t="s">
        <v>186</v>
      </c>
      <c r="D5" s="1">
        <v>2</v>
      </c>
      <c r="E5" s="68">
        <f t="shared" ref="E5:E11" si="1">B7</f>
        <v>15000</v>
      </c>
      <c r="F5" s="82">
        <f t="shared" ref="F5:F11" si="2">IF(D5&gt;$B$2,$B$3,$B$1)</f>
        <v>90</v>
      </c>
      <c r="G5" s="82">
        <f t="shared" ref="G5:G11" si="3">E5*F5</f>
        <v>1350000</v>
      </c>
      <c r="H5" s="82">
        <f t="shared" ref="H5:H11" si="4">IF(D5&gt;$B$16,$B$17,$B$15)</f>
        <v>55</v>
      </c>
      <c r="I5" s="82">
        <f t="shared" ref="I5:I11" si="5">E5*H5</f>
        <v>825000</v>
      </c>
      <c r="J5" s="138">
        <f t="shared" ref="J5:J11" si="6">$B$18</f>
        <v>35000</v>
      </c>
      <c r="K5" s="82">
        <f>$B$21*'Ex(7)'!F11</f>
        <v>269390</v>
      </c>
      <c r="L5" s="82">
        <f t="shared" ref="L5:L11" si="7">G5-SUM(I5:K5)</f>
        <v>220610</v>
      </c>
      <c r="M5" s="82">
        <f t="shared" ref="M5:M11" si="8">ROUND(L5*$B$28,0)</f>
        <v>75007</v>
      </c>
      <c r="N5" s="82">
        <f t="shared" ref="N5:N11" si="9">L5-M5</f>
        <v>145603</v>
      </c>
      <c r="O5" s="82">
        <f t="shared" ref="O5:O11" si="10">G5*$B$20</f>
        <v>229500.00000000003</v>
      </c>
      <c r="P5" s="75" t="s">
        <v>203</v>
      </c>
      <c r="Q5" s="82">
        <f t="shared" ref="Q5:Q11" si="11">N5+K5</f>
        <v>414993</v>
      </c>
      <c r="R5" s="82">
        <f t="shared" ref="R5:R10" si="12">-O5+O4</f>
        <v>-30600.000000000029</v>
      </c>
      <c r="S5" s="3"/>
      <c r="T5" s="10">
        <v>2</v>
      </c>
      <c r="U5" s="82">
        <f t="shared" si="0"/>
        <v>384393</v>
      </c>
      <c r="V5" s="82">
        <f>SUM($U$3:U5)</f>
        <v>-583862</v>
      </c>
      <c r="W5">
        <v>2</v>
      </c>
      <c r="AA5" s="1" t="s">
        <v>30</v>
      </c>
      <c r="AB5" s="79">
        <v>500</v>
      </c>
      <c r="AC5" s="79">
        <v>-500</v>
      </c>
    </row>
    <row r="6" spans="1:29" x14ac:dyDescent="0.75">
      <c r="A6" s="32">
        <v>1</v>
      </c>
      <c r="B6" s="7">
        <v>13000</v>
      </c>
      <c r="D6" s="1">
        <v>3</v>
      </c>
      <c r="E6" s="68">
        <f t="shared" si="1"/>
        <v>16000</v>
      </c>
      <c r="F6" s="82">
        <f t="shared" si="2"/>
        <v>90</v>
      </c>
      <c r="G6" s="82">
        <f t="shared" si="3"/>
        <v>1440000</v>
      </c>
      <c r="H6" s="82">
        <f t="shared" si="4"/>
        <v>55</v>
      </c>
      <c r="I6" s="82">
        <f t="shared" si="5"/>
        <v>880000</v>
      </c>
      <c r="J6" s="138">
        <f t="shared" si="6"/>
        <v>35000</v>
      </c>
      <c r="K6" s="82">
        <f>$B$21*'Ex(7)'!F12</f>
        <v>192390</v>
      </c>
      <c r="L6" s="82">
        <f t="shared" si="7"/>
        <v>332610</v>
      </c>
      <c r="M6" s="82">
        <f t="shared" si="8"/>
        <v>113087</v>
      </c>
      <c r="N6" s="82">
        <f t="shared" si="9"/>
        <v>219523</v>
      </c>
      <c r="O6" s="82">
        <f t="shared" si="10"/>
        <v>244800.00000000003</v>
      </c>
      <c r="P6" s="75" t="s">
        <v>203</v>
      </c>
      <c r="Q6" s="82">
        <f t="shared" si="11"/>
        <v>411913</v>
      </c>
      <c r="R6" s="82">
        <f t="shared" si="12"/>
        <v>-15300</v>
      </c>
      <c r="S6" s="3"/>
      <c r="T6" s="1">
        <v>3</v>
      </c>
      <c r="U6" s="82">
        <f t="shared" si="0"/>
        <v>396613</v>
      </c>
      <c r="V6" s="82">
        <f>SUM($U$3:U6)</f>
        <v>-187249</v>
      </c>
      <c r="W6">
        <v>3</v>
      </c>
      <c r="AA6" s="1" t="s">
        <v>31</v>
      </c>
      <c r="AB6" s="79">
        <v>400</v>
      </c>
      <c r="AC6" s="79">
        <v>-100</v>
      </c>
    </row>
    <row r="7" spans="1:29" x14ac:dyDescent="0.75">
      <c r="A7" s="32">
        <v>2</v>
      </c>
      <c r="B7" s="7">
        <v>15000</v>
      </c>
      <c r="D7" s="1">
        <v>4</v>
      </c>
      <c r="E7" s="68">
        <f t="shared" si="1"/>
        <v>16500</v>
      </c>
      <c r="F7" s="82">
        <f t="shared" si="2"/>
        <v>90</v>
      </c>
      <c r="G7" s="82">
        <f t="shared" si="3"/>
        <v>1485000</v>
      </c>
      <c r="H7" s="82">
        <f t="shared" si="4"/>
        <v>55</v>
      </c>
      <c r="I7" s="82">
        <f t="shared" si="5"/>
        <v>907500</v>
      </c>
      <c r="J7" s="138">
        <f t="shared" si="6"/>
        <v>35000</v>
      </c>
      <c r="K7" s="82">
        <f>$B$21*'Ex(7)'!F13</f>
        <v>137390</v>
      </c>
      <c r="L7" s="82">
        <f t="shared" si="7"/>
        <v>405110</v>
      </c>
      <c r="M7" s="82">
        <f t="shared" si="8"/>
        <v>137737</v>
      </c>
      <c r="N7" s="82">
        <f t="shared" si="9"/>
        <v>267373</v>
      </c>
      <c r="O7" s="82">
        <f t="shared" si="10"/>
        <v>252450.00000000003</v>
      </c>
      <c r="P7" s="75" t="s">
        <v>203</v>
      </c>
      <c r="Q7" s="82">
        <f t="shared" si="11"/>
        <v>404763</v>
      </c>
      <c r="R7" s="82">
        <f t="shared" si="12"/>
        <v>-7650</v>
      </c>
      <c r="S7" s="3"/>
      <c r="T7" s="10">
        <v>4</v>
      </c>
      <c r="U7" s="82">
        <f t="shared" si="0"/>
        <v>397113</v>
      </c>
      <c r="V7" s="82">
        <f>SUM($U$3:U7)</f>
        <v>209864</v>
      </c>
      <c r="W7">
        <v>4</v>
      </c>
      <c r="AA7" s="1" t="s">
        <v>32</v>
      </c>
      <c r="AB7" s="79">
        <v>500</v>
      </c>
      <c r="AC7" s="79">
        <v>400</v>
      </c>
    </row>
    <row r="8" spans="1:29" x14ac:dyDescent="0.75">
      <c r="A8" s="32">
        <v>3</v>
      </c>
      <c r="B8" s="7">
        <v>16000</v>
      </c>
      <c r="D8" s="1">
        <v>5</v>
      </c>
      <c r="E8" s="68">
        <f t="shared" si="1"/>
        <v>16000</v>
      </c>
      <c r="F8" s="82">
        <f t="shared" si="2"/>
        <v>80</v>
      </c>
      <c r="G8" s="82">
        <f t="shared" si="3"/>
        <v>1280000</v>
      </c>
      <c r="H8" s="82">
        <f t="shared" si="4"/>
        <v>55</v>
      </c>
      <c r="I8" s="82">
        <f t="shared" si="5"/>
        <v>880000</v>
      </c>
      <c r="J8" s="138">
        <f t="shared" si="6"/>
        <v>35000</v>
      </c>
      <c r="K8" s="82">
        <f>$B$21*'Ex(7)'!F14</f>
        <v>98230</v>
      </c>
      <c r="L8" s="82">
        <f t="shared" si="7"/>
        <v>266770</v>
      </c>
      <c r="M8" s="82">
        <f t="shared" si="8"/>
        <v>90702</v>
      </c>
      <c r="N8" s="82">
        <f t="shared" si="9"/>
        <v>176068</v>
      </c>
      <c r="O8" s="82">
        <f t="shared" si="10"/>
        <v>217600.00000000003</v>
      </c>
      <c r="P8" s="75" t="s">
        <v>203</v>
      </c>
      <c r="Q8" s="82">
        <f t="shared" si="11"/>
        <v>274298</v>
      </c>
      <c r="R8" s="82">
        <f t="shared" si="12"/>
        <v>34850</v>
      </c>
      <c r="S8" s="3"/>
      <c r="T8" s="1">
        <v>5</v>
      </c>
      <c r="U8" s="82">
        <f t="shared" si="0"/>
        <v>309148</v>
      </c>
      <c r="V8" s="82">
        <f>SUM($U$3:U8)</f>
        <v>519012</v>
      </c>
      <c r="W8">
        <v>5</v>
      </c>
      <c r="AA8" s="1" t="s">
        <v>208</v>
      </c>
      <c r="AB8" s="79">
        <v>200</v>
      </c>
      <c r="AC8" s="79">
        <v>600</v>
      </c>
    </row>
    <row r="9" spans="1:29" x14ac:dyDescent="0.75">
      <c r="A9" s="32">
        <v>4</v>
      </c>
      <c r="B9" s="7">
        <v>16500</v>
      </c>
      <c r="D9" s="1">
        <v>6</v>
      </c>
      <c r="E9" s="68">
        <f t="shared" si="1"/>
        <v>15000</v>
      </c>
      <c r="F9" s="82">
        <f t="shared" si="2"/>
        <v>80</v>
      </c>
      <c r="G9" s="82">
        <f t="shared" si="3"/>
        <v>1200000</v>
      </c>
      <c r="H9" s="82">
        <f t="shared" si="4"/>
        <v>60</v>
      </c>
      <c r="I9" s="82">
        <f t="shared" si="5"/>
        <v>900000</v>
      </c>
      <c r="J9" s="138">
        <f t="shared" si="6"/>
        <v>35000</v>
      </c>
      <c r="K9" s="82">
        <f>$B$21*'Ex(7)'!F15</f>
        <v>98120</v>
      </c>
      <c r="L9" s="82">
        <f t="shared" si="7"/>
        <v>166880</v>
      </c>
      <c r="M9" s="82">
        <f t="shared" si="8"/>
        <v>56739</v>
      </c>
      <c r="N9" s="82">
        <f t="shared" si="9"/>
        <v>110141</v>
      </c>
      <c r="O9" s="82">
        <f t="shared" si="10"/>
        <v>204000.00000000003</v>
      </c>
      <c r="P9" s="75" t="s">
        <v>203</v>
      </c>
      <c r="Q9" s="82">
        <f t="shared" si="11"/>
        <v>208261</v>
      </c>
      <c r="R9" s="82">
        <f t="shared" si="12"/>
        <v>13600</v>
      </c>
      <c r="S9" s="3"/>
      <c r="T9" s="10">
        <v>6</v>
      </c>
      <c r="U9" s="82">
        <f t="shared" si="0"/>
        <v>221861</v>
      </c>
      <c r="V9" s="82">
        <f>SUM($U$3:U9)</f>
        <v>740873</v>
      </c>
      <c r="W9">
        <v>6</v>
      </c>
      <c r="AA9" s="1" t="s">
        <v>209</v>
      </c>
      <c r="AB9" s="79">
        <v>500</v>
      </c>
      <c r="AC9" s="79">
        <v>1100</v>
      </c>
    </row>
    <row r="10" spans="1:29" x14ac:dyDescent="0.75">
      <c r="A10" s="32">
        <v>5</v>
      </c>
      <c r="B10" s="7">
        <v>16000</v>
      </c>
      <c r="D10" s="1">
        <v>7</v>
      </c>
      <c r="E10" s="68">
        <f t="shared" si="1"/>
        <v>14000</v>
      </c>
      <c r="F10" s="82">
        <f t="shared" si="2"/>
        <v>80</v>
      </c>
      <c r="G10" s="82">
        <f t="shared" si="3"/>
        <v>1120000</v>
      </c>
      <c r="H10" s="82">
        <f t="shared" si="4"/>
        <v>60</v>
      </c>
      <c r="I10" s="82">
        <f t="shared" si="5"/>
        <v>840000</v>
      </c>
      <c r="J10" s="138">
        <f t="shared" si="6"/>
        <v>35000</v>
      </c>
      <c r="K10" s="82">
        <f>$B$21*'Ex(7)'!F16</f>
        <v>98230</v>
      </c>
      <c r="L10" s="82">
        <f t="shared" si="7"/>
        <v>146770</v>
      </c>
      <c r="M10" s="82">
        <f t="shared" si="8"/>
        <v>49902</v>
      </c>
      <c r="N10" s="82">
        <f t="shared" si="9"/>
        <v>96868</v>
      </c>
      <c r="O10" s="82">
        <f t="shared" si="10"/>
        <v>190400</v>
      </c>
      <c r="P10" s="75" t="s">
        <v>203</v>
      </c>
      <c r="Q10" s="82">
        <f t="shared" si="11"/>
        <v>195098</v>
      </c>
      <c r="R10" s="82">
        <f t="shared" si="12"/>
        <v>13600.000000000029</v>
      </c>
      <c r="S10" s="3"/>
      <c r="T10" s="1">
        <v>7</v>
      </c>
      <c r="U10" s="82">
        <f t="shared" si="0"/>
        <v>208698.00000000003</v>
      </c>
      <c r="V10" s="82">
        <f>SUM($U$3:U10)</f>
        <v>949571</v>
      </c>
      <c r="W10">
        <v>7</v>
      </c>
      <c r="AA10" s="1" t="s">
        <v>210</v>
      </c>
      <c r="AB10" s="79">
        <v>0</v>
      </c>
      <c r="AC10" s="79">
        <v>1100</v>
      </c>
    </row>
    <row r="11" spans="1:29" x14ac:dyDescent="0.75">
      <c r="A11" s="32">
        <v>6</v>
      </c>
      <c r="B11" s="7">
        <v>15000</v>
      </c>
      <c r="D11" s="1">
        <v>8</v>
      </c>
      <c r="E11" s="68">
        <f t="shared" si="1"/>
        <v>13000</v>
      </c>
      <c r="F11" s="82">
        <f t="shared" si="2"/>
        <v>80</v>
      </c>
      <c r="G11" s="82">
        <f t="shared" si="3"/>
        <v>1040000</v>
      </c>
      <c r="H11" s="82">
        <f t="shared" si="4"/>
        <v>60</v>
      </c>
      <c r="I11" s="82">
        <f t="shared" si="5"/>
        <v>780000</v>
      </c>
      <c r="J11" s="138">
        <f t="shared" si="6"/>
        <v>35000</v>
      </c>
      <c r="K11" s="82">
        <f>$B$21*'Ex(7)'!F17</f>
        <v>49060</v>
      </c>
      <c r="L11" s="82">
        <f t="shared" si="7"/>
        <v>175940</v>
      </c>
      <c r="M11" s="82">
        <f t="shared" si="8"/>
        <v>59820</v>
      </c>
      <c r="N11" s="82">
        <f t="shared" si="9"/>
        <v>116120</v>
      </c>
      <c r="O11" s="82">
        <f t="shared" si="10"/>
        <v>176800</v>
      </c>
      <c r="P11" s="75" t="s">
        <v>203</v>
      </c>
      <c r="Q11" s="82">
        <f t="shared" si="11"/>
        <v>165180</v>
      </c>
      <c r="R11" s="82">
        <f>-O11+O10+O11</f>
        <v>190400</v>
      </c>
      <c r="S11" s="3">
        <f>B29</f>
        <v>72599.999999999985</v>
      </c>
      <c r="T11" s="10">
        <v>8</v>
      </c>
      <c r="U11" s="82">
        <f t="shared" si="0"/>
        <v>428180</v>
      </c>
      <c r="V11" s="82">
        <f>SUM($U$3:U11)</f>
        <v>1377751</v>
      </c>
      <c r="W11">
        <v>8</v>
      </c>
      <c r="AA11" s="1" t="s">
        <v>211</v>
      </c>
      <c r="AB11" s="79">
        <v>0</v>
      </c>
      <c r="AC11" s="79">
        <v>1100</v>
      </c>
    </row>
    <row r="12" spans="1:29" x14ac:dyDescent="0.75">
      <c r="A12" s="32">
        <v>7</v>
      </c>
      <c r="B12" s="7">
        <v>14000</v>
      </c>
    </row>
    <row r="13" spans="1:29" x14ac:dyDescent="0.75">
      <c r="A13" s="32">
        <v>8</v>
      </c>
      <c r="B13" s="7">
        <v>13000</v>
      </c>
      <c r="J13" t="s">
        <v>29</v>
      </c>
      <c r="K13" s="8">
        <f>SUM(K4:K11)</f>
        <v>1100000</v>
      </c>
      <c r="T13" s="1" t="s">
        <v>18</v>
      </c>
      <c r="U13" s="29">
        <f>NPV(B30,U4:U11)+U3</f>
        <v>51622.677623933181</v>
      </c>
      <c r="AB13" s="1" t="s">
        <v>19</v>
      </c>
      <c r="AC13" s="12">
        <f ca="1">LOOKUP(0,AC4:AC11,ROW(INDIRECT("1:"&amp;ROWS(AC4:AC11)))-1-AC4:AC11/AB5:AB11)</f>
        <v>2.2000000000000002</v>
      </c>
    </row>
    <row r="14" spans="1:29" x14ac:dyDescent="0.75">
      <c r="J14" t="s">
        <v>322</v>
      </c>
      <c r="T14" s="1" t="s">
        <v>13</v>
      </c>
      <c r="U14" s="77">
        <f>IRR(U3:U11)</f>
        <v>0.21464481888807097</v>
      </c>
    </row>
    <row r="15" spans="1:29" x14ac:dyDescent="0.75">
      <c r="A15" s="31" t="s">
        <v>190</v>
      </c>
      <c r="B15" s="37">
        <v>55</v>
      </c>
      <c r="T15" s="1" t="s">
        <v>19</v>
      </c>
      <c r="U15" s="78">
        <f>W6-V6/U7</f>
        <v>3.4715257370068469</v>
      </c>
      <c r="AB15" s="32" t="s">
        <v>217</v>
      </c>
      <c r="AC15" s="12">
        <f>COUNTIF(AC5:AC11,"&lt;=0")-LOOKUP(2,1/(AC5:AC11&lt;=0),AC5:AC11)/INDEX(AB5:AB11,MATCH(2,INDEX(1/(AC5:AC11&lt;=0),))+1)</f>
        <v>2.2000000000000002</v>
      </c>
    </row>
    <row r="16" spans="1:29" x14ac:dyDescent="0.75">
      <c r="A16" s="31" t="s">
        <v>218</v>
      </c>
      <c r="B16" s="1">
        <v>5</v>
      </c>
      <c r="AC16" s="12">
        <f>COUNTIF(AC5:AC11,"&lt;=0")-LOOKUP(9.99999999999999E+307,1/(AC5:AC11&lt;=0),AC5:AC11)/INDEX(AB5:AB11,MATCH(9.99999999999999E+307,INDEX(1/(AC5:AC11&lt;=0),))+1)</f>
        <v>2.2000000000000002</v>
      </c>
    </row>
    <row r="17" spans="1:29" x14ac:dyDescent="0.75">
      <c r="A17" s="31" t="str">
        <f>"Cost after year "&amp;B16</f>
        <v>Cost after year 5</v>
      </c>
      <c r="B17" s="37">
        <v>60</v>
      </c>
      <c r="AB17" s="32" t="s">
        <v>1</v>
      </c>
      <c r="AC17" s="12">
        <f>COUNTIF(AC5:AC11,"&lt;=0")</f>
        <v>2</v>
      </c>
    </row>
    <row r="18" spans="1:29" x14ac:dyDescent="0.75">
      <c r="A18" s="31" t="s">
        <v>189</v>
      </c>
      <c r="B18" s="37">
        <v>35000</v>
      </c>
      <c r="AB18" s="32" t="s">
        <v>212</v>
      </c>
      <c r="AC18" s="12">
        <f>-LOOKUP(2,1/(AC5:AC11&lt;=0),AC5:AC11)</f>
        <v>100</v>
      </c>
    </row>
    <row r="19" spans="1:29" x14ac:dyDescent="0.75">
      <c r="A19" s="31" t="s">
        <v>188</v>
      </c>
      <c r="B19" s="37">
        <v>15000</v>
      </c>
      <c r="AB19" s="32" t="s">
        <v>213</v>
      </c>
      <c r="AC19" s="12">
        <f>INDEX(AB5:AB11,MATCH(2,INDEX(1/(AC5:AC11&lt;=0),))+1)</f>
        <v>500</v>
      </c>
    </row>
    <row r="20" spans="1:29" ht="44.25" x14ac:dyDescent="0.75">
      <c r="A20" s="31" t="str">
        <f>"NWC requirement during each year is "&amp;TEXT(B20,"0.00%")&amp;" of previous year's estimated sales."</f>
        <v>NWC requirement during each year is 17.00% of previous year's estimated sales.</v>
      </c>
      <c r="B20" s="1">
        <v>0.17</v>
      </c>
      <c r="AB20" s="32" t="s">
        <v>214</v>
      </c>
      <c r="AC20" s="12">
        <f>COUNTIF(AC5:AC11,0)</f>
        <v>0</v>
      </c>
    </row>
    <row r="21" spans="1:29" x14ac:dyDescent="0.75">
      <c r="A21" s="31" t="s">
        <v>192</v>
      </c>
      <c r="B21" s="37">
        <v>1100000</v>
      </c>
      <c r="AB21" s="32" t="s">
        <v>19</v>
      </c>
      <c r="AC21" s="12">
        <f>AC17+AC18/AC19</f>
        <v>2.2000000000000002</v>
      </c>
    </row>
    <row r="22" spans="1:29" x14ac:dyDescent="0.75">
      <c r="A22" s="31" t="s">
        <v>2</v>
      </c>
      <c r="B22" s="37" t="s">
        <v>35</v>
      </c>
    </row>
    <row r="23" spans="1:29" x14ac:dyDescent="0.75">
      <c r="A23" s="31" t="s">
        <v>191</v>
      </c>
      <c r="B23" s="1" t="s">
        <v>93</v>
      </c>
    </row>
    <row r="24" spans="1:29" x14ac:dyDescent="0.75">
      <c r="A24" s="31" t="s">
        <v>87</v>
      </c>
      <c r="B24" s="12" t="str" cm="1">
        <f t="array" ref="B24">_xlfn.XLOOKUP(B23,_xlfn.ANCHORARRAY('Ex(7an)'!A23),'Ex(7an)'!B23:B28)</f>
        <v>7-Year</v>
      </c>
    </row>
    <row r="25" spans="1:29" x14ac:dyDescent="0.75">
      <c r="A25" s="31" t="s">
        <v>193</v>
      </c>
      <c r="B25" s="1">
        <v>8</v>
      </c>
      <c r="D25" s="94" t="s">
        <v>333</v>
      </c>
    </row>
    <row r="26" spans="1:29" x14ac:dyDescent="0.75">
      <c r="A26" s="31" t="str">
        <f>"Value as % in "&amp;B25&amp;" years"</f>
        <v>Value as % in 8 years</v>
      </c>
      <c r="B26" s="1">
        <v>0.1</v>
      </c>
    </row>
    <row r="27" spans="1:29" x14ac:dyDescent="0.75">
      <c r="A27" s="31" t="s">
        <v>194</v>
      </c>
      <c r="B27" s="69">
        <f>B21*B26</f>
        <v>110000</v>
      </c>
      <c r="D27" s="72" t="s">
        <v>219</v>
      </c>
      <c r="E27" s="73"/>
      <c r="AB27" t="s">
        <v>215</v>
      </c>
      <c r="AC27">
        <v>1000</v>
      </c>
    </row>
    <row r="28" spans="1:29" ht="29.5" x14ac:dyDescent="0.75">
      <c r="A28" s="31" t="s">
        <v>195</v>
      </c>
      <c r="B28" s="1">
        <v>0.34</v>
      </c>
      <c r="D28" s="64" t="s">
        <v>168</v>
      </c>
      <c r="E28" s="64" t="s">
        <v>15</v>
      </c>
      <c r="F28" s="64" t="s">
        <v>200</v>
      </c>
      <c r="G28" s="64" t="s">
        <v>85</v>
      </c>
      <c r="H28" s="64" t="s">
        <v>207</v>
      </c>
      <c r="I28" s="64" t="s">
        <v>49</v>
      </c>
      <c r="J28" s="64" t="s">
        <v>197</v>
      </c>
      <c r="K28" s="64" t="s">
        <v>198</v>
      </c>
      <c r="L28" s="64" t="s">
        <v>10</v>
      </c>
      <c r="M28" s="64" t="s">
        <v>52</v>
      </c>
      <c r="N28" s="31" t="s">
        <v>201</v>
      </c>
      <c r="O28" s="31" t="s">
        <v>320</v>
      </c>
      <c r="P28" s="71" t="s">
        <v>203</v>
      </c>
      <c r="Q28" s="31" t="s">
        <v>17</v>
      </c>
      <c r="R28" s="64" t="s">
        <v>202</v>
      </c>
      <c r="S28" s="76" t="s">
        <v>204</v>
      </c>
      <c r="T28" s="31" t="s">
        <v>220</v>
      </c>
      <c r="U28" s="76" t="s">
        <v>205</v>
      </c>
      <c r="V28" s="76" t="s">
        <v>206</v>
      </c>
    </row>
    <row r="29" spans="1:29" x14ac:dyDescent="0.75">
      <c r="A29" s="31" t="s">
        <v>321</v>
      </c>
      <c r="B29" s="12">
        <f>B27*(1-B28)</f>
        <v>72599.999999999985</v>
      </c>
      <c r="D29" s="1">
        <v>0</v>
      </c>
      <c r="E29" s="6"/>
      <c r="F29" s="6"/>
      <c r="G29" s="6"/>
      <c r="H29" s="6"/>
      <c r="I29" s="6"/>
      <c r="J29" s="6"/>
      <c r="K29" s="6"/>
      <c r="L29" s="6"/>
      <c r="M29" s="6"/>
      <c r="N29" s="6"/>
      <c r="O29" s="138">
        <f>B19</f>
        <v>15000</v>
      </c>
      <c r="P29" s="6"/>
      <c r="Q29" s="6"/>
      <c r="R29" s="138">
        <f>-O29</f>
        <v>-15000</v>
      </c>
      <c r="S29" s="138">
        <f>-B21</f>
        <v>-1100000</v>
      </c>
      <c r="T29" s="10">
        <v>0</v>
      </c>
      <c r="U29" s="82" cm="1">
        <f t="array" ref="U29:U37">_xlfn.BYROW(Q29:S37,_xleta.SUM)</f>
        <v>-1115000</v>
      </c>
      <c r="V29" s="82" cm="1">
        <f t="array" ref="V29:V37">_xlfn.SCAN(0,_xlfn.ANCHORARRAY(U29),_xleta.SUM)</f>
        <v>-1115000</v>
      </c>
      <c r="W29">
        <v>0</v>
      </c>
      <c r="AA29" s="1"/>
      <c r="AB29" s="64" t="s">
        <v>14</v>
      </c>
      <c r="AC29" s="64" t="s">
        <v>216</v>
      </c>
    </row>
    <row r="30" spans="1:29" x14ac:dyDescent="0.75">
      <c r="A30" s="31" t="s">
        <v>41</v>
      </c>
      <c r="B30" s="81">
        <v>0.2</v>
      </c>
      <c r="D30" s="1">
        <v>1</v>
      </c>
      <c r="E30" s="68" cm="1">
        <f t="array" ref="E30:E37">B6:B13</f>
        <v>13000</v>
      </c>
      <c r="F30" s="82" cm="1">
        <f t="array" ref="F30:F37">IF(D30:D37&gt;B2,B3,B1)</f>
        <v>90</v>
      </c>
      <c r="G30" s="82" cm="1">
        <f t="array" ref="G30:G37">_xlfn.ANCHORARRAY(E30)*_xlfn.ANCHORARRAY(F30)</f>
        <v>1170000</v>
      </c>
      <c r="H30" s="82" cm="1">
        <f t="array" ref="H30:H37">IF(D30:D37&gt;B16,B17,B15)</f>
        <v>55</v>
      </c>
      <c r="I30" s="82" cm="1">
        <f t="array" ref="I30:I37">_xlfn.ANCHORARRAY(H30)*_xlfn.ANCHORARRAY(E30)</f>
        <v>715000</v>
      </c>
      <c r="J30" s="138" cm="1">
        <f t="array" ref="J30:J37">_xlfn.SEQUENCE(ROWS(B6:B13),,B18,0)</f>
        <v>35000</v>
      </c>
      <c r="K30" s="138" cm="1">
        <f t="array" ref="K30:K37">_xlfn.XLOOKUP(B24,'Ex(7an)'!D9:F9,'Ex(7an)'!D10:F17)*B21</f>
        <v>157190</v>
      </c>
      <c r="L30" s="82" cm="1">
        <f t="array" ref="L30:L37">_xlfn.ANCHORARRAY(G30)-_xlfn.ANCHORARRAY(I30)-_xlfn.ANCHORARRAY(J30)-_xlfn.ANCHORARRAY(K30)</f>
        <v>262810</v>
      </c>
      <c r="M30" s="82" cm="1">
        <f t="array" ref="M30:M37">ROUND(_xlfn.ANCHORARRAY(L30)*B28,0)</f>
        <v>89355</v>
      </c>
      <c r="N30" s="82" cm="1">
        <f t="array" ref="N30:N37">_xlfn.ANCHORARRAY(L30)-_xlfn.ANCHORARRAY(M30)</f>
        <v>173455</v>
      </c>
      <c r="O30" s="82" cm="1">
        <f t="array" ref="O30:O37">_xlfn.ANCHORARRAY(G30)*B20</f>
        <v>198900</v>
      </c>
      <c r="P30" s="70" t="s">
        <v>203</v>
      </c>
      <c r="Q30" s="82" cm="1">
        <f t="array" ref="Q30:Q37">_xlfn.ANCHORARRAY(N30)+_xlfn.ANCHORARRAY(K30)</f>
        <v>330645</v>
      </c>
      <c r="R30" s="82">
        <f>O29-O30</f>
        <v>-183900</v>
      </c>
      <c r="S30" s="82"/>
      <c r="T30" s="1">
        <v>1</v>
      </c>
      <c r="U30" s="82">
        <v>146745</v>
      </c>
      <c r="V30" s="82">
        <v>-968255</v>
      </c>
      <c r="W30">
        <v>1</v>
      </c>
      <c r="AA30" s="1" t="s">
        <v>33</v>
      </c>
      <c r="AB30" s="79">
        <v>-1000</v>
      </c>
      <c r="AC30" s="79">
        <v>-1000</v>
      </c>
    </row>
    <row r="31" spans="1:29" x14ac:dyDescent="0.75">
      <c r="D31" s="1">
        <v>2</v>
      </c>
      <c r="E31" s="68">
        <v>15000</v>
      </c>
      <c r="F31" s="82">
        <v>90</v>
      </c>
      <c r="G31" s="82">
        <v>1350000</v>
      </c>
      <c r="H31" s="82">
        <v>55</v>
      </c>
      <c r="I31" s="82">
        <v>825000</v>
      </c>
      <c r="J31" s="138">
        <v>35000</v>
      </c>
      <c r="K31" s="138">
        <v>269390</v>
      </c>
      <c r="L31" s="82">
        <v>220610</v>
      </c>
      <c r="M31" s="82">
        <v>75007</v>
      </c>
      <c r="N31" s="82">
        <v>145603</v>
      </c>
      <c r="O31" s="82">
        <v>229500.00000000003</v>
      </c>
      <c r="P31" s="75" t="s">
        <v>203</v>
      </c>
      <c r="Q31" s="82">
        <v>414993</v>
      </c>
      <c r="R31" s="82">
        <f t="shared" ref="R31:R36" si="13">O30-O31</f>
        <v>-30600.000000000029</v>
      </c>
      <c r="S31" s="3"/>
      <c r="T31" s="10">
        <v>2</v>
      </c>
      <c r="U31" s="82">
        <v>384393</v>
      </c>
      <c r="V31" s="82">
        <v>-583862</v>
      </c>
      <c r="W31">
        <v>2</v>
      </c>
      <c r="AA31" s="1" t="s">
        <v>30</v>
      </c>
      <c r="AB31" s="79">
        <v>500</v>
      </c>
      <c r="AC31" s="79">
        <v>-500</v>
      </c>
    </row>
    <row r="32" spans="1:29" x14ac:dyDescent="0.75">
      <c r="D32" s="1">
        <v>3</v>
      </c>
      <c r="E32" s="68">
        <v>16000</v>
      </c>
      <c r="F32" s="82">
        <v>90</v>
      </c>
      <c r="G32" s="82">
        <v>1440000</v>
      </c>
      <c r="H32" s="82">
        <v>55</v>
      </c>
      <c r="I32" s="82">
        <v>880000</v>
      </c>
      <c r="J32" s="138">
        <v>35000</v>
      </c>
      <c r="K32" s="138">
        <v>192390</v>
      </c>
      <c r="L32" s="82">
        <v>332610</v>
      </c>
      <c r="M32" s="82">
        <v>113087</v>
      </c>
      <c r="N32" s="82">
        <v>219523</v>
      </c>
      <c r="O32" s="82">
        <v>244800.00000000003</v>
      </c>
      <c r="P32" s="75" t="s">
        <v>203</v>
      </c>
      <c r="Q32" s="82">
        <v>411913</v>
      </c>
      <c r="R32" s="82">
        <f t="shared" si="13"/>
        <v>-15300</v>
      </c>
      <c r="S32" s="3"/>
      <c r="T32" s="1">
        <v>3</v>
      </c>
      <c r="U32" s="82">
        <v>396613</v>
      </c>
      <c r="V32" s="82">
        <v>-187249</v>
      </c>
      <c r="W32">
        <v>3</v>
      </c>
      <c r="AA32" s="1" t="s">
        <v>31</v>
      </c>
      <c r="AB32" s="79">
        <v>400</v>
      </c>
      <c r="AC32" s="79">
        <v>-100</v>
      </c>
    </row>
    <row r="33" spans="4:29" x14ac:dyDescent="0.75">
      <c r="D33" s="1">
        <v>4</v>
      </c>
      <c r="E33" s="68">
        <v>16500</v>
      </c>
      <c r="F33" s="82">
        <v>90</v>
      </c>
      <c r="G33" s="82">
        <v>1485000</v>
      </c>
      <c r="H33" s="82">
        <v>55</v>
      </c>
      <c r="I33" s="82">
        <v>907500</v>
      </c>
      <c r="J33" s="138">
        <v>35000</v>
      </c>
      <c r="K33" s="138">
        <v>137390</v>
      </c>
      <c r="L33" s="82">
        <v>405110</v>
      </c>
      <c r="M33" s="82">
        <v>137737</v>
      </c>
      <c r="N33" s="82">
        <v>267373</v>
      </c>
      <c r="O33" s="82">
        <v>252450.00000000003</v>
      </c>
      <c r="P33" s="75" t="s">
        <v>203</v>
      </c>
      <c r="Q33" s="82">
        <v>404763</v>
      </c>
      <c r="R33" s="82">
        <f t="shared" si="13"/>
        <v>-7650</v>
      </c>
      <c r="S33" s="3"/>
      <c r="T33" s="10">
        <v>4</v>
      </c>
      <c r="U33" s="82">
        <v>397113</v>
      </c>
      <c r="V33" s="82">
        <v>209864</v>
      </c>
      <c r="W33">
        <v>4</v>
      </c>
      <c r="AA33" s="1" t="s">
        <v>32</v>
      </c>
      <c r="AB33" s="79">
        <v>500</v>
      </c>
      <c r="AC33" s="79">
        <v>400</v>
      </c>
    </row>
    <row r="34" spans="4:29" x14ac:dyDescent="0.75">
      <c r="D34" s="1">
        <v>5</v>
      </c>
      <c r="E34" s="68">
        <v>16000</v>
      </c>
      <c r="F34" s="82">
        <v>80</v>
      </c>
      <c r="G34" s="82">
        <v>1280000</v>
      </c>
      <c r="H34" s="82">
        <v>55</v>
      </c>
      <c r="I34" s="82">
        <v>880000</v>
      </c>
      <c r="J34" s="138">
        <v>35000</v>
      </c>
      <c r="K34" s="138">
        <v>98230</v>
      </c>
      <c r="L34" s="82">
        <v>266770</v>
      </c>
      <c r="M34" s="82">
        <v>90702</v>
      </c>
      <c r="N34" s="82">
        <v>176068</v>
      </c>
      <c r="O34" s="82">
        <v>217600.00000000003</v>
      </c>
      <c r="P34" s="75" t="s">
        <v>203</v>
      </c>
      <c r="Q34" s="82">
        <v>274298</v>
      </c>
      <c r="R34" s="82">
        <f t="shared" si="13"/>
        <v>34850</v>
      </c>
      <c r="S34" s="3"/>
      <c r="T34" s="1">
        <v>5</v>
      </c>
      <c r="U34" s="82">
        <v>309148</v>
      </c>
      <c r="V34" s="82">
        <v>519012</v>
      </c>
      <c r="W34">
        <v>5</v>
      </c>
      <c r="AA34" s="1" t="s">
        <v>208</v>
      </c>
      <c r="AB34" s="79">
        <v>200</v>
      </c>
      <c r="AC34" s="79">
        <v>600</v>
      </c>
    </row>
    <row r="35" spans="4:29" x14ac:dyDescent="0.75">
      <c r="D35" s="1">
        <v>6</v>
      </c>
      <c r="E35" s="68">
        <v>15000</v>
      </c>
      <c r="F35" s="82">
        <v>80</v>
      </c>
      <c r="G35" s="82">
        <v>1200000</v>
      </c>
      <c r="H35" s="82">
        <v>60</v>
      </c>
      <c r="I35" s="82">
        <v>900000</v>
      </c>
      <c r="J35" s="138">
        <v>35000</v>
      </c>
      <c r="K35" s="138">
        <v>98120</v>
      </c>
      <c r="L35" s="82">
        <v>166880</v>
      </c>
      <c r="M35" s="82">
        <v>56739</v>
      </c>
      <c r="N35" s="82">
        <v>110141</v>
      </c>
      <c r="O35" s="82">
        <v>204000.00000000003</v>
      </c>
      <c r="P35" s="75" t="s">
        <v>203</v>
      </c>
      <c r="Q35" s="82">
        <v>208261</v>
      </c>
      <c r="R35" s="82">
        <f t="shared" si="13"/>
        <v>13600</v>
      </c>
      <c r="S35" s="3"/>
      <c r="T35" s="10">
        <v>6</v>
      </c>
      <c r="U35" s="82">
        <v>221861</v>
      </c>
      <c r="V35" s="82">
        <v>740873</v>
      </c>
      <c r="W35">
        <v>6</v>
      </c>
      <c r="AA35" s="1" t="s">
        <v>209</v>
      </c>
      <c r="AB35" s="79">
        <v>500</v>
      </c>
      <c r="AC35" s="79">
        <v>1100</v>
      </c>
    </row>
    <row r="36" spans="4:29" x14ac:dyDescent="0.75">
      <c r="D36" s="1">
        <v>7</v>
      </c>
      <c r="E36" s="68">
        <v>14000</v>
      </c>
      <c r="F36" s="82">
        <v>80</v>
      </c>
      <c r="G36" s="82">
        <v>1120000</v>
      </c>
      <c r="H36" s="82">
        <v>60</v>
      </c>
      <c r="I36" s="82">
        <v>840000</v>
      </c>
      <c r="J36" s="138">
        <v>35000</v>
      </c>
      <c r="K36" s="138">
        <v>98230</v>
      </c>
      <c r="L36" s="82">
        <v>146770</v>
      </c>
      <c r="M36" s="82">
        <v>49902</v>
      </c>
      <c r="N36" s="82">
        <v>96868</v>
      </c>
      <c r="O36" s="82">
        <v>190400</v>
      </c>
      <c r="P36" s="75" t="s">
        <v>203</v>
      </c>
      <c r="Q36" s="82">
        <v>195098</v>
      </c>
      <c r="R36" s="82">
        <f t="shared" si="13"/>
        <v>13600.000000000029</v>
      </c>
      <c r="S36" s="3"/>
      <c r="T36" s="1">
        <v>7</v>
      </c>
      <c r="U36" s="82">
        <v>208698.00000000003</v>
      </c>
      <c r="V36" s="82">
        <v>949571</v>
      </c>
      <c r="W36">
        <v>7</v>
      </c>
      <c r="AA36" s="1" t="s">
        <v>210</v>
      </c>
      <c r="AB36" s="79">
        <v>0</v>
      </c>
      <c r="AC36" s="79">
        <v>1100</v>
      </c>
    </row>
    <row r="37" spans="4:29" x14ac:dyDescent="0.75">
      <c r="D37" s="1">
        <v>8</v>
      </c>
      <c r="E37" s="68">
        <v>13000</v>
      </c>
      <c r="F37" s="82">
        <v>80</v>
      </c>
      <c r="G37" s="82">
        <v>1040000</v>
      </c>
      <c r="H37" s="82">
        <v>60</v>
      </c>
      <c r="I37" s="82">
        <v>780000</v>
      </c>
      <c r="J37" s="138">
        <v>35000</v>
      </c>
      <c r="K37" s="138">
        <v>49060</v>
      </c>
      <c r="L37" s="82">
        <v>175940</v>
      </c>
      <c r="M37" s="82">
        <v>59820</v>
      </c>
      <c r="N37" s="82">
        <v>116120</v>
      </c>
      <c r="O37" s="82">
        <v>176800</v>
      </c>
      <c r="P37" s="75" t="s">
        <v>203</v>
      </c>
      <c r="Q37" s="82">
        <v>165180</v>
      </c>
      <c r="R37" s="82">
        <f>O36-O37+O37</f>
        <v>190400</v>
      </c>
      <c r="S37" s="3">
        <f>B29</f>
        <v>72599.999999999985</v>
      </c>
      <c r="T37" s="10">
        <v>8</v>
      </c>
      <c r="U37" s="82">
        <v>428180</v>
      </c>
      <c r="V37" s="82">
        <v>1377751</v>
      </c>
      <c r="W37">
        <v>8</v>
      </c>
      <c r="AA37" s="1" t="s">
        <v>211</v>
      </c>
      <c r="AB37" s="79">
        <v>0</v>
      </c>
      <c r="AC37" s="79">
        <v>1100</v>
      </c>
    </row>
    <row r="39" spans="4:29" x14ac:dyDescent="0.75">
      <c r="J39" t="s">
        <v>29</v>
      </c>
      <c r="K39" s="8">
        <f>SUM(K30:K37)</f>
        <v>1100000</v>
      </c>
      <c r="T39" s="1" t="s">
        <v>18</v>
      </c>
      <c r="U39" s="29">
        <f>NPV(B30,U30:U37)+U29</f>
        <v>51622.677623933181</v>
      </c>
      <c r="AB39" s="1" t="s">
        <v>19</v>
      </c>
      <c r="AC39" s="12">
        <f ca="1">LOOKUP(0,AC30:AC37,ROW(INDIRECT("1:"&amp;ROWS(AC30:AC37)))-1-AC30:AC37/AB31:AB37)</f>
        <v>2.2000000000000002</v>
      </c>
    </row>
    <row r="40" spans="4:29" x14ac:dyDescent="0.75">
      <c r="J40" t="s">
        <v>322</v>
      </c>
      <c r="T40" s="1" t="s">
        <v>13</v>
      </c>
      <c r="U40" s="77">
        <f>IRR(_xlfn.ANCHORARRAY(U29))</f>
        <v>0.21464481888807097</v>
      </c>
    </row>
    <row r="41" spans="4:29" x14ac:dyDescent="0.75">
      <c r="T41" s="1" t="s">
        <v>19</v>
      </c>
      <c r="U41" s="78">
        <f>W32+-V32/U33</f>
        <v>3.4715257370068469</v>
      </c>
      <c r="AB41" s="32" t="s">
        <v>217</v>
      </c>
      <c r="AC41" s="12">
        <f>COUNTIF(AC31:AC37,"&lt;=0")-LOOKUP(2,1/(AC31:AC37&lt;=0),AC31:AC37)/INDEX(AB31:AB37,MATCH(2,INDEX(1/(AC31:AC37&lt;=0),))+1)</f>
        <v>2.2000000000000002</v>
      </c>
    </row>
    <row r="42" spans="4:29" x14ac:dyDescent="0.75">
      <c r="T42" s="1" t="s">
        <v>19</v>
      </c>
      <c r="U42" s="78" cm="1">
        <f t="array" ref="U42">LOOKUP(0,_xlfn.ANCHORARRAY(V29),W29:W37-V29:V36/U30:U37)</f>
        <v>3.4715257370068469</v>
      </c>
      <c r="AC42" s="12">
        <f>COUNTIF(AC31:AC37,"&lt;=0")-LOOKUP(9.99999999999999E+307,1/(AC31:AC37&lt;=0),AC31:AC37)/INDEX(AB31:AB37,MATCH(9.99999999999999E+307,INDEX(1/(AC31:AC37&lt;=0),))+1)</f>
        <v>2.2000000000000002</v>
      </c>
    </row>
    <row r="43" spans="4:29" x14ac:dyDescent="0.75">
      <c r="AB43" s="32" t="s">
        <v>1</v>
      </c>
      <c r="AC43" s="12">
        <f>COUNTIF(AC31:AC37,"&lt;=0")</f>
        <v>2</v>
      </c>
    </row>
    <row r="44" spans="4:29" x14ac:dyDescent="0.75">
      <c r="AB44" s="32" t="s">
        <v>212</v>
      </c>
      <c r="AC44" s="12">
        <f>-LOOKUP(2,1/(AC31:AC37&lt;=0),AC31:AC37)</f>
        <v>100</v>
      </c>
    </row>
    <row r="45" spans="4:29" x14ac:dyDescent="0.75">
      <c r="AB45" s="32" t="s">
        <v>213</v>
      </c>
      <c r="AC45" s="12">
        <f>INDEX(AB31:AB37,MATCH(2,INDEX(1/(AC31:AC37&lt;=0),))+1)</f>
        <v>500</v>
      </c>
    </row>
    <row r="46" spans="4:29" x14ac:dyDescent="0.75">
      <c r="AB46" s="32" t="s">
        <v>214</v>
      </c>
      <c r="AC46" s="12">
        <f>COUNTIF(AC31:AC37,0)</f>
        <v>0</v>
      </c>
    </row>
    <row r="47" spans="4:29" x14ac:dyDescent="0.75">
      <c r="AB47" s="32" t="s">
        <v>19</v>
      </c>
      <c r="AC47" s="12">
        <f>AC43+AC44/AC45</f>
        <v>2.2000000000000002</v>
      </c>
    </row>
  </sheetData>
  <dataValidations disablePrompts="1" count="1">
    <dataValidation type="list" allowBlank="1" showInputMessage="1" showErrorMessage="1" sqref="B23" xr:uid="{00000000-0002-0000-1400-000000000000}">
      <formula1>Property</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00FF"/>
  </sheetPr>
  <dimension ref="A1:H11"/>
  <sheetViews>
    <sheetView zoomScale="115" zoomScaleNormal="115" workbookViewId="0"/>
  </sheetViews>
  <sheetFormatPr defaultRowHeight="14.75" x14ac:dyDescent="0.75"/>
  <cols>
    <col min="1" max="1" width="20.54296875" style="15" customWidth="1"/>
    <col min="2" max="2" width="12.08984375" bestFit="1" customWidth="1"/>
    <col min="3" max="3" width="1.86328125" customWidth="1"/>
    <col min="5" max="5" width="17.76953125" bestFit="1" customWidth="1"/>
    <col min="6" max="6" width="11.6796875" bestFit="1" customWidth="1"/>
    <col min="7" max="7" width="13.08984375" bestFit="1" customWidth="1"/>
    <col min="8" max="8" width="12.54296875" bestFit="1" customWidth="1"/>
  </cols>
  <sheetData>
    <row r="1" spans="1:8" ht="18.5" x14ac:dyDescent="0.9">
      <c r="A1" s="139" t="s">
        <v>291</v>
      </c>
    </row>
    <row r="2" spans="1:8" x14ac:dyDescent="0.75">
      <c r="A2" s="31" t="s">
        <v>0</v>
      </c>
      <c r="B2" s="17">
        <v>520000</v>
      </c>
      <c r="D2" s="64" t="s">
        <v>168</v>
      </c>
      <c r="E2" s="64" t="s">
        <v>17</v>
      </c>
      <c r="F2" s="64" t="s">
        <v>28</v>
      </c>
      <c r="G2" s="64" t="s">
        <v>204</v>
      </c>
      <c r="H2" s="64" t="s">
        <v>292</v>
      </c>
    </row>
    <row r="3" spans="1:8" x14ac:dyDescent="0.75">
      <c r="A3" s="31" t="s">
        <v>1</v>
      </c>
      <c r="B3" s="1">
        <v>5</v>
      </c>
      <c r="D3" s="1">
        <v>0</v>
      </c>
      <c r="E3" s="12"/>
      <c r="F3" s="19"/>
      <c r="G3" s="19"/>
      <c r="H3" s="19"/>
    </row>
    <row r="4" spans="1:8" x14ac:dyDescent="0.75">
      <c r="A4" s="31" t="s">
        <v>26</v>
      </c>
      <c r="B4" s="1" t="s">
        <v>3</v>
      </c>
      <c r="D4" s="1">
        <v>1</v>
      </c>
      <c r="E4" s="19"/>
      <c r="F4" s="12"/>
      <c r="G4" s="12"/>
      <c r="H4" s="19"/>
    </row>
    <row r="5" spans="1:8" x14ac:dyDescent="0.75">
      <c r="A5" s="31" t="s">
        <v>293</v>
      </c>
      <c r="B5" s="1">
        <v>0</v>
      </c>
      <c r="D5" s="1">
        <v>2</v>
      </c>
      <c r="E5" s="19"/>
      <c r="F5" s="12"/>
      <c r="G5" s="12"/>
      <c r="H5" s="19"/>
    </row>
    <row r="6" spans="1:8" x14ac:dyDescent="0.75">
      <c r="A6" s="31" t="s">
        <v>294</v>
      </c>
      <c r="B6" s="19"/>
      <c r="D6" s="1">
        <v>3</v>
      </c>
      <c r="E6" s="19"/>
      <c r="F6" s="12"/>
      <c r="G6" s="12"/>
      <c r="H6" s="19"/>
    </row>
    <row r="7" spans="1:8" x14ac:dyDescent="0.75">
      <c r="A7" s="31" t="s">
        <v>295</v>
      </c>
      <c r="B7" s="17">
        <v>40000</v>
      </c>
      <c r="D7" s="1">
        <v>4</v>
      </c>
      <c r="E7" s="19"/>
      <c r="F7" s="12"/>
      <c r="G7" s="12"/>
      <c r="H7" s="19"/>
    </row>
    <row r="8" spans="1:8" ht="44.25" x14ac:dyDescent="0.75">
      <c r="A8" s="31" t="s">
        <v>296</v>
      </c>
      <c r="B8" s="17">
        <v>160000</v>
      </c>
      <c r="D8" s="1">
        <v>5</v>
      </c>
      <c r="E8" s="19"/>
      <c r="F8" s="19"/>
      <c r="G8" s="19"/>
      <c r="H8" s="19"/>
    </row>
    <row r="9" spans="1:8" ht="29.5" x14ac:dyDescent="0.75">
      <c r="A9" s="31" t="s">
        <v>297</v>
      </c>
      <c r="B9" s="17">
        <v>35000</v>
      </c>
    </row>
    <row r="10" spans="1:8" x14ac:dyDescent="0.75">
      <c r="A10" s="31" t="s">
        <v>4</v>
      </c>
      <c r="B10" s="1">
        <v>0.35</v>
      </c>
      <c r="G10" s="109" t="s">
        <v>18</v>
      </c>
      <c r="H10" s="19"/>
    </row>
    <row r="11" spans="1:8" x14ac:dyDescent="0.75">
      <c r="A11" s="31" t="s">
        <v>41</v>
      </c>
      <c r="B11" s="1">
        <v>0.125</v>
      </c>
      <c r="G11" s="109" t="s">
        <v>13</v>
      </c>
      <c r="H11" s="7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H11"/>
  <sheetViews>
    <sheetView zoomScale="115" zoomScaleNormal="115" workbookViewId="0"/>
  </sheetViews>
  <sheetFormatPr defaultRowHeight="14.75" x14ac:dyDescent="0.75"/>
  <cols>
    <col min="1" max="1" width="20.54296875" style="15" customWidth="1"/>
    <col min="2" max="2" width="12.08984375" bestFit="1" customWidth="1"/>
    <col min="3" max="3" width="1.86328125" customWidth="1"/>
    <col min="5" max="5" width="12.08984375" bestFit="1" customWidth="1"/>
    <col min="6" max="6" width="11.6796875" bestFit="1" customWidth="1"/>
    <col min="7" max="7" width="13.08984375" bestFit="1" customWidth="1"/>
    <col min="8" max="8" width="12.54296875" bestFit="1" customWidth="1"/>
  </cols>
  <sheetData>
    <row r="1" spans="1:8" ht="18.5" x14ac:dyDescent="0.9">
      <c r="A1" s="139" t="s">
        <v>291</v>
      </c>
    </row>
    <row r="2" spans="1:8" x14ac:dyDescent="0.75">
      <c r="A2" s="31" t="s">
        <v>0</v>
      </c>
      <c r="B2" s="17">
        <v>520000</v>
      </c>
      <c r="D2" s="64" t="s">
        <v>168</v>
      </c>
      <c r="E2" s="64" t="s">
        <v>17</v>
      </c>
      <c r="F2" s="64" t="s">
        <v>28</v>
      </c>
      <c r="G2" s="64" t="s">
        <v>204</v>
      </c>
      <c r="H2" s="64" t="s">
        <v>292</v>
      </c>
    </row>
    <row r="3" spans="1:8" x14ac:dyDescent="0.75">
      <c r="A3" s="31" t="s">
        <v>1</v>
      </c>
      <c r="B3" s="1">
        <v>5</v>
      </c>
      <c r="D3" s="1">
        <v>0</v>
      </c>
      <c r="E3" s="12"/>
      <c r="F3" s="19">
        <f>B9</f>
        <v>35000</v>
      </c>
      <c r="G3" s="19">
        <f>-B2</f>
        <v>-520000</v>
      </c>
      <c r="H3" s="19">
        <f>SUM(E3:G3)</f>
        <v>-485000</v>
      </c>
    </row>
    <row r="4" spans="1:8" x14ac:dyDescent="0.75">
      <c r="A4" s="31" t="s">
        <v>26</v>
      </c>
      <c r="B4" s="1" t="s">
        <v>3</v>
      </c>
      <c r="D4" s="1">
        <v>1</v>
      </c>
      <c r="E4" s="19">
        <f>$B$8*(1-$B$10)+$B$6*$B$10</f>
        <v>140400</v>
      </c>
      <c r="F4" s="12"/>
      <c r="G4" s="12"/>
      <c r="H4" s="19">
        <f t="shared" ref="H4:H8" si="0">SUM(E4:G4)</f>
        <v>140400</v>
      </c>
    </row>
    <row r="5" spans="1:8" x14ac:dyDescent="0.75">
      <c r="A5" s="31" t="s">
        <v>293</v>
      </c>
      <c r="B5" s="1">
        <v>0</v>
      </c>
      <c r="D5" s="1">
        <v>2</v>
      </c>
      <c r="E5" s="19">
        <f t="shared" ref="E5:E8" si="1">$B$8*(1-$B$10)+$B$6*$B$10</f>
        <v>140400</v>
      </c>
      <c r="F5" s="12"/>
      <c r="G5" s="12"/>
      <c r="H5" s="19">
        <f t="shared" si="0"/>
        <v>140400</v>
      </c>
    </row>
    <row r="6" spans="1:8" x14ac:dyDescent="0.75">
      <c r="A6" s="31" t="s">
        <v>294</v>
      </c>
      <c r="B6" s="19">
        <f>(B2-B5)/B3</f>
        <v>104000</v>
      </c>
      <c r="D6" s="1">
        <v>3</v>
      </c>
      <c r="E6" s="19">
        <f t="shared" si="1"/>
        <v>140400</v>
      </c>
      <c r="F6" s="12"/>
      <c r="G6" s="12"/>
      <c r="H6" s="19">
        <f t="shared" si="0"/>
        <v>140400</v>
      </c>
    </row>
    <row r="7" spans="1:8" x14ac:dyDescent="0.75">
      <c r="A7" s="31" t="s">
        <v>295</v>
      </c>
      <c r="B7" s="17">
        <v>40000</v>
      </c>
      <c r="D7" s="1">
        <v>4</v>
      </c>
      <c r="E7" s="19">
        <f t="shared" si="1"/>
        <v>140400</v>
      </c>
      <c r="F7" s="12"/>
      <c r="G7" s="12"/>
      <c r="H7" s="19">
        <f t="shared" si="0"/>
        <v>140400</v>
      </c>
    </row>
    <row r="8" spans="1:8" ht="44.25" x14ac:dyDescent="0.75">
      <c r="A8" s="31" t="s">
        <v>296</v>
      </c>
      <c r="B8" s="17">
        <v>160000</v>
      </c>
      <c r="D8" s="1">
        <v>5</v>
      </c>
      <c r="E8" s="19">
        <f t="shared" si="1"/>
        <v>140400</v>
      </c>
      <c r="F8" s="19">
        <f>-F3</f>
        <v>-35000</v>
      </c>
      <c r="G8" s="19">
        <f>B7*(1-B10)</f>
        <v>26000</v>
      </c>
      <c r="H8" s="19">
        <f t="shared" si="0"/>
        <v>131400</v>
      </c>
    </row>
    <row r="9" spans="1:8" ht="29.5" x14ac:dyDescent="0.75">
      <c r="A9" s="31" t="s">
        <v>297</v>
      </c>
      <c r="B9" s="17">
        <v>35000</v>
      </c>
    </row>
    <row r="10" spans="1:8" x14ac:dyDescent="0.75">
      <c r="A10" s="31" t="s">
        <v>4</v>
      </c>
      <c r="B10" s="1">
        <v>0.35</v>
      </c>
      <c r="G10" s="109" t="s">
        <v>18</v>
      </c>
      <c r="H10" s="19">
        <f>NPV(B11,H4:H8)+H3</f>
        <v>9909.4345374180702</v>
      </c>
    </row>
    <row r="11" spans="1:8" x14ac:dyDescent="0.75">
      <c r="A11" s="31" t="s">
        <v>41</v>
      </c>
      <c r="B11" s="1">
        <v>0.125</v>
      </c>
      <c r="G11" s="109" t="s">
        <v>13</v>
      </c>
      <c r="H11" s="77">
        <f>IRR(H3:H8)</f>
        <v>0.13334691780149055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FF"/>
  </sheetPr>
  <dimension ref="A1:H32"/>
  <sheetViews>
    <sheetView zoomScale="85" zoomScaleNormal="85" workbookViewId="0"/>
  </sheetViews>
  <sheetFormatPr defaultRowHeight="14.75" x14ac:dyDescent="0.75"/>
  <cols>
    <col min="1" max="1" width="19.6796875" customWidth="1"/>
    <col min="2" max="2" width="15" bestFit="1" customWidth="1"/>
    <col min="3" max="3" width="1.76953125" customWidth="1"/>
    <col min="4" max="4" width="20.453125" customWidth="1"/>
    <col min="5" max="5" width="18.86328125" customWidth="1"/>
    <col min="6" max="6" width="1.76953125" customWidth="1"/>
    <col min="7" max="7" width="19.6796875" customWidth="1"/>
    <col min="8" max="8" width="14.31640625" bestFit="1" customWidth="1"/>
    <col min="9" max="9" width="1.76953125" customWidth="1"/>
    <col min="17" max="17" width="6.54296875" bestFit="1" customWidth="1"/>
    <col min="18" max="18" width="12.6796875" bestFit="1" customWidth="1"/>
  </cols>
  <sheetData>
    <row r="1" spans="1:8" s="95" customFormat="1" ht="26" x14ac:dyDescent="1.2">
      <c r="A1" s="119" t="s">
        <v>235</v>
      </c>
      <c r="D1" s="120" t="s">
        <v>237</v>
      </c>
      <c r="G1" s="121" t="s">
        <v>236</v>
      </c>
    </row>
    <row r="3" spans="1:8" ht="32" x14ac:dyDescent="0.8">
      <c r="A3" s="140" t="str">
        <f>"Range of Values +/- "&amp;TEXT(B3,"0.0%")</f>
        <v>Range of Values +/- 10.0%</v>
      </c>
      <c r="B3" s="123">
        <v>0.1</v>
      </c>
    </row>
    <row r="5" spans="1:8" x14ac:dyDescent="0.75">
      <c r="A5" s="64" t="s">
        <v>0</v>
      </c>
      <c r="B5" s="6">
        <f t="shared" ref="B5:B8" si="0">E5</f>
        <v>1200000</v>
      </c>
      <c r="D5" s="64" t="s">
        <v>0</v>
      </c>
      <c r="E5" s="6">
        <v>1200000</v>
      </c>
      <c r="G5" s="64" t="s">
        <v>0</v>
      </c>
      <c r="H5" s="6">
        <f t="shared" ref="H5:H8" si="1">E5</f>
        <v>1200000</v>
      </c>
    </row>
    <row r="6" spans="1:8" x14ac:dyDescent="0.75">
      <c r="A6" s="64" t="s">
        <v>1</v>
      </c>
      <c r="B6" s="1">
        <f t="shared" si="0"/>
        <v>5</v>
      </c>
      <c r="D6" s="64" t="s">
        <v>1</v>
      </c>
      <c r="E6" s="1">
        <v>5</v>
      </c>
      <c r="G6" s="64" t="s">
        <v>1</v>
      </c>
      <c r="H6" s="1">
        <f t="shared" si="1"/>
        <v>5</v>
      </c>
    </row>
    <row r="7" spans="1:8" x14ac:dyDescent="0.75">
      <c r="A7" s="64" t="s">
        <v>26</v>
      </c>
      <c r="B7" s="1" t="str">
        <f t="shared" si="0"/>
        <v>SL</v>
      </c>
      <c r="D7" s="64" t="s">
        <v>26</v>
      </c>
      <c r="E7" s="1" t="s">
        <v>3</v>
      </c>
      <c r="G7" s="64" t="s">
        <v>26</v>
      </c>
      <c r="H7" s="1" t="str">
        <f t="shared" si="1"/>
        <v>SL</v>
      </c>
    </row>
    <row r="8" spans="1:8" x14ac:dyDescent="0.75">
      <c r="A8" s="64" t="s">
        <v>229</v>
      </c>
      <c r="B8" s="1">
        <f t="shared" si="0"/>
        <v>0</v>
      </c>
      <c r="D8" s="64" t="s">
        <v>229</v>
      </c>
      <c r="E8" s="1">
        <v>0</v>
      </c>
      <c r="G8" s="64" t="s">
        <v>229</v>
      </c>
      <c r="H8" s="1">
        <f t="shared" si="1"/>
        <v>0</v>
      </c>
    </row>
    <row r="9" spans="1:8" x14ac:dyDescent="0.75">
      <c r="A9" s="64" t="s">
        <v>299</v>
      </c>
      <c r="B9" s="82"/>
      <c r="D9" s="64" t="s">
        <v>299</v>
      </c>
      <c r="E9" s="82"/>
      <c r="G9" s="64" t="s">
        <v>299</v>
      </c>
      <c r="H9" s="82"/>
    </row>
    <row r="10" spans="1:8" x14ac:dyDescent="0.75">
      <c r="A10" s="5" t="s">
        <v>272</v>
      </c>
      <c r="B10" s="124"/>
      <c r="D10" s="125" t="s">
        <v>272</v>
      </c>
      <c r="E10" s="126">
        <v>90000</v>
      </c>
      <c r="G10" s="127" t="s">
        <v>272</v>
      </c>
      <c r="H10" s="128"/>
    </row>
    <row r="11" spans="1:8" x14ac:dyDescent="0.75">
      <c r="A11" s="5" t="s">
        <v>16</v>
      </c>
      <c r="B11" s="124"/>
      <c r="D11" s="125" t="s">
        <v>16</v>
      </c>
      <c r="E11" s="130">
        <v>43</v>
      </c>
      <c r="G11" s="127" t="s">
        <v>16</v>
      </c>
      <c r="H11" s="128"/>
    </row>
    <row r="12" spans="1:8" x14ac:dyDescent="0.75">
      <c r="A12" s="5" t="s">
        <v>233</v>
      </c>
      <c r="B12" s="129"/>
      <c r="D12" s="125" t="s">
        <v>233</v>
      </c>
      <c r="E12" s="130">
        <v>29</v>
      </c>
      <c r="G12" s="127" t="s">
        <v>233</v>
      </c>
      <c r="H12" s="131"/>
    </row>
    <row r="13" spans="1:8" x14ac:dyDescent="0.75">
      <c r="A13" s="5" t="s">
        <v>234</v>
      </c>
      <c r="B13" s="129"/>
      <c r="D13" s="125" t="s">
        <v>234</v>
      </c>
      <c r="E13" s="130">
        <v>800000</v>
      </c>
      <c r="G13" s="127" t="s">
        <v>234</v>
      </c>
      <c r="H13" s="131"/>
    </row>
    <row r="14" spans="1:8" x14ac:dyDescent="0.75">
      <c r="A14" s="64" t="s">
        <v>4</v>
      </c>
      <c r="B14" s="1">
        <f t="shared" ref="B14:B16" si="2">E14</f>
        <v>0.35</v>
      </c>
      <c r="D14" s="64" t="s">
        <v>4</v>
      </c>
      <c r="E14" s="1">
        <v>0.35</v>
      </c>
      <c r="G14" s="64" t="s">
        <v>4</v>
      </c>
      <c r="H14" s="1">
        <f t="shared" ref="H14:H16" si="3">E14</f>
        <v>0.35</v>
      </c>
    </row>
    <row r="15" spans="1:8" x14ac:dyDescent="0.75">
      <c r="A15" s="64" t="s">
        <v>41</v>
      </c>
      <c r="B15" s="1">
        <f t="shared" si="2"/>
        <v>0.15</v>
      </c>
      <c r="D15" s="64" t="s">
        <v>41</v>
      </c>
      <c r="E15" s="1">
        <v>0.15</v>
      </c>
      <c r="G15" s="64" t="s">
        <v>41</v>
      </c>
      <c r="H15" s="1">
        <f t="shared" si="3"/>
        <v>0.15</v>
      </c>
    </row>
    <row r="16" spans="1:8" x14ac:dyDescent="0.75">
      <c r="A16" s="64" t="s">
        <v>28</v>
      </c>
      <c r="B16" s="7">
        <f t="shared" si="2"/>
        <v>10000</v>
      </c>
      <c r="D16" s="64" t="s">
        <v>323</v>
      </c>
      <c r="E16" s="7">
        <v>10000</v>
      </c>
      <c r="G16" s="64" t="s">
        <v>28</v>
      </c>
      <c r="H16" s="7">
        <f t="shared" si="3"/>
        <v>10000</v>
      </c>
    </row>
    <row r="18" spans="1:8" x14ac:dyDescent="0.75">
      <c r="A18" s="64" t="str">
        <f>"OCF: "&amp;A1&amp;" case."</f>
        <v>OCF: Pessimistic case.</v>
      </c>
      <c r="B18" s="83"/>
      <c r="D18" s="64" t="str">
        <f>"OCF: "&amp;D1&amp;" case."</f>
        <v>OCF: Base case.</v>
      </c>
      <c r="E18" s="83"/>
      <c r="G18" s="64" t="str">
        <f>"OCF: "&amp;G1&amp;" case."</f>
        <v>OCF: Optimistic case.</v>
      </c>
      <c r="H18" s="83"/>
    </row>
    <row r="19" spans="1:8" x14ac:dyDescent="0.75">
      <c r="A19" s="64" t="str">
        <f>"NPV: "&amp;A1&amp;" case."</f>
        <v>NPV: Pessimistic case.</v>
      </c>
      <c r="B19" s="83">
        <f>NPV(B15,B18,B18,B18,B18,B18+B16)-B5-B16</f>
        <v>-1201304.3478260869</v>
      </c>
      <c r="D19" s="64" t="str">
        <f>"NPV: "&amp;D1&amp;" case."</f>
        <v>NPV: Base case.</v>
      </c>
      <c r="E19" s="83"/>
      <c r="G19" s="64" t="str">
        <f>"NPV: "&amp;G1&amp;" case."</f>
        <v>NPV: Optimistic case.</v>
      </c>
      <c r="H19" s="83"/>
    </row>
    <row r="21" spans="1:8" ht="23.5" x14ac:dyDescent="1.1000000000000001">
      <c r="A21" s="132"/>
      <c r="B21" s="133"/>
      <c r="C21" s="133"/>
      <c r="D21" s="133"/>
      <c r="E21" s="133"/>
      <c r="F21" s="133"/>
      <c r="G21" s="133"/>
      <c r="H21" s="134"/>
    </row>
    <row r="23" spans="1:8" x14ac:dyDescent="0.75">
      <c r="A23" s="141" t="s">
        <v>161</v>
      </c>
      <c r="D23" s="64" t="s">
        <v>290</v>
      </c>
      <c r="E23" s="64" t="s">
        <v>27</v>
      </c>
    </row>
    <row r="24" spans="1:8" x14ac:dyDescent="0.75">
      <c r="A24" s="109" t="s">
        <v>325</v>
      </c>
      <c r="B24" s="109"/>
      <c r="D24" s="1">
        <v>0</v>
      </c>
      <c r="E24" s="11">
        <f>-E16-E5</f>
        <v>-1210000</v>
      </c>
    </row>
    <row r="25" spans="1:8" x14ac:dyDescent="0.75">
      <c r="A25" s="1" t="s">
        <v>7</v>
      </c>
      <c r="B25" s="83">
        <f>E10*E11</f>
        <v>3870000</v>
      </c>
      <c r="D25" s="1">
        <v>1</v>
      </c>
      <c r="E25" s="11">
        <f>$B$32</f>
        <v>299000</v>
      </c>
    </row>
    <row r="26" spans="1:8" x14ac:dyDescent="0.75">
      <c r="A26" s="1" t="s">
        <v>298</v>
      </c>
      <c r="B26" s="83">
        <f>E10*E12</f>
        <v>2610000</v>
      </c>
      <c r="D26" s="1">
        <v>2</v>
      </c>
      <c r="E26" s="11">
        <f t="shared" ref="E26:E29" si="4">$B$32</f>
        <v>299000</v>
      </c>
    </row>
    <row r="27" spans="1:8" x14ac:dyDescent="0.75">
      <c r="A27" s="1" t="s">
        <v>197</v>
      </c>
      <c r="B27" s="83">
        <f>E13</f>
        <v>800000</v>
      </c>
      <c r="D27" s="1">
        <v>3</v>
      </c>
      <c r="E27" s="11">
        <f t="shared" si="4"/>
        <v>299000</v>
      </c>
    </row>
    <row r="28" spans="1:8" x14ac:dyDescent="0.75">
      <c r="A28" s="1" t="s">
        <v>198</v>
      </c>
      <c r="B28" s="83">
        <f>E9</f>
        <v>0</v>
      </c>
      <c r="D28" s="1">
        <v>4</v>
      </c>
      <c r="E28" s="11">
        <f t="shared" si="4"/>
        <v>299000</v>
      </c>
    </row>
    <row r="29" spans="1:8" x14ac:dyDescent="0.75">
      <c r="A29" s="1" t="s">
        <v>10</v>
      </c>
      <c r="B29" s="83">
        <f>B25-SUM(B26:B28)</f>
        <v>460000</v>
      </c>
      <c r="D29" s="1">
        <v>5</v>
      </c>
      <c r="E29" s="11">
        <f t="shared" si="4"/>
        <v>299000</v>
      </c>
    </row>
    <row r="30" spans="1:8" x14ac:dyDescent="0.75">
      <c r="A30" s="1" t="s">
        <v>11</v>
      </c>
      <c r="B30" s="83">
        <f>B29*E14</f>
        <v>161000</v>
      </c>
      <c r="E30" s="8"/>
    </row>
    <row r="31" spans="1:8" x14ac:dyDescent="0.75">
      <c r="A31" s="1" t="s">
        <v>324</v>
      </c>
      <c r="B31" s="83">
        <f>B29-B30</f>
        <v>299000</v>
      </c>
    </row>
    <row r="32" spans="1:8" x14ac:dyDescent="0.75">
      <c r="A32" s="1" t="s">
        <v>17</v>
      </c>
      <c r="B32" s="83">
        <f>B31+B28</f>
        <v>299000</v>
      </c>
      <c r="D32" s="1" t="s">
        <v>18</v>
      </c>
      <c r="E32" s="83">
        <f>NPV(E15,E25:E29)+E24</f>
        <v>-207705.62569459062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00FF"/>
  </sheetPr>
  <dimension ref="B1:G15"/>
  <sheetViews>
    <sheetView zoomScale="85" zoomScaleNormal="85" workbookViewId="0"/>
  </sheetViews>
  <sheetFormatPr defaultRowHeight="14.75" x14ac:dyDescent="0.75"/>
  <cols>
    <col min="1" max="1" width="1.76953125" customWidth="1"/>
    <col min="2" max="2" width="27.31640625" customWidth="1"/>
    <col min="3" max="3" width="18.86328125" customWidth="1"/>
    <col min="4" max="4" width="1.76953125" customWidth="1"/>
    <col min="6" max="6" width="9.54296875" bestFit="1" customWidth="1"/>
    <col min="7" max="7" width="9.6796875" bestFit="1" customWidth="1"/>
  </cols>
  <sheetData>
    <row r="1" spans="2:7" x14ac:dyDescent="0.75">
      <c r="B1" s="64" t="s">
        <v>0</v>
      </c>
      <c r="C1" s="6">
        <v>1200000</v>
      </c>
    </row>
    <row r="2" spans="2:7" x14ac:dyDescent="0.75">
      <c r="B2" s="64" t="s">
        <v>1</v>
      </c>
      <c r="C2" s="1">
        <v>5</v>
      </c>
    </row>
    <row r="3" spans="2:7" x14ac:dyDescent="0.75">
      <c r="B3" s="64" t="s">
        <v>26</v>
      </c>
      <c r="C3" s="1" t="s">
        <v>3</v>
      </c>
    </row>
    <row r="4" spans="2:7" x14ac:dyDescent="0.75">
      <c r="B4" s="64" t="s">
        <v>229</v>
      </c>
      <c r="C4" s="1">
        <v>0</v>
      </c>
    </row>
    <row r="5" spans="2:7" x14ac:dyDescent="0.75">
      <c r="B5" s="64" t="s">
        <v>299</v>
      </c>
      <c r="C5" s="82">
        <f>(C1-C4)/C2</f>
        <v>240000</v>
      </c>
      <c r="F5" s="64" t="s">
        <v>326</v>
      </c>
      <c r="G5" s="64" t="s">
        <v>236</v>
      </c>
    </row>
    <row r="6" spans="2:7" x14ac:dyDescent="0.75">
      <c r="B6" s="125" t="s">
        <v>272</v>
      </c>
      <c r="C6" s="126">
        <v>99000</v>
      </c>
      <c r="F6" s="1">
        <v>81000</v>
      </c>
      <c r="G6" s="1">
        <v>99000.000000000015</v>
      </c>
    </row>
    <row r="7" spans="2:7" x14ac:dyDescent="0.75">
      <c r="B7" s="125" t="s">
        <v>16</v>
      </c>
      <c r="C7" s="130">
        <v>47.3</v>
      </c>
      <c r="F7" s="1">
        <v>38.700000000000003</v>
      </c>
      <c r="G7" s="1">
        <v>47.300000000000004</v>
      </c>
    </row>
    <row r="8" spans="2:7" x14ac:dyDescent="0.75">
      <c r="B8" s="125" t="s">
        <v>233</v>
      </c>
      <c r="C8" s="130">
        <v>26.1</v>
      </c>
      <c r="F8" s="1">
        <v>31.900000000000002</v>
      </c>
      <c r="G8" s="1">
        <v>26.1</v>
      </c>
    </row>
    <row r="9" spans="2:7" x14ac:dyDescent="0.75">
      <c r="B9" s="125" t="s">
        <v>234</v>
      </c>
      <c r="C9" s="130">
        <v>720000</v>
      </c>
      <c r="F9" s="1">
        <v>880000.00000000012</v>
      </c>
      <c r="G9" s="1">
        <v>720000</v>
      </c>
    </row>
    <row r="10" spans="2:7" x14ac:dyDescent="0.75">
      <c r="B10" s="64" t="s">
        <v>4</v>
      </c>
      <c r="C10" s="1">
        <v>0.35</v>
      </c>
    </row>
    <row r="11" spans="2:7" x14ac:dyDescent="0.75">
      <c r="B11" s="64" t="s">
        <v>41</v>
      </c>
      <c r="C11" s="1">
        <v>0.15</v>
      </c>
    </row>
    <row r="12" spans="2:7" x14ac:dyDescent="0.75">
      <c r="B12" s="64" t="s">
        <v>323</v>
      </c>
      <c r="C12" s="7">
        <v>10000</v>
      </c>
    </row>
    <row r="14" spans="2:7" x14ac:dyDescent="0.75">
      <c r="B14" s="64" t="s">
        <v>17</v>
      </c>
      <c r="C14" s="83">
        <f>((C7-C8)*C6-C9)*(1-C10)+C5*C10</f>
        <v>980219.99999999977</v>
      </c>
    </row>
    <row r="15" spans="2:7" x14ac:dyDescent="0.75">
      <c r="B15" s="64" t="s">
        <v>18</v>
      </c>
      <c r="C15" s="83">
        <f>NPV(C11,C14,C14,C14,C14,C14+C12)-C1-C12</f>
        <v>2080821.2375257192</v>
      </c>
    </row>
  </sheetData>
  <scenarios current="2" show="2">
    <scenario name="Base" locked="1" count="8" user="Michael Girvin" comment="Created by Michael Girvin on 11/14/2010">
      <inputCells r="B6" val="Unit Sales per year"/>
      <inputCells r="C6" val="90000" numFmtId="3"/>
      <inputCells r="B7" val="Price per unit"/>
      <inputCells r="C7" val="43" numFmtId="44"/>
      <inputCells r="B8" val="VC per unit"/>
      <inputCells r="C8" val="29" numFmtId="44"/>
      <inputCells r="B9" val="FC per year"/>
      <inputCells r="C9" val="800000" numFmtId="44"/>
    </scenario>
    <scenario name="Pesimistic" locked="1" count="8" user="Michael Girvin" comment="Created by Michael Girvin on 11/14/2010">
      <inputCells r="B6" val="Unit Sales per year"/>
      <inputCells r="C6" val="81000" numFmtId="3"/>
      <inputCells r="B7" val="Price per unit"/>
      <inputCells r="C7" val="38.7" numFmtId="44"/>
      <inputCells r="B8" val="VC per unit"/>
      <inputCells r="C8" val="31.9" numFmtId="44"/>
      <inputCells r="B9" val="FC per year"/>
      <inputCells r="C9" val="880000" numFmtId="44"/>
    </scenario>
    <scenario name="Optimistic" locked="1" count="8" user="Michael Girvin" comment="Created by Michael Girvin on 11/14/2010">
      <inputCells r="B6" val="Unit Sales per year"/>
      <inputCells r="C6" val="99000" numFmtId="3"/>
      <inputCells r="B7" val="Price per unit"/>
      <inputCells r="C7" val="47.3" numFmtId="44"/>
      <inputCells r="B8" val="VC per unit"/>
      <inputCells r="C8" val="26.1" numFmtId="44"/>
      <inputCells r="B9" val="FC per year"/>
      <inputCells r="C9" val="720000" numFmtId="44"/>
    </scenario>
  </scenario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R35"/>
  <sheetViews>
    <sheetView zoomScale="55" zoomScaleNormal="55" workbookViewId="0"/>
  </sheetViews>
  <sheetFormatPr defaultRowHeight="14.75" x14ac:dyDescent="0.75"/>
  <cols>
    <col min="1" max="1" width="31.31640625" customWidth="1"/>
    <col min="2" max="2" width="15" bestFit="1" customWidth="1"/>
    <col min="3" max="3" width="1.76953125" customWidth="1"/>
    <col min="4" max="4" width="31.31640625" customWidth="1"/>
    <col min="5" max="5" width="18.86328125" customWidth="1"/>
    <col min="6" max="6" width="1.76953125" customWidth="1"/>
    <col min="7" max="7" width="31.31640625" customWidth="1"/>
    <col min="8" max="8" width="14.31640625" bestFit="1" customWidth="1"/>
    <col min="9" max="9" width="1.76953125" customWidth="1"/>
    <col min="10" max="10" width="13.453125" customWidth="1"/>
    <col min="11" max="11" width="31.31640625" customWidth="1"/>
    <col min="12" max="12" width="15" bestFit="1" customWidth="1"/>
    <col min="13" max="13" width="1.76953125" customWidth="1"/>
    <col min="14" max="14" width="31.31640625" customWidth="1"/>
    <col min="15" max="15" width="18.86328125" customWidth="1"/>
    <col min="16" max="16" width="1.76953125" customWidth="1"/>
    <col min="17" max="17" width="31.31640625" customWidth="1"/>
    <col min="18" max="18" width="14.31640625" bestFit="1" customWidth="1"/>
  </cols>
  <sheetData>
    <row r="1" spans="1:18" s="95" customFormat="1" ht="26" x14ac:dyDescent="1.2">
      <c r="A1" s="119" t="s">
        <v>235</v>
      </c>
      <c r="D1" s="120" t="s">
        <v>237</v>
      </c>
      <c r="G1" s="121" t="s">
        <v>236</v>
      </c>
      <c r="K1" s="119" t="s">
        <v>235</v>
      </c>
      <c r="N1" s="120" t="s">
        <v>237</v>
      </c>
      <c r="Q1" s="121" t="s">
        <v>236</v>
      </c>
    </row>
    <row r="3" spans="1:18" ht="16" x14ac:dyDescent="0.8">
      <c r="A3" s="122" t="str">
        <f>"Range of Values +/- "&amp;TEXT(B3,"0.0%")</f>
        <v>Range of Values +/- 10.0%</v>
      </c>
      <c r="B3" s="123">
        <v>0.1</v>
      </c>
      <c r="K3" s="122" t="str">
        <f>"Range of Values +/- "&amp;TEXT(L3,"0.0%")</f>
        <v>Range of Values +/- 10.0%</v>
      </c>
      <c r="L3" s="123">
        <v>0.1</v>
      </c>
    </row>
    <row r="5" spans="1:18" x14ac:dyDescent="0.75">
      <c r="A5" s="64" t="s">
        <v>0</v>
      </c>
      <c r="B5" s="6">
        <f t="shared" ref="B5:B8" si="0">E5</f>
        <v>1200000</v>
      </c>
      <c r="D5" s="64" t="s">
        <v>0</v>
      </c>
      <c r="E5" s="6">
        <v>1200000</v>
      </c>
      <c r="G5" s="64" t="s">
        <v>0</v>
      </c>
      <c r="H5" s="6">
        <f t="shared" ref="H5:H8" si="1">E5</f>
        <v>1200000</v>
      </c>
      <c r="K5" s="64" t="s">
        <v>0</v>
      </c>
      <c r="L5" s="6">
        <f t="shared" ref="L5:L8" si="2">O5</f>
        <v>1200000</v>
      </c>
      <c r="N5" s="64" t="s">
        <v>0</v>
      </c>
      <c r="O5" s="6">
        <v>1200000</v>
      </c>
      <c r="Q5" s="64" t="s">
        <v>0</v>
      </c>
      <c r="R5" s="6">
        <f t="shared" ref="R5:R8" si="3">O5</f>
        <v>1200000</v>
      </c>
    </row>
    <row r="6" spans="1:18" x14ac:dyDescent="0.75">
      <c r="A6" s="64" t="s">
        <v>1</v>
      </c>
      <c r="B6" s="1">
        <f t="shared" si="0"/>
        <v>5</v>
      </c>
      <c r="D6" s="64" t="s">
        <v>1</v>
      </c>
      <c r="E6" s="1">
        <v>5</v>
      </c>
      <c r="G6" s="64" t="s">
        <v>1</v>
      </c>
      <c r="H6" s="1">
        <f t="shared" si="1"/>
        <v>5</v>
      </c>
      <c r="K6" s="64" t="s">
        <v>1</v>
      </c>
      <c r="L6" s="1">
        <f t="shared" si="2"/>
        <v>5</v>
      </c>
      <c r="N6" s="64" t="s">
        <v>1</v>
      </c>
      <c r="O6" s="1">
        <v>5</v>
      </c>
      <c r="Q6" s="64" t="s">
        <v>1</v>
      </c>
      <c r="R6" s="1">
        <f t="shared" si="3"/>
        <v>5</v>
      </c>
    </row>
    <row r="7" spans="1:18" x14ac:dyDescent="0.75">
      <c r="A7" s="64" t="s">
        <v>26</v>
      </c>
      <c r="B7" s="1" t="str">
        <f t="shared" si="0"/>
        <v>SL</v>
      </c>
      <c r="D7" s="64" t="s">
        <v>26</v>
      </c>
      <c r="E7" s="1" t="s">
        <v>3</v>
      </c>
      <c r="G7" s="64" t="s">
        <v>26</v>
      </c>
      <c r="H7" s="1" t="str">
        <f t="shared" si="1"/>
        <v>SL</v>
      </c>
      <c r="K7" s="64" t="s">
        <v>26</v>
      </c>
      <c r="L7" s="1" t="str">
        <f t="shared" si="2"/>
        <v>SL</v>
      </c>
      <c r="N7" s="64" t="s">
        <v>26</v>
      </c>
      <c r="O7" s="1" t="s">
        <v>3</v>
      </c>
      <c r="Q7" s="64" t="s">
        <v>26</v>
      </c>
      <c r="R7" s="1" t="str">
        <f t="shared" si="3"/>
        <v>SL</v>
      </c>
    </row>
    <row r="8" spans="1:18" x14ac:dyDescent="0.75">
      <c r="A8" s="64" t="s">
        <v>229</v>
      </c>
      <c r="B8" s="1">
        <f t="shared" si="0"/>
        <v>0</v>
      </c>
      <c r="D8" s="64" t="s">
        <v>229</v>
      </c>
      <c r="E8" s="1">
        <v>0</v>
      </c>
      <c r="G8" s="64" t="s">
        <v>229</v>
      </c>
      <c r="H8" s="1">
        <f t="shared" si="1"/>
        <v>0</v>
      </c>
      <c r="K8" s="64" t="s">
        <v>229</v>
      </c>
      <c r="L8" s="1">
        <f t="shared" si="2"/>
        <v>0</v>
      </c>
      <c r="N8" s="64" t="s">
        <v>229</v>
      </c>
      <c r="O8" s="1">
        <v>0</v>
      </c>
      <c r="Q8" s="64" t="s">
        <v>229</v>
      </c>
      <c r="R8" s="1">
        <f t="shared" si="3"/>
        <v>0</v>
      </c>
    </row>
    <row r="9" spans="1:18" x14ac:dyDescent="0.75">
      <c r="A9" s="64" t="s">
        <v>299</v>
      </c>
      <c r="B9" s="82">
        <f>(B5-B8)/B6</f>
        <v>240000</v>
      </c>
      <c r="D9" s="64" t="s">
        <v>299</v>
      </c>
      <c r="E9" s="82">
        <f>(E5-E8)/E6</f>
        <v>240000</v>
      </c>
      <c r="G9" s="64" t="s">
        <v>299</v>
      </c>
      <c r="H9" s="82">
        <f>(H5-H8)/H6</f>
        <v>240000</v>
      </c>
      <c r="K9" s="64" t="s">
        <v>299</v>
      </c>
      <c r="L9" s="82">
        <f>(L5-L8)/L6</f>
        <v>240000</v>
      </c>
      <c r="N9" s="64" t="s">
        <v>299</v>
      </c>
      <c r="O9" s="82">
        <f>(O5-O8)/O6</f>
        <v>240000</v>
      </c>
      <c r="Q9" s="64" t="s">
        <v>299</v>
      </c>
      <c r="R9" s="82">
        <f>(R5-R8)/R6</f>
        <v>240000</v>
      </c>
    </row>
    <row r="10" spans="1:18" x14ac:dyDescent="0.75">
      <c r="A10" s="5" t="s">
        <v>272</v>
      </c>
      <c r="B10" s="124">
        <f t="shared" ref="B10:B11" si="4">E10*(1-$B$3)</f>
        <v>81000</v>
      </c>
      <c r="D10" s="125" t="s">
        <v>272</v>
      </c>
      <c r="E10" s="126">
        <v>90000</v>
      </c>
      <c r="G10" s="127" t="s">
        <v>272</v>
      </c>
      <c r="H10" s="128">
        <f t="shared" ref="H10:H11" si="5">E10*(1+$B$3)</f>
        <v>99000.000000000015</v>
      </c>
      <c r="K10" s="5" t="s">
        <v>272</v>
      </c>
      <c r="L10" s="124" cm="1">
        <f t="array" ref="L10:L11">O10:O11*(1-L3)</f>
        <v>81000</v>
      </c>
      <c r="N10" s="125" t="s">
        <v>272</v>
      </c>
      <c r="O10" s="126">
        <v>90000</v>
      </c>
      <c r="Q10" s="127" t="s">
        <v>272</v>
      </c>
      <c r="R10" s="128" cm="1">
        <f t="array" ref="R10:R11">O10:O11*(1+L3)</f>
        <v>99000.000000000015</v>
      </c>
    </row>
    <row r="11" spans="1:18" x14ac:dyDescent="0.75">
      <c r="A11" s="5" t="s">
        <v>16</v>
      </c>
      <c r="B11" s="129">
        <f t="shared" si="4"/>
        <v>38.700000000000003</v>
      </c>
      <c r="D11" s="125" t="s">
        <v>16</v>
      </c>
      <c r="E11" s="130">
        <v>43</v>
      </c>
      <c r="G11" s="127" t="s">
        <v>16</v>
      </c>
      <c r="H11" s="131">
        <f t="shared" si="5"/>
        <v>47.300000000000004</v>
      </c>
      <c r="K11" s="5" t="s">
        <v>16</v>
      </c>
      <c r="L11" s="129">
        <v>38.700000000000003</v>
      </c>
      <c r="N11" s="125" t="s">
        <v>16</v>
      </c>
      <c r="O11" s="130">
        <v>43</v>
      </c>
      <c r="Q11" s="127" t="s">
        <v>16</v>
      </c>
      <c r="R11" s="131">
        <v>47.300000000000004</v>
      </c>
    </row>
    <row r="12" spans="1:18" x14ac:dyDescent="0.75">
      <c r="A12" s="5" t="s">
        <v>233</v>
      </c>
      <c r="B12" s="129">
        <f t="shared" ref="B12:B13" si="6">E12*(1+$B$3)</f>
        <v>31.900000000000002</v>
      </c>
      <c r="D12" s="125" t="s">
        <v>233</v>
      </c>
      <c r="E12" s="130">
        <v>29</v>
      </c>
      <c r="G12" s="127" t="s">
        <v>233</v>
      </c>
      <c r="H12" s="131">
        <f t="shared" ref="H12:H13" si="7">E12*(1-$B$3)</f>
        <v>26.1</v>
      </c>
      <c r="K12" s="5" t="s">
        <v>233</v>
      </c>
      <c r="L12" s="129" cm="1">
        <f t="array" ref="L12:L13">O12:O13*(1+L3)</f>
        <v>31.900000000000002</v>
      </c>
      <c r="N12" s="125" t="s">
        <v>233</v>
      </c>
      <c r="O12" s="130">
        <v>29</v>
      </c>
      <c r="Q12" s="127" t="s">
        <v>233</v>
      </c>
      <c r="R12" s="131" cm="1">
        <f t="array" ref="R12:R13">O12:O13*(1-L3)</f>
        <v>26.1</v>
      </c>
    </row>
    <row r="13" spans="1:18" x14ac:dyDescent="0.75">
      <c r="A13" s="5" t="s">
        <v>234</v>
      </c>
      <c r="B13" s="129">
        <f t="shared" si="6"/>
        <v>880000.00000000012</v>
      </c>
      <c r="D13" s="125" t="s">
        <v>234</v>
      </c>
      <c r="E13" s="130">
        <v>800000</v>
      </c>
      <c r="G13" s="127" t="s">
        <v>234</v>
      </c>
      <c r="H13" s="131">
        <f t="shared" si="7"/>
        <v>720000</v>
      </c>
      <c r="K13" s="5" t="s">
        <v>234</v>
      </c>
      <c r="L13" s="129">
        <v>880000.00000000012</v>
      </c>
      <c r="N13" s="125" t="s">
        <v>234</v>
      </c>
      <c r="O13" s="130">
        <v>800000</v>
      </c>
      <c r="Q13" s="127" t="s">
        <v>234</v>
      </c>
      <c r="R13" s="131">
        <v>720000</v>
      </c>
    </row>
    <row r="14" spans="1:18" x14ac:dyDescent="0.75">
      <c r="A14" s="64" t="s">
        <v>4</v>
      </c>
      <c r="B14" s="1">
        <f t="shared" ref="B14:B16" si="8">E14</f>
        <v>0.35</v>
      </c>
      <c r="D14" s="64" t="s">
        <v>4</v>
      </c>
      <c r="E14" s="1">
        <v>0.35</v>
      </c>
      <c r="G14" s="64" t="s">
        <v>4</v>
      </c>
      <c r="H14" s="1">
        <f t="shared" ref="H14:H16" si="9">E14</f>
        <v>0.35</v>
      </c>
      <c r="K14" s="64" t="s">
        <v>4</v>
      </c>
      <c r="L14" s="1">
        <f t="shared" ref="L14:L16" si="10">O14</f>
        <v>0.35</v>
      </c>
      <c r="N14" s="64" t="s">
        <v>4</v>
      </c>
      <c r="O14" s="1">
        <v>0.35</v>
      </c>
      <c r="Q14" s="64" t="s">
        <v>4</v>
      </c>
      <c r="R14" s="1">
        <f t="shared" ref="R14:R16" si="11">O14</f>
        <v>0.35</v>
      </c>
    </row>
    <row r="15" spans="1:18" x14ac:dyDescent="0.75">
      <c r="A15" s="64" t="s">
        <v>41</v>
      </c>
      <c r="B15" s="1">
        <f t="shared" si="8"/>
        <v>0.15</v>
      </c>
      <c r="D15" s="64" t="s">
        <v>41</v>
      </c>
      <c r="E15" s="1">
        <v>0.15</v>
      </c>
      <c r="G15" s="64" t="s">
        <v>41</v>
      </c>
      <c r="H15" s="1">
        <f t="shared" si="9"/>
        <v>0.15</v>
      </c>
      <c r="K15" s="64" t="s">
        <v>41</v>
      </c>
      <c r="L15" s="1">
        <f t="shared" si="10"/>
        <v>0.15</v>
      </c>
      <c r="N15" s="64" t="s">
        <v>41</v>
      </c>
      <c r="O15" s="1">
        <v>0.15</v>
      </c>
      <c r="Q15" s="64" t="s">
        <v>41</v>
      </c>
      <c r="R15" s="1">
        <f t="shared" si="11"/>
        <v>0.15</v>
      </c>
    </row>
    <row r="16" spans="1:18" x14ac:dyDescent="0.75">
      <c r="A16" s="64" t="s">
        <v>28</v>
      </c>
      <c r="B16" s="7">
        <f t="shared" si="8"/>
        <v>10000</v>
      </c>
      <c r="D16" s="64" t="s">
        <v>323</v>
      </c>
      <c r="E16" s="7">
        <v>10000</v>
      </c>
      <c r="G16" s="64" t="s">
        <v>28</v>
      </c>
      <c r="H16" s="7">
        <f t="shared" si="9"/>
        <v>10000</v>
      </c>
      <c r="K16" s="64" t="s">
        <v>28</v>
      </c>
      <c r="L16" s="7">
        <f t="shared" si="10"/>
        <v>10000</v>
      </c>
      <c r="N16" s="64" t="s">
        <v>323</v>
      </c>
      <c r="O16" s="7">
        <v>10000</v>
      </c>
      <c r="Q16" s="64" t="s">
        <v>28</v>
      </c>
      <c r="R16" s="7">
        <f t="shared" si="11"/>
        <v>10000</v>
      </c>
    </row>
    <row r="18" spans="1:18" x14ac:dyDescent="0.75">
      <c r="A18" s="64" t="str">
        <f>"OCF: "&amp;A1&amp;" case."</f>
        <v>OCF: Pessimistic case.</v>
      </c>
      <c r="B18" s="83">
        <f>((B11-B12)*B10-B13)*(1-B14)+B9*B14</f>
        <v>-129980.00000000009</v>
      </c>
      <c r="D18" s="64" t="str">
        <f>"OCF: "&amp;D1&amp;" case."</f>
        <v>OCF: Base case.</v>
      </c>
      <c r="E18" s="83">
        <f>((E11-E12)*E10-E13)*(1-E14)+E9*E14</f>
        <v>383000</v>
      </c>
      <c r="G18" s="64" t="str">
        <f>"OCF: "&amp;G1&amp;" case."</f>
        <v>OCF: Optimistic case.</v>
      </c>
      <c r="H18" s="83">
        <f>((H11-H12)*H10-H13)*(1-H14)+H9*H14</f>
        <v>980220.00000000035</v>
      </c>
      <c r="K18" s="64" t="str">
        <f>"OCF: "&amp;K1&amp;" case."</f>
        <v>OCF: Pessimistic case.</v>
      </c>
      <c r="L18" s="83">
        <f>((L11-L12)*L10-L13)*(1-L14)+L9*L14</f>
        <v>-129980.00000000009</v>
      </c>
      <c r="N18" s="64" t="str">
        <f>"OCF: "&amp;N1&amp;" case."</f>
        <v>OCF: Base case.</v>
      </c>
      <c r="O18" s="83">
        <f>((O11-O12)*O10-O13)*(1-O14)+O9*O14</f>
        <v>383000</v>
      </c>
      <c r="Q18" s="64" t="str">
        <f>"OCF: "&amp;Q1&amp;" case."</f>
        <v>OCF: Optimistic case.</v>
      </c>
      <c r="R18" s="83">
        <f>((R11-R12)*R10-R13)*(1-R14)+R9*R14</f>
        <v>980220.00000000035</v>
      </c>
    </row>
    <row r="19" spans="1:18" x14ac:dyDescent="0.75">
      <c r="A19" s="64" t="str">
        <f>"NPV: "&amp;A1&amp;" case."</f>
        <v>NPV: Pessimistic case.</v>
      </c>
      <c r="B19" s="83">
        <f>NPV(B15,B18,B18,B18,B18,B18+B16)-B5-B16</f>
        <v>-1640741.3522865395</v>
      </c>
      <c r="D19" s="64" t="str">
        <f>"NPV: "&amp;D1&amp;" case."</f>
        <v>NPV: Base case.</v>
      </c>
      <c r="E19" s="83">
        <f>NPV(E15,E18,E18,E18,E18,E18+E16)-E5-E16</f>
        <v>78847.169891350204</v>
      </c>
      <c r="G19" s="64" t="str">
        <f>"NPV: "&amp;G1&amp;" case."</f>
        <v>NPV: Optimistic case.</v>
      </c>
      <c r="H19" s="83">
        <f>NPV(H15,H18,H18,H18,H18,H18+H16)-H5-H16</f>
        <v>2080821.2375257215</v>
      </c>
      <c r="K19" s="64" t="str">
        <f>"NPV: "&amp;K1&amp;" case."</f>
        <v>NPV: Pessimistic case.</v>
      </c>
      <c r="L19" s="83">
        <f>NPV(L15,L18,L18,L18,L18,L18+L16)-L5-L16</f>
        <v>-1640741.3522865395</v>
      </c>
      <c r="N19" s="64" t="str">
        <f>"NPV: "&amp;N1&amp;" case."</f>
        <v>NPV: Base case.</v>
      </c>
      <c r="O19" s="83">
        <f>NPV(O15,O18,O18,O18,O18,O18+O16)-O5-O16</f>
        <v>78847.169891350204</v>
      </c>
      <c r="Q19" s="64" t="str">
        <f>"NPV: "&amp;Q1&amp;" case."</f>
        <v>NPV: Optimistic case.</v>
      </c>
      <c r="R19" s="83">
        <f>NPV(R15,R18,R18,R18,R18,R18+R16)-R5-R16</f>
        <v>2080821.2375257215</v>
      </c>
    </row>
    <row r="21" spans="1:18" ht="70.5" x14ac:dyDescent="1.1000000000000001">
      <c r="A21" s="132" t="str">
        <f>IF(B19="","","Skewed toward Positive Side, but with a loss of "&amp;TEXT(B19,"$#,###")&amp;" on the down side, it would be worth looking closer before taking this project. Maybe look at the past to see the volatility of VC and to future economic data about the VC industry.")</f>
        <v>Skewed toward Positive Side, but with a loss of -$1,640,741 on the down side, it would be worth looking closer before taking this project. Maybe look at the past to see the volatility of VC and to future economic data about the VC industry.</v>
      </c>
      <c r="B21" s="133"/>
      <c r="C21" s="133"/>
      <c r="D21" s="133"/>
      <c r="E21" s="133"/>
      <c r="F21" s="133"/>
      <c r="G21" s="133"/>
      <c r="H21" s="134"/>
      <c r="K21" s="132" t="str">
        <f>IF(L19="","","Skewed toward Positive Side, but with a loss of "&amp;TEXT(L19,"$#,###")&amp;" on the down side, it would be worth looking closer before taking this project. Maybe look at the past to see the volatility of VC and to future economic data about the VC industry.")</f>
        <v>Skewed toward Positive Side, but with a loss of -$1,640,741 on the down side, it would be worth looking closer before taking this project. Maybe look at the past to see the volatility of VC and to future economic data about the VC industry.</v>
      </c>
      <c r="L21" s="133"/>
      <c r="M21" s="133"/>
      <c r="N21" s="133"/>
      <c r="O21" s="133"/>
      <c r="P21" s="133"/>
      <c r="Q21" s="133"/>
      <c r="R21" s="134"/>
    </row>
    <row r="23" spans="1:18" x14ac:dyDescent="0.75">
      <c r="A23" s="141" t="s">
        <v>161</v>
      </c>
      <c r="D23" s="64" t="s">
        <v>290</v>
      </c>
      <c r="E23" s="64" t="s">
        <v>27</v>
      </c>
      <c r="K23" s="141" t="s">
        <v>161</v>
      </c>
      <c r="N23" s="64" t="s">
        <v>290</v>
      </c>
      <c r="O23" s="64" t="s">
        <v>27</v>
      </c>
    </row>
    <row r="24" spans="1:18" x14ac:dyDescent="0.75">
      <c r="A24" s="109" t="s">
        <v>325</v>
      </c>
      <c r="B24" s="109"/>
      <c r="D24" s="1">
        <v>0</v>
      </c>
      <c r="E24" s="11">
        <f>-E16-E5</f>
        <v>-1210000</v>
      </c>
      <c r="K24" s="109" t="s">
        <v>325</v>
      </c>
      <c r="L24" s="109"/>
      <c r="N24" s="1">
        <v>0</v>
      </c>
      <c r="O24" s="11">
        <f>-O16-O5</f>
        <v>-1210000</v>
      </c>
    </row>
    <row r="25" spans="1:18" x14ac:dyDescent="0.75">
      <c r="A25" s="1" t="s">
        <v>7</v>
      </c>
      <c r="B25" s="83">
        <f>E10*E11</f>
        <v>3870000</v>
      </c>
      <c r="D25" s="1">
        <v>1</v>
      </c>
      <c r="E25" s="11">
        <f>$B$32</f>
        <v>383000</v>
      </c>
      <c r="K25" s="1" t="s">
        <v>7</v>
      </c>
      <c r="L25" s="83">
        <f>O10*O11</f>
        <v>3870000</v>
      </c>
      <c r="N25" s="1">
        <v>1</v>
      </c>
      <c r="O25" s="11">
        <f>$B$32</f>
        <v>383000</v>
      </c>
    </row>
    <row r="26" spans="1:18" x14ac:dyDescent="0.75">
      <c r="A26" s="1" t="s">
        <v>298</v>
      </c>
      <c r="B26" s="83">
        <f>E10*E12</f>
        <v>2610000</v>
      </c>
      <c r="D26" s="1">
        <v>2</v>
      </c>
      <c r="E26" s="11">
        <f t="shared" ref="E26:E29" si="12">$B$32</f>
        <v>383000</v>
      </c>
      <c r="K26" s="1" t="s">
        <v>298</v>
      </c>
      <c r="L26" s="83">
        <f>O10*O12</f>
        <v>2610000</v>
      </c>
      <c r="N26" s="1">
        <v>2</v>
      </c>
      <c r="O26" s="11">
        <f t="shared" ref="O26:O29" si="13">$B$32</f>
        <v>383000</v>
      </c>
    </row>
    <row r="27" spans="1:18" x14ac:dyDescent="0.75">
      <c r="A27" s="1" t="s">
        <v>197</v>
      </c>
      <c r="B27" s="83">
        <f>E13</f>
        <v>800000</v>
      </c>
      <c r="D27" s="1">
        <v>3</v>
      </c>
      <c r="E27" s="11">
        <f t="shared" si="12"/>
        <v>383000</v>
      </c>
      <c r="K27" s="1" t="s">
        <v>197</v>
      </c>
      <c r="L27" s="83">
        <f>O13</f>
        <v>800000</v>
      </c>
      <c r="N27" s="1">
        <v>3</v>
      </c>
      <c r="O27" s="11">
        <f t="shared" si="13"/>
        <v>383000</v>
      </c>
    </row>
    <row r="28" spans="1:18" x14ac:dyDescent="0.75">
      <c r="A28" s="1" t="s">
        <v>198</v>
      </c>
      <c r="B28" s="83">
        <f>E9</f>
        <v>240000</v>
      </c>
      <c r="D28" s="1">
        <v>4</v>
      </c>
      <c r="E28" s="11">
        <f t="shared" si="12"/>
        <v>383000</v>
      </c>
      <c r="K28" s="1" t="s">
        <v>198</v>
      </c>
      <c r="L28" s="83">
        <f>O9</f>
        <v>240000</v>
      </c>
      <c r="N28" s="1">
        <v>4</v>
      </c>
      <c r="O28" s="11">
        <f t="shared" si="13"/>
        <v>383000</v>
      </c>
    </row>
    <row r="29" spans="1:18" x14ac:dyDescent="0.75">
      <c r="A29" s="1" t="s">
        <v>10</v>
      </c>
      <c r="B29" s="83">
        <f>B25-SUM(B26:B28)</f>
        <v>220000</v>
      </c>
      <c r="D29" s="1">
        <v>5</v>
      </c>
      <c r="E29" s="11">
        <f t="shared" si="12"/>
        <v>383000</v>
      </c>
      <c r="K29" s="1" t="s">
        <v>10</v>
      </c>
      <c r="L29" s="83">
        <f>L25-SUM(L26:L28)</f>
        <v>220000</v>
      </c>
      <c r="N29" s="1">
        <v>5</v>
      </c>
      <c r="O29" s="11">
        <f t="shared" si="13"/>
        <v>383000</v>
      </c>
    </row>
    <row r="30" spans="1:18" x14ac:dyDescent="0.75">
      <c r="A30" s="1" t="s">
        <v>11</v>
      </c>
      <c r="B30" s="83">
        <f>B29*E14</f>
        <v>77000</v>
      </c>
      <c r="E30" s="8"/>
      <c r="K30" s="1" t="s">
        <v>11</v>
      </c>
      <c r="L30" s="83">
        <f>L29*O14</f>
        <v>77000</v>
      </c>
      <c r="O30" s="8"/>
    </row>
    <row r="31" spans="1:18" x14ac:dyDescent="0.75">
      <c r="A31" s="1" t="s">
        <v>324</v>
      </c>
      <c r="B31" s="83">
        <f>B29-B30</f>
        <v>143000</v>
      </c>
      <c r="K31" s="1" t="s">
        <v>324</v>
      </c>
      <c r="L31" s="83">
        <f>L29-L30</f>
        <v>143000</v>
      </c>
    </row>
    <row r="32" spans="1:18" x14ac:dyDescent="0.75">
      <c r="A32" s="1" t="s">
        <v>17</v>
      </c>
      <c r="B32" s="83">
        <f>B31+B28</f>
        <v>383000</v>
      </c>
      <c r="D32" s="1" t="s">
        <v>18</v>
      </c>
      <c r="E32" s="83">
        <f>NPV(E15,E25:E29)+E24</f>
        <v>73875.402538367314</v>
      </c>
      <c r="K32" s="1" t="s">
        <v>17</v>
      </c>
      <c r="L32" s="83">
        <f>L31+L28</f>
        <v>383000</v>
      </c>
      <c r="N32" s="1" t="s">
        <v>18</v>
      </c>
      <c r="O32" s="83">
        <f>NPV(O15,O25:O29)+O24</f>
        <v>73875.402538367314</v>
      </c>
    </row>
    <row r="35" spans="11:12" ht="26" x14ac:dyDescent="1.2">
      <c r="K35" s="145" t="s">
        <v>327</v>
      </c>
      <c r="L35" s="146" t="s">
        <v>334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00FF"/>
  </sheetPr>
  <dimension ref="A1:H20"/>
  <sheetViews>
    <sheetView zoomScaleNormal="100" workbookViewId="0"/>
  </sheetViews>
  <sheetFormatPr defaultRowHeight="14.75" x14ac:dyDescent="0.75"/>
  <cols>
    <col min="1" max="1" width="9.453125" customWidth="1"/>
    <col min="2" max="2" width="12.6796875" bestFit="1" customWidth="1"/>
    <col min="3" max="3" width="4.6796875" customWidth="1"/>
    <col min="4" max="4" width="13.6796875" customWidth="1"/>
    <col min="5" max="5" width="12.2265625" bestFit="1" customWidth="1"/>
    <col min="6" max="7" width="13.86328125" customWidth="1"/>
  </cols>
  <sheetData>
    <row r="1" spans="1:8" ht="28.75" x14ac:dyDescent="1.35">
      <c r="A1" s="84" t="s">
        <v>242</v>
      </c>
      <c r="E1" s="64" t="s">
        <v>235</v>
      </c>
      <c r="F1" s="64" t="s">
        <v>237</v>
      </c>
      <c r="G1" s="64" t="s">
        <v>236</v>
      </c>
    </row>
    <row r="2" spans="1:8" x14ac:dyDescent="0.75">
      <c r="A2" s="64" t="s">
        <v>0</v>
      </c>
      <c r="B2" s="6">
        <v>250000</v>
      </c>
      <c r="D2" s="64" t="s">
        <v>243</v>
      </c>
      <c r="E2" s="4">
        <v>9000</v>
      </c>
      <c r="F2" s="4">
        <v>10000</v>
      </c>
      <c r="G2" s="4">
        <v>11000</v>
      </c>
    </row>
    <row r="3" spans="1:8" x14ac:dyDescent="0.75">
      <c r="A3" s="64" t="s">
        <v>229</v>
      </c>
      <c r="B3" s="1">
        <v>0</v>
      </c>
      <c r="D3" s="64" t="s">
        <v>16</v>
      </c>
      <c r="F3" s="6">
        <v>72</v>
      </c>
    </row>
    <row r="4" spans="1:8" x14ac:dyDescent="0.75">
      <c r="A4" s="64" t="s">
        <v>1</v>
      </c>
      <c r="B4" s="1">
        <v>5</v>
      </c>
      <c r="D4" s="64" t="s">
        <v>233</v>
      </c>
      <c r="F4" s="6">
        <v>55</v>
      </c>
    </row>
    <row r="5" spans="1:8" x14ac:dyDescent="0.75">
      <c r="A5" s="64" t="s">
        <v>198</v>
      </c>
      <c r="B5" s="1" t="s">
        <v>3</v>
      </c>
      <c r="D5" s="64" t="s">
        <v>234</v>
      </c>
      <c r="F5" s="6">
        <v>75000</v>
      </c>
    </row>
    <row r="6" spans="1:8" x14ac:dyDescent="0.75">
      <c r="A6" s="64" t="s">
        <v>230</v>
      </c>
      <c r="B6" s="82"/>
    </row>
    <row r="7" spans="1:8" x14ac:dyDescent="0.75">
      <c r="A7" s="64" t="s">
        <v>41</v>
      </c>
      <c r="B7" s="1">
        <v>0.15</v>
      </c>
      <c r="D7" s="109" t="s">
        <v>17</v>
      </c>
      <c r="E7" s="83"/>
      <c r="F7" s="83"/>
      <c r="G7" s="83"/>
    </row>
    <row r="8" spans="1:8" x14ac:dyDescent="0.75">
      <c r="A8" s="64" t="s">
        <v>231</v>
      </c>
      <c r="B8" s="1">
        <v>0.34</v>
      </c>
      <c r="D8" s="109" t="s">
        <v>18</v>
      </c>
      <c r="E8" s="83"/>
      <c r="F8" s="83"/>
      <c r="G8" s="83"/>
    </row>
    <row r="9" spans="1:8" x14ac:dyDescent="0.75">
      <c r="A9" s="64" t="s">
        <v>238</v>
      </c>
      <c r="B9" s="1">
        <v>0</v>
      </c>
    </row>
    <row r="10" spans="1:8" ht="29.5" x14ac:dyDescent="0.75">
      <c r="D10" s="86" t="str">
        <f>"Sensitivity Analysis - As "&amp;E11&amp;" Changes, What Does NPV do?"&amp;CHAR(10)&amp;"The Steeper the line, the more forecast risk associated with variable."</f>
        <v>Sensitivity Analysis - As  Changes, What Does NPV do?
The Steeper the line, the more forecast risk associated with variable.</v>
      </c>
      <c r="E10" s="87"/>
      <c r="F10" s="88"/>
      <c r="G10" s="89"/>
      <c r="H10" s="90"/>
    </row>
    <row r="11" spans="1:8" x14ac:dyDescent="0.75">
      <c r="E11" s="85"/>
      <c r="F11" s="85"/>
    </row>
    <row r="12" spans="1:8" x14ac:dyDescent="0.75">
      <c r="D12" s="64" t="str">
        <f t="array" ref="D12:D14">TRANSPOSE(E1:G1)</f>
        <v>Pessimistic</v>
      </c>
      <c r="E12" s="142"/>
      <c r="F12" s="82"/>
    </row>
    <row r="13" spans="1:8" x14ac:dyDescent="0.75">
      <c r="D13" s="64" t="str">
        <v>Base</v>
      </c>
      <c r="E13" s="142"/>
      <c r="F13" s="82"/>
    </row>
    <row r="14" spans="1:8" x14ac:dyDescent="0.75">
      <c r="D14" s="64" t="str">
        <v>Optimistic</v>
      </c>
      <c r="E14" s="142"/>
      <c r="F14" s="82"/>
    </row>
    <row r="16" spans="1:8" x14ac:dyDescent="0.75">
      <c r="D16" s="16" t="s">
        <v>244</v>
      </c>
      <c r="E16" s="33"/>
      <c r="F16" s="12"/>
    </row>
    <row r="17" spans="4:4" x14ac:dyDescent="0.75">
      <c r="D17" t="s">
        <v>245</v>
      </c>
    </row>
    <row r="19" spans="4:4" x14ac:dyDescent="0.75">
      <c r="D19" s="94" t="s">
        <v>253</v>
      </c>
    </row>
    <row r="20" spans="4:4" x14ac:dyDescent="0.75">
      <c r="D20" s="94" t="s">
        <v>254</v>
      </c>
    </row>
  </sheetData>
  <scenarios current="0" show="0">
    <scenario name="Set1" locked="1" count="26" user="Michael Girvin" comment="Created by Michael Girvin on 11/11/2010">
      <inputCells r="A2" val="Cost"/>
      <inputCells r="B2" val="200000" numFmtId="44"/>
      <inputCells r="A3" val="Salvage"/>
      <inputCells r="B3" val="0"/>
      <inputCells r="A4" val="Years"/>
      <inputCells r="B4" val="5"/>
      <inputCells r="A5" val="Depr"/>
      <inputCells r="B5" val="SL"/>
      <inputCells r="A7" val="RRR"/>
      <inputCells r="B7" val="0.12"/>
      <inputCells r="A8" val="Tax rate"/>
      <inputCells r="B8" val="0.34"/>
      <inputCells r="A9" val="No NWC"/>
      <inputCells r="B9" val="0"/>
      <inputCells r="E1" val="Pessimistic"/>
      <inputCells r="F1" val="Base"/>
      <inputCells r="G1" val="Optimistic"/>
      <inputCells r="E2" val="5500" numFmtId="43"/>
      <inputCells r="F2" val="6000" numFmtId="43"/>
      <inputCells r="G2" val="6500" numFmtId="43"/>
      <inputCells r="F3" val="75" numFmtId="44"/>
      <inputCells r="G3" val="85" numFmtId="44"/>
      <inputCells r="F4" val="62" numFmtId="44"/>
      <inputCells r="G4" val="58" numFmtId="44"/>
      <inputCells r="F5" val="55000" numFmtId="44"/>
      <inputCells r="G5" val="45000" numFmtId="44"/>
    </scenario>
    <scenario name="Set2" locked="1" count="26" user="Michael Girvin" comment="Created by Michael Girvin on 11/11/2010_x000a_Modified by Michael Girvin on 11/11/2010">
      <inputCells r="A2" val="Cost"/>
      <inputCells r="B2" val="250000" numFmtId="44"/>
      <inputCells r="A3" val="Salvage"/>
      <inputCells r="B3" val="0"/>
      <inputCells r="A4" val="Years"/>
      <inputCells r="B4" val="5"/>
      <inputCells r="A5" val="Depr"/>
      <inputCells r="B5" val="SL"/>
      <inputCells r="A7" val="RRR"/>
      <inputCells r="B7" val="0.15"/>
      <inputCells r="A8" val="Tax rate"/>
      <inputCells r="B8" val="0.34"/>
      <inputCells r="A9" val="No NWC"/>
      <inputCells r="B9" val="0"/>
      <inputCells r="E1" val="Pessimistic"/>
      <inputCells r="F1" val="Base"/>
      <inputCells r="G1" val="Optimistic"/>
      <inputCells r="E2" val="7500" numFmtId="43"/>
      <inputCells r="F2" val="8000" numFmtId="43"/>
      <inputCells r="G2" val="8500" numFmtId="43"/>
      <inputCells r="F3" val="80" numFmtId="44"/>
      <inputCells r="G3" val="90" numFmtId="44"/>
      <inputCells r="F4" val="67" numFmtId="44"/>
      <inputCells r="G4" val="63" numFmtId="44"/>
      <inputCells r="F5" val="75000" numFmtId="44"/>
      <inputCells r="G5" val="65000" numFmtId="44"/>
    </scenario>
  </scenario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FF"/>
  </sheetPr>
  <dimension ref="A1:J31"/>
  <sheetViews>
    <sheetView zoomScale="70" zoomScaleNormal="70" workbookViewId="0">
      <selection activeCell="C13" sqref="C13:C15"/>
    </sheetView>
  </sheetViews>
  <sheetFormatPr defaultRowHeight="14.75" x14ac:dyDescent="0.75"/>
  <cols>
    <col min="1" max="1" width="11.6796875" bestFit="1" customWidth="1"/>
    <col min="2" max="4" width="13.6796875" bestFit="1" customWidth="1"/>
    <col min="5" max="5" width="1.86328125" customWidth="1"/>
    <col min="6" max="6" width="12.08984375" bestFit="1" customWidth="1"/>
    <col min="7" max="7" width="12.6796875" bestFit="1" customWidth="1"/>
    <col min="8" max="9" width="13.6796875" bestFit="1" customWidth="1"/>
  </cols>
  <sheetData>
    <row r="1" spans="1:9" ht="28.75" x14ac:dyDescent="1.35">
      <c r="A1" s="84" t="s">
        <v>242</v>
      </c>
    </row>
    <row r="2" spans="1:9" x14ac:dyDescent="0.75">
      <c r="A2" s="64" t="s">
        <v>0</v>
      </c>
      <c r="B2" s="6">
        <v>200000</v>
      </c>
    </row>
    <row r="3" spans="1:9" x14ac:dyDescent="0.75">
      <c r="A3" s="64" t="s">
        <v>229</v>
      </c>
      <c r="B3" s="1">
        <v>0</v>
      </c>
    </row>
    <row r="4" spans="1:9" x14ac:dyDescent="0.75">
      <c r="A4" s="64" t="s">
        <v>1</v>
      </c>
      <c r="B4" s="1">
        <v>5</v>
      </c>
    </row>
    <row r="5" spans="1:9" x14ac:dyDescent="0.75">
      <c r="A5" s="64" t="s">
        <v>198</v>
      </c>
      <c r="B5" s="1" t="s">
        <v>3</v>
      </c>
    </row>
    <row r="6" spans="1:9" x14ac:dyDescent="0.75">
      <c r="A6" s="64" t="s">
        <v>230</v>
      </c>
      <c r="B6" s="82">
        <f>(B2-B3)/B4</f>
        <v>40000</v>
      </c>
    </row>
    <row r="7" spans="1:9" x14ac:dyDescent="0.75">
      <c r="A7" s="64" t="s">
        <v>41</v>
      </c>
      <c r="B7" s="1">
        <v>0.12</v>
      </c>
    </row>
    <row r="8" spans="1:9" x14ac:dyDescent="0.75">
      <c r="A8" s="64" t="s">
        <v>231</v>
      </c>
      <c r="B8" s="1">
        <v>0.34</v>
      </c>
    </row>
    <row r="9" spans="1:9" x14ac:dyDescent="0.75">
      <c r="A9" s="64" t="s">
        <v>238</v>
      </c>
      <c r="B9" s="1">
        <v>0</v>
      </c>
    </row>
    <row r="11" spans="1:9" x14ac:dyDescent="0.75">
      <c r="A11" s="1"/>
      <c r="B11" s="64" t="s">
        <v>235</v>
      </c>
      <c r="C11" s="64" t="s">
        <v>237</v>
      </c>
      <c r="D11" s="64" t="s">
        <v>236</v>
      </c>
      <c r="F11" s="1" t="s">
        <v>20</v>
      </c>
      <c r="G11" s="83">
        <f t="shared" ref="G11:I11" si="0">-$B$2</f>
        <v>-200000</v>
      </c>
      <c r="H11" s="83">
        <f t="shared" si="0"/>
        <v>-200000</v>
      </c>
      <c r="I11" s="83">
        <f t="shared" si="0"/>
        <v>-200000</v>
      </c>
    </row>
    <row r="12" spans="1:9" x14ac:dyDescent="0.75">
      <c r="A12" s="64" t="s">
        <v>234</v>
      </c>
      <c r="B12" s="6">
        <v>55000</v>
      </c>
      <c r="C12" s="4">
        <v>50000</v>
      </c>
      <c r="D12" s="4">
        <v>45000</v>
      </c>
      <c r="F12" s="1" t="s">
        <v>21</v>
      </c>
      <c r="G12" s="3">
        <f t="shared" ref="G12:I16" si="1">B$24</f>
        <v>56500</v>
      </c>
      <c r="H12" s="3">
        <f t="shared" si="1"/>
        <v>59800</v>
      </c>
      <c r="I12" s="3">
        <f t="shared" si="1"/>
        <v>63100</v>
      </c>
    </row>
    <row r="13" spans="1:9" x14ac:dyDescent="0.75">
      <c r="A13" s="64" t="s">
        <v>243</v>
      </c>
      <c r="C13" s="4">
        <v>6000</v>
      </c>
      <c r="F13" s="1" t="s">
        <v>22</v>
      </c>
      <c r="G13" s="3">
        <f t="shared" si="1"/>
        <v>56500</v>
      </c>
      <c r="H13" s="3">
        <f t="shared" si="1"/>
        <v>59800</v>
      </c>
      <c r="I13" s="3">
        <f t="shared" si="1"/>
        <v>63100</v>
      </c>
    </row>
    <row r="14" spans="1:9" x14ac:dyDescent="0.75">
      <c r="A14" s="64" t="s">
        <v>16</v>
      </c>
      <c r="C14" s="6">
        <v>80</v>
      </c>
      <c r="F14" s="1" t="s">
        <v>23</v>
      </c>
      <c r="G14" s="3">
        <f t="shared" si="1"/>
        <v>56500</v>
      </c>
      <c r="H14" s="3">
        <f t="shared" si="1"/>
        <v>59800</v>
      </c>
      <c r="I14" s="3">
        <f t="shared" si="1"/>
        <v>63100</v>
      </c>
    </row>
    <row r="15" spans="1:9" x14ac:dyDescent="0.75">
      <c r="A15" s="64" t="s">
        <v>233</v>
      </c>
      <c r="C15" s="6">
        <v>60</v>
      </c>
      <c r="F15" s="1" t="s">
        <v>24</v>
      </c>
      <c r="G15" s="3">
        <f t="shared" si="1"/>
        <v>56500</v>
      </c>
      <c r="H15" s="3">
        <f t="shared" si="1"/>
        <v>59800</v>
      </c>
      <c r="I15" s="3">
        <f t="shared" si="1"/>
        <v>63100</v>
      </c>
    </row>
    <row r="16" spans="1:9" x14ac:dyDescent="0.75">
      <c r="F16" s="1" t="s">
        <v>25</v>
      </c>
      <c r="G16" s="3">
        <f t="shared" si="1"/>
        <v>56500</v>
      </c>
      <c r="H16" s="3">
        <f t="shared" si="1"/>
        <v>59800</v>
      </c>
      <c r="I16" s="3">
        <f t="shared" si="1"/>
        <v>63100</v>
      </c>
    </row>
    <row r="17" spans="1:10" x14ac:dyDescent="0.75">
      <c r="A17" s="64" t="s">
        <v>7</v>
      </c>
      <c r="B17" s="82">
        <f t="shared" ref="B17:D18" si="2">$C$13*$C14</f>
        <v>480000</v>
      </c>
      <c r="C17" s="82">
        <f t="shared" si="2"/>
        <v>480000</v>
      </c>
      <c r="D17" s="82">
        <f t="shared" si="2"/>
        <v>480000</v>
      </c>
    </row>
    <row r="18" spans="1:10" x14ac:dyDescent="0.75">
      <c r="A18" s="64" t="s">
        <v>49</v>
      </c>
      <c r="B18" s="82">
        <f t="shared" si="2"/>
        <v>360000</v>
      </c>
      <c r="C18" s="82">
        <f t="shared" si="2"/>
        <v>360000</v>
      </c>
      <c r="D18" s="82">
        <f t="shared" si="2"/>
        <v>360000</v>
      </c>
    </row>
    <row r="19" spans="1:10" x14ac:dyDescent="0.75">
      <c r="A19" s="64" t="s">
        <v>50</v>
      </c>
      <c r="B19" s="3">
        <f>B12</f>
        <v>55000</v>
      </c>
      <c r="C19" s="3">
        <f t="shared" ref="C19:D19" si="3">C12</f>
        <v>50000</v>
      </c>
      <c r="D19" s="3">
        <f t="shared" si="3"/>
        <v>45000</v>
      </c>
      <c r="F19" s="64" t="s">
        <v>18</v>
      </c>
      <c r="G19" s="82">
        <f t="shared" ref="G19:I19" si="4">NPV($B$7,G12:G16)+G11</f>
        <v>3669.85543249271</v>
      </c>
      <c r="H19" s="82">
        <f t="shared" si="4"/>
        <v>15565.616900231224</v>
      </c>
      <c r="I19" s="82">
        <f t="shared" si="4"/>
        <v>27461.378367969766</v>
      </c>
    </row>
    <row r="20" spans="1:10" x14ac:dyDescent="0.75">
      <c r="A20" s="64" t="s">
        <v>198</v>
      </c>
      <c r="B20" s="3">
        <f t="shared" ref="B20:D20" si="5">$B$6</f>
        <v>40000</v>
      </c>
      <c r="C20" s="3">
        <f t="shared" si="5"/>
        <v>40000</v>
      </c>
      <c r="D20" s="3">
        <f t="shared" si="5"/>
        <v>40000</v>
      </c>
      <c r="F20" s="64" t="s">
        <v>13</v>
      </c>
      <c r="G20" s="77">
        <f>IRR(G11:G16)</f>
        <v>0.12738111515263073</v>
      </c>
      <c r="H20" s="77">
        <f>IRR(H11:H16)</f>
        <v>0.15096863473136435</v>
      </c>
      <c r="I20" s="77">
        <f>IRR(I11:I16)</f>
        <v>0.17407993426397095</v>
      </c>
    </row>
    <row r="21" spans="1:10" x14ac:dyDescent="0.75">
      <c r="A21" s="64" t="s">
        <v>10</v>
      </c>
      <c r="B21" s="3">
        <f t="shared" ref="B21:D21" si="6">B17-SUM(B18:B20)</f>
        <v>25000</v>
      </c>
      <c r="C21" s="3">
        <f t="shared" si="6"/>
        <v>30000</v>
      </c>
      <c r="D21" s="3">
        <f t="shared" si="6"/>
        <v>35000</v>
      </c>
    </row>
    <row r="22" spans="1:10" ht="29.5" x14ac:dyDescent="0.75">
      <c r="A22" s="64" t="s">
        <v>52</v>
      </c>
      <c r="B22" s="3">
        <f>ROUND(B21*$B$8,0)</f>
        <v>8500</v>
      </c>
      <c r="C22" s="3">
        <f t="shared" ref="C22:D22" si="7">ROUND(C21*$B$8,0)</f>
        <v>10200</v>
      </c>
      <c r="D22" s="3">
        <f t="shared" si="7"/>
        <v>11900</v>
      </c>
      <c r="F22" s="86" t="str">
        <f>"Sensitivity Analysis - As "&amp;G23&amp;" Changes, What Does NPV do?"&amp;CHAR(10)&amp;"The Steeper the line, the more forecast risk associated with variable."</f>
        <v>Sensitivity Analysis - As FC per year Changes, What Does NPV do?
The Steeper the line, the more forecast risk associated with variable.</v>
      </c>
      <c r="G22" s="87"/>
      <c r="H22" s="88"/>
      <c r="I22" s="89"/>
      <c r="J22" s="90"/>
    </row>
    <row r="23" spans="1:10" x14ac:dyDescent="0.75">
      <c r="A23" s="64" t="s">
        <v>240</v>
      </c>
      <c r="B23" s="3">
        <f t="shared" ref="B23:D23" si="8">B21-B22</f>
        <v>16500</v>
      </c>
      <c r="C23" s="3">
        <f t="shared" si="8"/>
        <v>19800</v>
      </c>
      <c r="D23" s="3">
        <f t="shared" si="8"/>
        <v>23100</v>
      </c>
      <c r="G23" s="85" t="str">
        <f t="array" ref="G23:G26">TRANSPOSE(A12:D12)</f>
        <v>FC per year</v>
      </c>
      <c r="H23" s="85" t="str">
        <f t="array" ref="H23:H26">TRANSPOSE(F19:I19)</f>
        <v>NPV</v>
      </c>
    </row>
    <row r="24" spans="1:10" x14ac:dyDescent="0.75">
      <c r="A24" s="64" t="s">
        <v>34</v>
      </c>
      <c r="B24" s="3">
        <f t="shared" ref="B24:D24" si="9">B21-B22+B20</f>
        <v>56500</v>
      </c>
      <c r="C24" s="3">
        <f t="shared" si="9"/>
        <v>59800</v>
      </c>
      <c r="D24" s="3">
        <f t="shared" si="9"/>
        <v>63100</v>
      </c>
      <c r="F24" s="64" t="str">
        <f t="array" ref="F24:F26">TRANSPOSE(B11:D11)</f>
        <v>Pessimistic</v>
      </c>
      <c r="G24" s="82">
        <v>55000</v>
      </c>
      <c r="H24" s="82">
        <v>3669.85543249271</v>
      </c>
    </row>
    <row r="25" spans="1:10" x14ac:dyDescent="0.75">
      <c r="A25" s="64" t="s">
        <v>28</v>
      </c>
      <c r="B25" s="3">
        <f t="shared" ref="B25:D25" si="10">$B$9</f>
        <v>0</v>
      </c>
      <c r="C25" s="3">
        <f t="shared" si="10"/>
        <v>0</v>
      </c>
      <c r="D25" s="3">
        <f t="shared" si="10"/>
        <v>0</v>
      </c>
      <c r="F25" s="64" t="str">
        <v>Base</v>
      </c>
      <c r="G25" s="82">
        <v>50000</v>
      </c>
      <c r="H25" s="82">
        <v>15565.616900231224</v>
      </c>
    </row>
    <row r="26" spans="1:10" x14ac:dyDescent="0.75">
      <c r="A26" s="64" t="s">
        <v>239</v>
      </c>
      <c r="B26" s="3">
        <f t="shared" ref="B26:D26" si="11">-$B$2</f>
        <v>-200000</v>
      </c>
      <c r="C26" s="3">
        <f t="shared" si="11"/>
        <v>-200000</v>
      </c>
      <c r="D26" s="3">
        <f t="shared" si="11"/>
        <v>-200000</v>
      </c>
      <c r="F26" s="64" t="str">
        <v>Optimistic</v>
      </c>
      <c r="G26" s="82">
        <v>45000</v>
      </c>
      <c r="H26" s="82">
        <v>27461.378367969766</v>
      </c>
    </row>
    <row r="28" spans="1:10" x14ac:dyDescent="0.75">
      <c r="F28" s="16" t="s">
        <v>244</v>
      </c>
      <c r="G28" s="33"/>
      <c r="H28" s="12">
        <f>SLOPE(H24:H26,G24:G26)</f>
        <v>-2.3791522935477056</v>
      </c>
    </row>
    <row r="29" spans="1:10" x14ac:dyDescent="0.75">
      <c r="F29" t="s">
        <v>245</v>
      </c>
    </row>
    <row r="31" spans="1:10" x14ac:dyDescent="0.75">
      <c r="F31" s="94" t="s">
        <v>254</v>
      </c>
    </row>
  </sheetData>
  <scenarios current="0" show="0">
    <scenario name="Set1" locked="1" count="25" user="Michael Girvin" comment="Created by Michael Girvin on 11/11/2010">
      <inputCells r="A2" val="Cost"/>
      <inputCells r="B2" val="200000" numFmtId="44"/>
      <inputCells r="A3" val="Salvage"/>
      <inputCells r="B3" val="0"/>
      <inputCells r="A4" val="Years"/>
      <inputCells r="B4" val="5"/>
      <inputCells r="A5" val="Depr"/>
      <inputCells r="B5" val="SL"/>
      <inputCells r="A7" val="RRR"/>
      <inputCells r="B7" val="0.12"/>
      <inputCells r="A8" val="Tax rate"/>
      <inputCells r="B8" val="0.34"/>
      <inputCells r="A9" val="No NWC"/>
      <inputCells r="B9" val="0"/>
      <inputCells r="B11" val="Pessimistic"/>
      <inputCells r="C11" val="Base"/>
      <inputCells r="D11" val="Optimistic"/>
      <inputCells r="C13" val="5500" numFmtId="43"/>
      <inputCells r="C12" val="6000" numFmtId="43"/>
      <inputCells r="D12" val="6500" numFmtId="43"/>
      <inputCells r="C14" val="75" numFmtId="44"/>
      <inputCells r="D14" val="85" numFmtId="44"/>
      <inputCells r="C15" val="62" numFmtId="44"/>
      <inputCells r="D15" val="58" numFmtId="44"/>
      <inputCells r="B12" val="55000" numFmtId="44"/>
    </scenario>
    <scenario name="Set2" locked="1" count="25" user="Michael Girvin" comment="Created by Michael Girvin on 11/11/2010_x000a_Modified by Michael Girvin on 11/11/2010">
      <inputCells r="A2" val="Cost"/>
      <inputCells r="B2" val="250000" numFmtId="44"/>
      <inputCells r="A3" val="Salvage"/>
      <inputCells r="B3" val="0"/>
      <inputCells r="A4" val="Years"/>
      <inputCells r="B4" val="5"/>
      <inputCells r="A5" val="Depr"/>
      <inputCells r="B5" val="SL"/>
      <inputCells r="A7" val="RRR"/>
      <inputCells r="B7" val="0.15"/>
      <inputCells r="A8" val="Tax rate"/>
      <inputCells r="B8" val="0.34"/>
      <inputCells r="A9" val="No NWC"/>
      <inputCells r="B9" val="0"/>
      <inputCells r="B11" val="Pessimistic"/>
      <inputCells r="C11" val="Base"/>
      <inputCells r="D11" val="Optimistic"/>
      <inputCells r="C13" val="7500" numFmtId="43"/>
      <inputCells r="C12" val="8000" numFmtId="43"/>
      <inputCells r="D12" val="8500" numFmtId="43"/>
      <inputCells r="C14" val="80" numFmtId="44"/>
      <inputCells r="D14" val="90" numFmtId="44"/>
      <inputCells r="C15" val="67" numFmtId="44"/>
      <inputCells r="D15" val="63" numFmtId="44"/>
      <inputCells r="B12" val="75000" numFmtId="44"/>
    </scenario>
  </scenario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2060"/>
  </sheetPr>
  <dimension ref="A1:I26"/>
  <sheetViews>
    <sheetView zoomScale="85" zoomScaleNormal="85" workbookViewId="0">
      <selection activeCell="J30" sqref="J30"/>
    </sheetView>
  </sheetViews>
  <sheetFormatPr defaultRowHeight="14.75" x14ac:dyDescent="0.75"/>
  <cols>
    <col min="1" max="1" width="11.6796875" bestFit="1" customWidth="1"/>
    <col min="2" max="4" width="13.6796875" bestFit="1" customWidth="1"/>
    <col min="5" max="5" width="1.86328125" customWidth="1"/>
    <col min="6" max="6" width="10.6796875" bestFit="1" customWidth="1"/>
    <col min="7" max="9" width="13.31640625" bestFit="1" customWidth="1"/>
  </cols>
  <sheetData>
    <row r="1" spans="1:9" ht="28.75" x14ac:dyDescent="1.35">
      <c r="A1" s="84" t="s">
        <v>241</v>
      </c>
    </row>
    <row r="2" spans="1:9" x14ac:dyDescent="0.75">
      <c r="A2" s="64" t="s">
        <v>0</v>
      </c>
      <c r="B2" s="6">
        <v>250000</v>
      </c>
    </row>
    <row r="3" spans="1:9" x14ac:dyDescent="0.75">
      <c r="A3" s="64" t="s">
        <v>229</v>
      </c>
      <c r="B3" s="1">
        <v>0</v>
      </c>
    </row>
    <row r="4" spans="1:9" x14ac:dyDescent="0.75">
      <c r="A4" s="64" t="s">
        <v>1</v>
      </c>
      <c r="B4" s="1">
        <v>5</v>
      </c>
    </row>
    <row r="5" spans="1:9" x14ac:dyDescent="0.75">
      <c r="A5" s="64" t="s">
        <v>198</v>
      </c>
      <c r="B5" s="1" t="s">
        <v>3</v>
      </c>
    </row>
    <row r="6" spans="1:9" x14ac:dyDescent="0.75">
      <c r="A6" s="64" t="s">
        <v>230</v>
      </c>
      <c r="B6" s="82">
        <f>(B2-B3)/B4</f>
        <v>50000</v>
      </c>
    </row>
    <row r="7" spans="1:9" x14ac:dyDescent="0.75">
      <c r="A7" s="64" t="s">
        <v>41</v>
      </c>
      <c r="B7" s="1">
        <v>0.15</v>
      </c>
    </row>
    <row r="8" spans="1:9" x14ac:dyDescent="0.75">
      <c r="A8" s="64" t="s">
        <v>231</v>
      </c>
      <c r="B8" s="1">
        <v>0.34</v>
      </c>
    </row>
    <row r="9" spans="1:9" x14ac:dyDescent="0.75">
      <c r="A9" s="64" t="s">
        <v>238</v>
      </c>
      <c r="B9" s="1">
        <v>0</v>
      </c>
    </row>
    <row r="11" spans="1:9" x14ac:dyDescent="0.75">
      <c r="A11" s="1"/>
      <c r="B11" s="64" t="s">
        <v>235</v>
      </c>
      <c r="C11" s="64" t="s">
        <v>237</v>
      </c>
      <c r="D11" s="64" t="s">
        <v>236</v>
      </c>
      <c r="F11" s="1" t="s">
        <v>20</v>
      </c>
      <c r="G11" s="83">
        <f t="shared" ref="G11:I11" si="0">-$B$2</f>
        <v>-250000</v>
      </c>
      <c r="H11" s="83">
        <f t="shared" si="0"/>
        <v>-250000</v>
      </c>
      <c r="I11" s="83">
        <f t="shared" si="0"/>
        <v>-250000</v>
      </c>
    </row>
    <row r="12" spans="1:9" x14ac:dyDescent="0.75">
      <c r="A12" s="64" t="s">
        <v>232</v>
      </c>
      <c r="B12" s="4">
        <v>7500</v>
      </c>
      <c r="C12" s="4">
        <v>8000</v>
      </c>
      <c r="D12" s="4">
        <v>8500</v>
      </c>
      <c r="F12" s="1" t="s">
        <v>21</v>
      </c>
      <c r="G12" s="3">
        <f t="shared" ref="G12:I16" si="1">B$24</f>
        <v>31850</v>
      </c>
      <c r="H12" s="3">
        <f t="shared" si="1"/>
        <v>76400</v>
      </c>
      <c r="I12" s="3">
        <f t="shared" si="1"/>
        <v>125570</v>
      </c>
    </row>
    <row r="13" spans="1:9" x14ac:dyDescent="0.75">
      <c r="A13" s="64" t="s">
        <v>16</v>
      </c>
      <c r="B13" s="6">
        <v>80</v>
      </c>
      <c r="C13" s="6">
        <v>85</v>
      </c>
      <c r="D13" s="6">
        <v>90</v>
      </c>
      <c r="F13" s="1" t="s">
        <v>22</v>
      </c>
      <c r="G13" s="3">
        <f t="shared" si="1"/>
        <v>31850</v>
      </c>
      <c r="H13" s="3">
        <f t="shared" si="1"/>
        <v>76400</v>
      </c>
      <c r="I13" s="3">
        <f t="shared" si="1"/>
        <v>125570</v>
      </c>
    </row>
    <row r="14" spans="1:9" x14ac:dyDescent="0.75">
      <c r="A14" s="64" t="s">
        <v>233</v>
      </c>
      <c r="B14" s="6">
        <v>67</v>
      </c>
      <c r="C14" s="6">
        <v>65</v>
      </c>
      <c r="D14" s="6">
        <v>63</v>
      </c>
      <c r="F14" s="1" t="s">
        <v>23</v>
      </c>
      <c r="G14" s="3">
        <f t="shared" si="1"/>
        <v>31850</v>
      </c>
      <c r="H14" s="3">
        <f t="shared" si="1"/>
        <v>76400</v>
      </c>
      <c r="I14" s="3">
        <f t="shared" si="1"/>
        <v>125570</v>
      </c>
    </row>
    <row r="15" spans="1:9" x14ac:dyDescent="0.75">
      <c r="A15" s="64" t="s">
        <v>234</v>
      </c>
      <c r="B15" s="6">
        <v>75000</v>
      </c>
      <c r="C15" s="6">
        <v>70000</v>
      </c>
      <c r="D15" s="6">
        <v>65000</v>
      </c>
      <c r="F15" s="1" t="s">
        <v>24</v>
      </c>
      <c r="G15" s="3">
        <f t="shared" si="1"/>
        <v>31850</v>
      </c>
      <c r="H15" s="3">
        <f t="shared" si="1"/>
        <v>76400</v>
      </c>
      <c r="I15" s="3">
        <f t="shared" si="1"/>
        <v>125570</v>
      </c>
    </row>
    <row r="16" spans="1:9" x14ac:dyDescent="0.75">
      <c r="F16" s="1" t="s">
        <v>25</v>
      </c>
      <c r="G16" s="3">
        <f t="shared" si="1"/>
        <v>31850</v>
      </c>
      <c r="H16" s="3">
        <f t="shared" si="1"/>
        <v>76400</v>
      </c>
      <c r="I16" s="3">
        <f t="shared" si="1"/>
        <v>125570</v>
      </c>
    </row>
    <row r="17" spans="1:9" x14ac:dyDescent="0.75">
      <c r="A17" s="64" t="s">
        <v>7</v>
      </c>
      <c r="B17" s="82">
        <f t="shared" ref="B17:B18" si="2">B$12*B13</f>
        <v>600000</v>
      </c>
      <c r="C17" s="82">
        <f t="shared" ref="C17:D17" si="3">C$12*C13</f>
        <v>680000</v>
      </c>
      <c r="D17" s="82">
        <f t="shared" si="3"/>
        <v>765000</v>
      </c>
    </row>
    <row r="18" spans="1:9" x14ac:dyDescent="0.75">
      <c r="A18" s="64" t="s">
        <v>49</v>
      </c>
      <c r="B18" s="3">
        <f t="shared" si="2"/>
        <v>502500</v>
      </c>
      <c r="C18" s="3">
        <f t="shared" ref="C18:D18" si="4">C$12*C14</f>
        <v>520000</v>
      </c>
      <c r="D18" s="3">
        <f t="shared" si="4"/>
        <v>535500</v>
      </c>
    </row>
    <row r="19" spans="1:9" x14ac:dyDescent="0.75">
      <c r="A19" s="64" t="s">
        <v>50</v>
      </c>
      <c r="B19" s="3">
        <f t="shared" ref="B19" si="5">B15</f>
        <v>75000</v>
      </c>
      <c r="C19" s="3">
        <f t="shared" ref="C19:D19" si="6">C15</f>
        <v>70000</v>
      </c>
      <c r="D19" s="3">
        <f t="shared" si="6"/>
        <v>65000</v>
      </c>
      <c r="F19" s="64" t="s">
        <v>18</v>
      </c>
      <c r="G19" s="82">
        <f t="shared" ref="G19:I19" si="7">NPV($B$7,G12:G16)+G11</f>
        <v>-143233.86012833682</v>
      </c>
      <c r="H19" s="82">
        <f t="shared" si="7"/>
        <v>6104.6494880711543</v>
      </c>
      <c r="I19" s="82">
        <f t="shared" si="7"/>
        <v>170930.11565729184</v>
      </c>
    </row>
    <row r="20" spans="1:9" x14ac:dyDescent="0.75">
      <c r="A20" s="64" t="s">
        <v>198</v>
      </c>
      <c r="B20" s="3">
        <f t="shared" ref="B20:D20" si="8">$B$6</f>
        <v>50000</v>
      </c>
      <c r="C20" s="3">
        <f t="shared" si="8"/>
        <v>50000</v>
      </c>
      <c r="D20" s="3">
        <f t="shared" si="8"/>
        <v>50000</v>
      </c>
      <c r="F20" s="64" t="s">
        <v>13</v>
      </c>
      <c r="G20" s="77">
        <f>IRR(G11:G16)</f>
        <v>-0.13367511257584141</v>
      </c>
      <c r="H20" s="77">
        <f>IRR(H11:H16)</f>
        <v>0.16026752851941062</v>
      </c>
      <c r="I20" s="77">
        <f>IRR(I11:I16)</f>
        <v>0.41315579567923444</v>
      </c>
    </row>
    <row r="21" spans="1:9" x14ac:dyDescent="0.75">
      <c r="A21" s="64" t="s">
        <v>10</v>
      </c>
      <c r="B21" s="3">
        <f t="shared" ref="B21" si="9">B17-SUM(B18:B20)</f>
        <v>-27500</v>
      </c>
      <c r="C21" s="3">
        <f t="shared" ref="C21:D21" si="10">C17-SUM(C18:C20)</f>
        <v>40000</v>
      </c>
      <c r="D21" s="3">
        <f t="shared" si="10"/>
        <v>114500</v>
      </c>
    </row>
    <row r="22" spans="1:9" x14ac:dyDescent="0.75">
      <c r="A22" s="64" t="s">
        <v>52</v>
      </c>
      <c r="B22" s="3">
        <f>ROUND(B21*$B$8,0)</f>
        <v>-9350</v>
      </c>
      <c r="C22" s="3">
        <f t="shared" ref="C22:D22" si="11">ROUND(C21*$B$8,0)</f>
        <v>13600</v>
      </c>
      <c r="D22" s="3">
        <f t="shared" si="11"/>
        <v>38930</v>
      </c>
      <c r="H22" s="9"/>
      <c r="I22" s="9"/>
    </row>
    <row r="23" spans="1:9" x14ac:dyDescent="0.75">
      <c r="A23" s="64" t="s">
        <v>240</v>
      </c>
      <c r="B23" s="3">
        <f t="shared" ref="B23" si="12">B21-B22</f>
        <v>-18150</v>
      </c>
      <c r="C23" s="3">
        <f t="shared" ref="C23:D23" si="13">C21-C22</f>
        <v>26400</v>
      </c>
      <c r="D23" s="3">
        <f t="shared" si="13"/>
        <v>75570</v>
      </c>
    </row>
    <row r="24" spans="1:9" x14ac:dyDescent="0.75">
      <c r="A24" s="64" t="s">
        <v>34</v>
      </c>
      <c r="B24" s="3">
        <f t="shared" ref="B24" si="14">B21-B22+B20</f>
        <v>31850</v>
      </c>
      <c r="C24" s="3">
        <f t="shared" ref="C24:D24" si="15">C21-C22+C20</f>
        <v>76400</v>
      </c>
      <c r="D24" s="3">
        <f t="shared" si="15"/>
        <v>125570</v>
      </c>
    </row>
    <row r="25" spans="1:9" x14ac:dyDescent="0.75">
      <c r="A25" s="64" t="s">
        <v>28</v>
      </c>
      <c r="B25" s="3">
        <f t="shared" ref="B25:D25" si="16">$B$9</f>
        <v>0</v>
      </c>
      <c r="C25" s="3">
        <f t="shared" si="16"/>
        <v>0</v>
      </c>
      <c r="D25" s="3">
        <f t="shared" si="16"/>
        <v>0</v>
      </c>
    </row>
    <row r="26" spans="1:9" x14ac:dyDescent="0.75">
      <c r="A26" s="64" t="s">
        <v>239</v>
      </c>
      <c r="B26" s="3">
        <f t="shared" ref="B26:D26" si="17">-$B$2</f>
        <v>-250000</v>
      </c>
      <c r="C26" s="3">
        <f t="shared" si="17"/>
        <v>-250000</v>
      </c>
      <c r="D26" s="3">
        <f t="shared" si="17"/>
        <v>-250000</v>
      </c>
    </row>
  </sheetData>
  <scenarios current="1" show="1">
    <scenario name="Set1" locked="1" count="29" user="Michael Girvin" comment="Created by Michael Girvin on 11/11/2010">
      <inputCells r="A2" val="Cost"/>
      <inputCells r="B2" val="200000" numFmtId="44"/>
      <inputCells r="A3" val="Salvage"/>
      <inputCells r="B3" val="0"/>
      <inputCells r="A4" val="Years"/>
      <inputCells r="B4" val="5"/>
      <inputCells r="A5" val="Depr"/>
      <inputCells r="B5" val="SL"/>
      <inputCells r="A7" val="RRR"/>
      <inputCells r="B7" val="0.12"/>
      <inputCells r="A8" val="Tax rate"/>
      <inputCells r="B8" val="0.34"/>
      <inputCells r="A9" val="No NWC"/>
      <inputCells r="B9" val="0"/>
      <inputCells r="B11" val="Pessimistic"/>
      <inputCells r="C11" val="Base"/>
      <inputCells r="D11" val="Optimistic"/>
      <inputCells r="B12" val="5500" numFmtId="43"/>
      <inputCells r="C12" val="6000" numFmtId="43"/>
      <inputCells r="D12" val="6500" numFmtId="43"/>
      <inputCells r="B13" val="75" numFmtId="44"/>
      <inputCells r="C13" val="80" numFmtId="44"/>
      <inputCells r="D13" val="85" numFmtId="44"/>
      <inputCells r="B14" val="62" numFmtId="44"/>
      <inputCells r="C14" val="60" numFmtId="44"/>
      <inputCells r="D14" val="58" numFmtId="44"/>
      <inputCells r="B15" val="55000" numFmtId="44"/>
      <inputCells r="C15" val="50000" numFmtId="44"/>
      <inputCells r="D15" val="45000" numFmtId="44"/>
    </scenario>
    <scenario name="Set2" locked="1" count="29" user="Michael Girvin" comment="Created by Michael Girvin on 11/11/2010_x000a_Modified by Michael Girvin on 11/11/2010">
      <inputCells r="A2" val="Cost"/>
      <inputCells r="B2" val="250000" numFmtId="44"/>
      <inputCells r="A3" val="Salvage"/>
      <inputCells r="B3" val="0"/>
      <inputCells r="A4" val="Years"/>
      <inputCells r="B4" val="5"/>
      <inputCells r="A5" val="Depr"/>
      <inputCells r="B5" val="SL"/>
      <inputCells r="A7" val="RRR"/>
      <inputCells r="B7" val="0.15"/>
      <inputCells r="A8" val="Tax rate"/>
      <inputCells r="B8" val="0.34"/>
      <inputCells r="A9" val="No NWC"/>
      <inputCells r="B9" val="0"/>
      <inputCells r="B11" val="Pessimistic"/>
      <inputCells r="C11" val="Base"/>
      <inputCells r="D11" val="Optimistic"/>
      <inputCells r="B12" val="7500" numFmtId="43"/>
      <inputCells r="C12" val="8000" numFmtId="43"/>
      <inputCells r="D12" val="8500" numFmtId="43"/>
      <inputCells r="B13" val="80" numFmtId="44"/>
      <inputCells r="C13" val="85" numFmtId="44"/>
      <inputCells r="D13" val="90" numFmtId="44"/>
      <inputCells r="B14" val="67" numFmtId="44"/>
      <inputCells r="C14" val="65" numFmtId="44"/>
      <inputCells r="D14" val="63" numFmtId="44"/>
      <inputCells r="B15" val="75000" numFmtId="44"/>
      <inputCells r="C15" val="70000" numFmtId="44"/>
      <inputCells r="D15" val="65000" numFmtId="44"/>
    </scenario>
  </scenario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H20"/>
  <sheetViews>
    <sheetView zoomScale="70" zoomScaleNormal="70" workbookViewId="0"/>
  </sheetViews>
  <sheetFormatPr defaultRowHeight="14.75" x14ac:dyDescent="0.75"/>
  <cols>
    <col min="1" max="1" width="9.453125" customWidth="1"/>
    <col min="2" max="2" width="12.6796875" bestFit="1" customWidth="1"/>
    <col min="3" max="3" width="4.6796875" customWidth="1"/>
    <col min="4" max="4" width="13.6796875" customWidth="1"/>
    <col min="5" max="5" width="12.2265625" bestFit="1" customWidth="1"/>
    <col min="6" max="7" width="13.86328125" customWidth="1"/>
  </cols>
  <sheetData>
    <row r="1" spans="1:8" ht="28.75" x14ac:dyDescent="1.35">
      <c r="A1" s="84" t="s">
        <v>242</v>
      </c>
      <c r="E1" s="64" t="s">
        <v>235</v>
      </c>
      <c r="F1" s="64" t="s">
        <v>237</v>
      </c>
      <c r="G1" s="64" t="s">
        <v>236</v>
      </c>
    </row>
    <row r="2" spans="1:8" x14ac:dyDescent="0.75">
      <c r="A2" s="64" t="s">
        <v>0</v>
      </c>
      <c r="B2" s="6">
        <v>250000</v>
      </c>
      <c r="D2" s="64" t="s">
        <v>243</v>
      </c>
      <c r="E2" s="4">
        <v>9000</v>
      </c>
      <c r="F2" s="4">
        <v>10000</v>
      </c>
      <c r="G2" s="4">
        <v>11000</v>
      </c>
    </row>
    <row r="3" spans="1:8" x14ac:dyDescent="0.75">
      <c r="A3" s="64" t="s">
        <v>229</v>
      </c>
      <c r="B3" s="1">
        <v>0</v>
      </c>
      <c r="D3" s="64" t="s">
        <v>16</v>
      </c>
      <c r="F3" s="6">
        <v>72</v>
      </c>
    </row>
    <row r="4" spans="1:8" x14ac:dyDescent="0.75">
      <c r="A4" s="64" t="s">
        <v>1</v>
      </c>
      <c r="B4" s="1">
        <v>5</v>
      </c>
      <c r="D4" s="64" t="s">
        <v>233</v>
      </c>
      <c r="F4" s="6">
        <v>55</v>
      </c>
    </row>
    <row r="5" spans="1:8" x14ac:dyDescent="0.75">
      <c r="A5" s="64" t="s">
        <v>198</v>
      </c>
      <c r="B5" s="1" t="s">
        <v>3</v>
      </c>
      <c r="D5" s="64" t="s">
        <v>234</v>
      </c>
      <c r="F5" s="6">
        <v>75000</v>
      </c>
    </row>
    <row r="6" spans="1:8" x14ac:dyDescent="0.75">
      <c r="A6" s="64" t="s">
        <v>230</v>
      </c>
      <c r="B6" s="82">
        <f>(B2-B3)/B4</f>
        <v>50000</v>
      </c>
    </row>
    <row r="7" spans="1:8" x14ac:dyDescent="0.75">
      <c r="A7" s="64" t="s">
        <v>41</v>
      </c>
      <c r="B7" s="1">
        <v>0.15</v>
      </c>
      <c r="D7" s="109" t="s">
        <v>17</v>
      </c>
      <c r="E7" s="83">
        <f>((F3-F4)*E2-F5)*(1-B8)+B6*B8</f>
        <v>68480</v>
      </c>
      <c r="F7" s="83">
        <f>((F3-F4)*F2-F5)*(1-B8)+B6*B8</f>
        <v>79700</v>
      </c>
      <c r="G7" s="83">
        <f>((F3-F4)*G2-F5)*(1-B8)+B6*B8</f>
        <v>90919.999999999985</v>
      </c>
    </row>
    <row r="8" spans="1:8" x14ac:dyDescent="0.75">
      <c r="A8" s="64" t="s">
        <v>231</v>
      </c>
      <c r="B8" s="1">
        <v>0.34</v>
      </c>
      <c r="D8" s="109" t="s">
        <v>18</v>
      </c>
      <c r="E8" s="83">
        <f>NPV($B$7,E7,E7,E7,E7,E7)-$B$2</f>
        <v>-20444.41888817912</v>
      </c>
      <c r="F8" s="83">
        <f t="shared" ref="F8:G8" si="0">NPV($B$7,F7,F7,F7,F7,F7)-$B$2</f>
        <v>17166.761311508773</v>
      </c>
      <c r="G8" s="83">
        <f t="shared" si="0"/>
        <v>54777.941511196666</v>
      </c>
    </row>
    <row r="9" spans="1:8" x14ac:dyDescent="0.75">
      <c r="A9" s="64" t="s">
        <v>238</v>
      </c>
      <c r="B9" s="1">
        <v>0</v>
      </c>
    </row>
    <row r="10" spans="1:8" ht="29.5" x14ac:dyDescent="0.75">
      <c r="D10" s="86" t="str">
        <f>"Sensitivity Analysis - As "&amp;E11&amp;" Changes, What Does NPV do?"&amp;CHAR(10)&amp;"The Steeper the line, the more forecast risk associated with variable."</f>
        <v>Sensitivity Analysis - As OCF Changes, What Does NPV do?
The Steeper the line, the more forecast risk associated with variable.</v>
      </c>
      <c r="E10" s="87"/>
      <c r="F10" s="88"/>
      <c r="G10" s="89"/>
      <c r="H10" s="90"/>
    </row>
    <row r="11" spans="1:8" x14ac:dyDescent="0.75">
      <c r="E11" s="85" t="str" cm="1">
        <f t="array" ref="E11:F14">TRANSPOSE(D7:G8)</f>
        <v>OCF</v>
      </c>
      <c r="F11" s="85" t="str">
        <v>NPV</v>
      </c>
    </row>
    <row r="12" spans="1:8" x14ac:dyDescent="0.75">
      <c r="D12" s="64" t="str">
        <f t="array" ref="D12:D14">TRANSPOSE(E1:G1)</f>
        <v>Pessimistic</v>
      </c>
      <c r="E12" s="142">
        <v>68480</v>
      </c>
      <c r="F12" s="82">
        <v>-20444.41888817912</v>
      </c>
    </row>
    <row r="13" spans="1:8" x14ac:dyDescent="0.75">
      <c r="D13" s="64" t="str">
        <v>Base</v>
      </c>
      <c r="E13" s="142">
        <v>79700</v>
      </c>
      <c r="F13" s="82">
        <v>17166.761311508773</v>
      </c>
    </row>
    <row r="14" spans="1:8" x14ac:dyDescent="0.75">
      <c r="D14" s="64" t="str">
        <v>Optimistic</v>
      </c>
      <c r="E14" s="142">
        <v>90919.999999999985</v>
      </c>
      <c r="F14" s="82">
        <v>54777.941511196666</v>
      </c>
    </row>
    <row r="16" spans="1:8" x14ac:dyDescent="0.75">
      <c r="D16" s="16" t="s">
        <v>244</v>
      </c>
      <c r="E16" s="33"/>
      <c r="F16" s="12">
        <f>SLOPE(F12:F14,E12:E14)</f>
        <v>3.3521550980114005</v>
      </c>
    </row>
    <row r="17" spans="4:4" x14ac:dyDescent="0.75">
      <c r="D17" t="s">
        <v>245</v>
      </c>
    </row>
    <row r="19" spans="4:4" x14ac:dyDescent="0.75">
      <c r="D19" s="94" t="s">
        <v>253</v>
      </c>
    </row>
    <row r="20" spans="4:4" x14ac:dyDescent="0.75">
      <c r="D20" s="94" t="s">
        <v>254</v>
      </c>
    </row>
  </sheetData>
  <scenarios current="0" show="0">
    <scenario name="Set1" locked="1" count="26" user="Michael Girvin" comment="Created by Michael Girvin on 11/11/2010">
      <inputCells r="A2" val="Cost"/>
      <inputCells r="B2" val="200000" numFmtId="44"/>
      <inputCells r="A3" val="Salvage"/>
      <inputCells r="B3" val="0"/>
      <inputCells r="A4" val="Years"/>
      <inputCells r="B4" val="5"/>
      <inputCells r="A5" val="Depr"/>
      <inputCells r="B5" val="SL"/>
      <inputCells r="A7" val="RRR"/>
      <inputCells r="B7" val="0.12"/>
      <inputCells r="A8" val="Tax rate"/>
      <inputCells r="B8" val="0.34"/>
      <inputCells r="A9" val="No NWC"/>
      <inputCells r="B9" val="0"/>
      <inputCells r="E1" val="Pessimistic"/>
      <inputCells r="F1" val="Base"/>
      <inputCells r="G1" val="Optimistic"/>
      <inputCells r="E2" val="5500" numFmtId="43"/>
      <inputCells r="F2" val="6000" numFmtId="43"/>
      <inputCells r="G2" val="6500" numFmtId="43"/>
      <inputCells r="F3" val="75" numFmtId="44"/>
      <inputCells r="G3" val="85" numFmtId="44"/>
      <inputCells r="F4" val="62" numFmtId="44"/>
      <inputCells r="G4" val="58" numFmtId="44"/>
      <inputCells r="F5" val="55000" numFmtId="44"/>
      <inputCells r="G5" val="45000" numFmtId="44"/>
    </scenario>
    <scenario name="Set2" locked="1" count="26" user="Michael Girvin" comment="Created by Michael Girvin on 11/11/2010_x000a_Modified by Michael Girvin on 11/11/2010">
      <inputCells r="A2" val="Cost"/>
      <inputCells r="B2" val="250000" numFmtId="44"/>
      <inputCells r="A3" val="Salvage"/>
      <inputCells r="B3" val="0"/>
      <inputCells r="A4" val="Years"/>
      <inputCells r="B4" val="5"/>
      <inputCells r="A5" val="Depr"/>
      <inputCells r="B5" val="SL"/>
      <inputCells r="A7" val="RRR"/>
      <inputCells r="B7" val="0.15"/>
      <inputCells r="A8" val="Tax rate"/>
      <inputCells r="B8" val="0.34"/>
      <inputCells r="A9" val="No NWC"/>
      <inputCells r="B9" val="0"/>
      <inputCells r="E1" val="Pessimistic"/>
      <inputCells r="F1" val="Base"/>
      <inputCells r="G1" val="Optimistic"/>
      <inputCells r="E2" val="7500" numFmtId="43"/>
      <inputCells r="F2" val="8000" numFmtId="43"/>
      <inputCells r="G2" val="8500" numFmtId="43"/>
      <inputCells r="F3" val="80" numFmtId="44"/>
      <inputCells r="G3" val="90" numFmtId="44"/>
      <inputCells r="F4" val="67" numFmtId="44"/>
      <inputCells r="G4" val="63" numFmtId="44"/>
      <inputCells r="F5" val="75000" numFmtId="44"/>
      <inputCells r="G5" val="65000" numFmtId="44"/>
    </scenario>
  </scenario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Ex(1)</vt:lpstr>
      <vt:lpstr>Ex(1an)</vt:lpstr>
      <vt:lpstr>Ex(2)</vt:lpstr>
      <vt:lpstr>Ex(2an)</vt:lpstr>
      <vt:lpstr>EX(3)</vt:lpstr>
      <vt:lpstr>EX(3an)</vt:lpstr>
      <vt:lpstr>Ex(4)</vt:lpstr>
      <vt:lpstr>Ex(4an)</vt:lpstr>
      <vt:lpstr>Ex(5)</vt:lpstr>
      <vt:lpstr>Ex(5an)</vt:lpstr>
      <vt:lpstr>Ex(6)</vt:lpstr>
      <vt:lpstr>Ex(6an)</vt:lpstr>
      <vt:lpstr>Ex(7auto)</vt:lpstr>
      <vt:lpstr>Ex(7)</vt:lpstr>
      <vt:lpstr>Ex(7an)</vt:lpstr>
      <vt:lpstr>MACRS</vt:lpstr>
      <vt:lpstr>MMCC</vt:lpstr>
      <vt:lpstr>Ex(8)</vt:lpstr>
      <vt:lpstr>Sheet4</vt:lpstr>
      <vt:lpstr>Sheet2</vt:lpstr>
      <vt:lpstr>Ex(8an)</vt:lpstr>
      <vt:lpstr>EX(9)</vt:lpstr>
      <vt:lpstr>EX(9an)</vt:lpstr>
      <vt:lpstr>Ex(10)</vt:lpstr>
      <vt:lpstr>Ex(10.1)</vt:lpstr>
      <vt:lpstr>Ex(10an)</vt:lpstr>
      <vt:lpstr>Ex(11)</vt:lpstr>
      <vt:lpstr>Ex(11.2)</vt:lpstr>
      <vt:lpstr>Ex(7old)</vt:lpstr>
      <vt:lpstr>Ex(11an)</vt:lpstr>
      <vt:lpstr>Class</vt:lpstr>
      <vt:lpstr>Property</vt:lpstr>
      <vt:lpstr>PropertyClass</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mgirvin</dc:creator>
  <cp:lastModifiedBy>Girvin, Michael</cp:lastModifiedBy>
  <dcterms:created xsi:type="dcterms:W3CDTF">2007-12-05T22:47:28Z</dcterms:created>
  <dcterms:modified xsi:type="dcterms:W3CDTF">2025-02-09T06:03:24Z</dcterms:modified>
</cp:coreProperties>
</file>