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3"/>
  <workbookPr/>
  <mc:AlternateContent xmlns:mc="http://schemas.openxmlformats.org/markup-compatibility/2006">
    <mc:Choice Requires="x15">
      <x15ac:absPath xmlns:x15ac="http://schemas.microsoft.com/office/spreadsheetml/2010/11/ac" url="F:\00VideoClassStorage\000YouTubeExcelTricks\YouTubeTricks\1761-1765\"/>
    </mc:Choice>
  </mc:AlternateContent>
  <xr:revisionPtr revIDLastSave="0" documentId="13_ncr:1_{7BC46073-B2FA-4B12-B642-7D9617930AD2}" xr6:coauthVersionLast="47" xr6:coauthVersionMax="47" xr10:uidLastSave="{00000000-0000-0000-0000-000000000000}"/>
  <bookViews>
    <workbookView xWindow="-120" yWindow="-120" windowWidth="29040" windowHeight="15840" tabRatio="678" activeTab="1" xr2:uid="{00000000-000D-0000-FFFF-FFFF00000000}"/>
  </bookViews>
  <sheets>
    <sheet name="C(1762C)" sheetId="58" r:id="rId1"/>
    <sheet name="1762" sheetId="59" r:id="rId2"/>
    <sheet name="1762 (an)" sheetId="62" r:id="rId3"/>
    <sheet name="1761" sheetId="34" r:id="rId4"/>
    <sheet name="1761 (an)" sheetId="57" r:id="rId5"/>
  </sheets>
  <definedNames>
    <definedName name="GetTargetAmount">_xlfn.LAMBDA(_xlpm.rng,_xlpm.currTbl,_xlfn.BYROW(_xlpm.rng,_xlfn.LAMBDA(_xlpm.row,VLOOKUP(INDEX(_xlpm.row,3),_xlpm.currTbl,_xlfn.XMATCH(INDEX(_xlpm.row,2),INDEX(_xlpm.currTbl,1,)),0)*INDEX(_xlpm.row,1))))</definedName>
    <definedName name="NPV" localSheetId="2">'1762 (an)'!$F$13</definedName>
    <definedName name="NPV">'1762'!$F$13</definedName>
    <definedName name="XNPV" localSheetId="2">'1762 (an)'!$F$14</definedName>
    <definedName name="XNPV">'1762'!$F$14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8" i="62" l="1"/>
  <c r="T33" i="62"/>
  <c r="T34" i="62"/>
  <c r="T35" i="62"/>
  <c r="T36" i="62"/>
  <c r="T37" i="62"/>
  <c r="T32" i="62"/>
  <c r="V33" i="62"/>
  <c r="V34" i="62"/>
  <c r="V35" i="62"/>
  <c r="V36" i="62"/>
  <c r="V37" i="62"/>
  <c r="V32" i="62"/>
  <c r="R25" i="62" a="1"/>
  <c r="R25" i="62" s="1"/>
  <c r="Q25" i="62" a="1"/>
  <c r="Q25" i="62" s="1"/>
  <c r="N20" i="62" a="1"/>
  <c r="N20" i="62" s="1"/>
  <c r="N26" i="62" s="1"/>
  <c r="N32" i="57"/>
  <c r="N41" i="57"/>
  <c r="N50" i="57"/>
  <c r="N45" i="57"/>
  <c r="N46" i="57"/>
  <c r="N47" i="57"/>
  <c r="N48" i="57"/>
  <c r="N49" i="57"/>
  <c r="N44" i="57"/>
  <c r="N36" i="57"/>
  <c r="N37" i="57"/>
  <c r="N38" i="57"/>
  <c r="N39" i="57"/>
  <c r="N40" i="57"/>
  <c r="N35" i="57"/>
  <c r="N30" i="57"/>
  <c r="N26" i="57"/>
  <c r="N27" i="57"/>
  <c r="N28" i="57"/>
  <c r="N29" i="57"/>
  <c r="N31" i="57"/>
  <c r="L45" i="57"/>
  <c r="L46" i="57"/>
  <c r="L47" i="57"/>
  <c r="L48" i="57"/>
  <c r="L49" i="57"/>
  <c r="L44" i="57"/>
  <c r="N13" i="59"/>
  <c r="U32" i="62" a="1"/>
  <c r="M44" i="57"/>
  <c r="M49" i="57"/>
  <c r="M45" i="57"/>
  <c r="O20" i="62" a="1"/>
  <c r="M48" i="57"/>
  <c r="M47" i="57"/>
  <c r="M46" i="57"/>
  <c r="U32" i="62" l="1"/>
  <c r="O20" i="62"/>
  <c r="F14" i="62"/>
  <c r="N13" i="62"/>
  <c r="F13" i="62"/>
  <c r="F15" i="62" s="1"/>
  <c r="N10" i="62"/>
  <c r="M10" i="62"/>
  <c r="F10" i="62"/>
  <c r="N9" i="62"/>
  <c r="M9" i="62"/>
  <c r="M13" i="62" s="1"/>
  <c r="F9" i="62"/>
  <c r="N8" i="62"/>
  <c r="M8" i="62"/>
  <c r="F8" i="62"/>
  <c r="N7" i="62"/>
  <c r="M7" i="62"/>
  <c r="F7" i="62"/>
  <c r="N6" i="62"/>
  <c r="M6" i="62"/>
  <c r="F6" i="62"/>
  <c r="R5" i="62" a="1"/>
  <c r="R5" i="62" s="1"/>
  <c r="Q5" i="62"/>
  <c r="Q5" i="62" a="1"/>
  <c r="N5" i="62"/>
  <c r="M5" i="62"/>
  <c r="I5" i="62" a="1"/>
  <c r="I5" i="62" s="1"/>
  <c r="I11" i="62" s="1"/>
  <c r="F5" i="62"/>
  <c r="F11" i="62" s="1"/>
  <c r="R5" i="59" a="1"/>
  <c r="R5" i="59" s="1"/>
  <c r="Q5" i="59" a="1"/>
  <c r="Q5" i="59" s="1"/>
  <c r="M13" i="59"/>
  <c r="J5" i="62" a="1"/>
  <c r="G13" i="62" a="1"/>
  <c r="G5" i="62" a="1"/>
  <c r="O13" i="62"/>
  <c r="O13" i="59"/>
  <c r="G13" i="62" l="1"/>
  <c r="G5" i="62"/>
  <c r="J5" i="62"/>
  <c r="L26" i="57"/>
  <c r="L35" i="57"/>
  <c r="I26" i="57"/>
  <c r="C19" i="58"/>
  <c r="B10" i="57"/>
  <c r="L27" i="57" s="1"/>
  <c r="F9" i="57"/>
  <c r="J29" i="57"/>
  <c r="J30" i="57"/>
  <c r="G13" i="57"/>
  <c r="G10" i="57"/>
  <c r="M31" i="57"/>
  <c r="M38" i="57"/>
  <c r="G12" i="57"/>
  <c r="J5" i="59" a="1"/>
  <c r="D15" i="57"/>
  <c r="G13" i="59" a="1"/>
  <c r="M39" i="57"/>
  <c r="D23" i="57"/>
  <c r="M40" i="57"/>
  <c r="J26" i="57"/>
  <c r="J32" i="57"/>
  <c r="F19" i="57"/>
  <c r="M27" i="57"/>
  <c r="G11" i="57"/>
  <c r="J27" i="57"/>
  <c r="G14" i="57"/>
  <c r="M28" i="57"/>
  <c r="M29" i="57"/>
  <c r="J28" i="57"/>
  <c r="G9" i="57"/>
  <c r="M30" i="57"/>
  <c r="F17" i="57"/>
  <c r="M37" i="57"/>
  <c r="G15" i="57"/>
  <c r="M36" i="57"/>
  <c r="M35" i="57"/>
  <c r="G5" i="59" a="1"/>
  <c r="J31" i="57"/>
  <c r="M26" i="57"/>
  <c r="G13" i="59" l="1"/>
  <c r="L36" i="57"/>
  <c r="I27" i="57"/>
  <c r="J5" i="59"/>
  <c r="G5" i="59"/>
  <c r="F10" i="57"/>
  <c r="B11" i="57"/>
  <c r="B10" i="34"/>
  <c r="F19" i="34"/>
  <c r="F17" i="34"/>
  <c r="G9" i="34"/>
  <c r="D23" i="34"/>
  <c r="G12" i="34"/>
  <c r="G11" i="34"/>
  <c r="G10" i="34"/>
  <c r="G13" i="34"/>
  <c r="G15" i="34"/>
  <c r="G14" i="34"/>
  <c r="D15" i="34"/>
  <c r="L28" i="57" l="1"/>
  <c r="L37" i="57"/>
  <c r="I28" i="57"/>
  <c r="B12" i="57"/>
  <c r="F11" i="57"/>
  <c r="B11" i="34"/>
  <c r="L38" i="57" l="1"/>
  <c r="I29" i="57"/>
  <c r="L29" i="57"/>
  <c r="F12" i="57"/>
  <c r="B13" i="57"/>
  <c r="B12" i="34"/>
  <c r="L39" i="57" l="1"/>
  <c r="L30" i="57"/>
  <c r="I30" i="57"/>
  <c r="G26" i="57" a="1"/>
  <c r="G26" i="57" s="1"/>
  <c r="G32" i="57" s="1"/>
  <c r="B14" i="57"/>
  <c r="F26" i="57" s="1" a="1"/>
  <c r="F26" i="57" s="1"/>
  <c r="F32" i="57" s="1"/>
  <c r="F13" i="57"/>
  <c r="C15" i="57"/>
  <c r="C23" i="57" a="1"/>
  <c r="C23" i="57" s="1"/>
  <c r="B13" i="34"/>
  <c r="F14" i="57" l="1"/>
  <c r="F15" i="57" s="1"/>
  <c r="L31" i="57"/>
  <c r="I31" i="57"/>
  <c r="I32" i="57" s="1"/>
  <c r="L40" i="57"/>
  <c r="B14" i="3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<sst xmlns="http://schemas.openxmlformats.org/spreadsheetml/2006/main" count="103" uniqueCount="48">
  <si>
    <t>Formulas:</t>
  </si>
  <si>
    <t>Variables and function arguments:</t>
  </si>
  <si>
    <t>Inputs &amp; formulas:</t>
  </si>
  <si>
    <t>Cash Flows</t>
  </si>
  <si>
    <t>NPV at time 0</t>
  </si>
  <si>
    <t>Estimated cash flows that machine will generate:</t>
  </si>
  <si>
    <t>Check:</t>
  </si>
  <si>
    <t>Asset to buy =</t>
  </si>
  <si>
    <t>C &amp; C Router Machine</t>
  </si>
  <si>
    <t>Annual discount rate = RRR</t>
  </si>
  <si>
    <t>Math formula for NPV:</t>
  </si>
  <si>
    <t>Dates</t>
  </si>
  <si>
    <t>XNPV( rate , values , dates )</t>
  </si>
  <si>
    <t>Q #12</t>
  </si>
  <si>
    <t>How much to pay for machine with irregular cash flows and un-equal time periods?</t>
  </si>
  <si>
    <t>7 LAMBDA Helper Functions: MAP, SCAN, BYCOL, BYROW, ISOMITTED, MAKEARRAY. Excel Magic Trick 1749</t>
  </si>
  <si>
    <t>DAX, Calculated Field, Table Formula?</t>
  </si>
  <si>
    <t>Exceλambda crazy pill formula:</t>
  </si>
  <si>
    <t>Easy Spill formula:</t>
  </si>
  <si>
    <t>RRR</t>
  </si>
  <si>
    <t>NPV</t>
  </si>
  <si>
    <t>XNPV</t>
  </si>
  <si>
    <t>Year 0</t>
  </si>
  <si>
    <t>Year 1</t>
  </si>
  <si>
    <t>Year 2</t>
  </si>
  <si>
    <t>Year 3</t>
  </si>
  <si>
    <t>Year 4</t>
  </si>
  <si>
    <t>Year 5</t>
  </si>
  <si>
    <t>Year</t>
  </si>
  <si>
    <t>Date</t>
  </si>
  <si>
    <t>Cash Flow</t>
  </si>
  <si>
    <t>NPV Long Hand</t>
  </si>
  <si>
    <t>XNPX Longhand</t>
  </si>
  <si>
    <t>Formula:</t>
  </si>
  <si>
    <t>YEARFRAC from Amardeep Singh</t>
  </si>
  <si>
    <t>Day formula for exponent</t>
  </si>
  <si>
    <t>YEARFRAC exponent</t>
  </si>
  <si>
    <t>Difference</t>
  </si>
  <si>
    <t>NPV-XNPV</t>
  </si>
  <si>
    <t>Integer</t>
  </si>
  <si>
    <t>Proportion of Days</t>
  </si>
  <si>
    <t>Old School:</t>
  </si>
  <si>
    <t>New School:</t>
  </si>
  <si>
    <r>
      <rPr>
        <b/>
        <sz val="70"/>
        <color theme="0"/>
        <rFont val="Calibri"/>
        <family val="2"/>
        <scheme val="minor"/>
      </rPr>
      <t>E</t>
    </r>
    <r>
      <rPr>
        <b/>
        <sz val="48"/>
        <color theme="0"/>
        <rFont val="Calibri"/>
        <family val="2"/>
        <scheme val="minor"/>
      </rPr>
      <t xml:space="preserve">
NPV</t>
    </r>
    <r>
      <rPr>
        <b/>
        <sz val="30"/>
        <color theme="0"/>
        <rFont val="Calibri"/>
        <family val="2"/>
        <scheme val="minor"/>
      </rPr>
      <t xml:space="preserve">
vs.
</t>
    </r>
    <r>
      <rPr>
        <b/>
        <sz val="48"/>
        <color theme="0"/>
        <rFont val="Calibri"/>
        <family val="2"/>
        <scheme val="minor"/>
      </rPr>
      <t>XNPV</t>
    </r>
  </si>
  <si>
    <t>Excel Magic Trick 1762</t>
  </si>
  <si>
    <t>Cary asked about 365.25:</t>
  </si>
  <si>
    <t>Bigger!</t>
  </si>
  <si>
    <t>Actual Days: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</si>
</sst>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d/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363636"/>
      <name val="Segoe UI"/>
      <family val="2"/>
    </font>
    <font>
      <b/>
      <sz val="4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7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64" fontId="3" fillId="3" borderId="2" xfId="0" applyNumberFormat="1" applyFont="1" applyFill="1" applyBorder="1"/>
    <xf numFmtId="0" fontId="2" fillId="2" borderId="1" xfId="0" applyFont="1" applyFill="1" applyBorder="1"/>
    <xf numFmtId="0" fontId="1" fillId="0" borderId="1" xfId="0" applyFont="1" applyBorder="1"/>
    <xf numFmtId="0" fontId="0" fillId="4" borderId="2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164" fontId="0" fillId="0" borderId="1" xfId="0" applyNumberFormat="1" applyBorder="1"/>
    <xf numFmtId="164" fontId="0" fillId="3" borderId="1" xfId="0" applyNumberFormat="1" applyFill="1" applyBorder="1"/>
    <xf numFmtId="0" fontId="0" fillId="0" borderId="0" xfId="0" applyBorder="1"/>
    <xf numFmtId="0" fontId="0" fillId="0" borderId="4" xfId="0" applyBorder="1"/>
    <xf numFmtId="0" fontId="0" fillId="0" borderId="0" xfId="0" applyBorder="1" applyAlignment="1">
      <alignment horizontal="left" indent="1"/>
    </xf>
    <xf numFmtId="165" fontId="0" fillId="0" borderId="1" xfId="0" applyNumberFormat="1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ill="1"/>
    <xf numFmtId="0" fontId="9" fillId="6" borderId="0" xfId="0" applyFont="1" applyFill="1" applyAlignment="1">
      <alignment vertical="center" wrapText="1"/>
    </xf>
    <xf numFmtId="0" fontId="10" fillId="0" borderId="0" xfId="0" applyFont="1" applyAlignment="1">
      <alignment horizontal="left" indent="2"/>
    </xf>
    <xf numFmtId="14" fontId="0" fillId="0" borderId="1" xfId="0" applyNumberFormat="1" applyBorder="1"/>
    <xf numFmtId="0" fontId="11" fillId="2" borderId="1" xfId="0" applyFont="1" applyFill="1" applyBorder="1"/>
    <xf numFmtId="0" fontId="11" fillId="2" borderId="0" xfId="0" applyFont="1" applyFill="1" applyBorder="1"/>
    <xf numFmtId="164" fontId="0" fillId="3" borderId="2" xfId="0" applyNumberFormat="1" applyFill="1" applyBorder="1"/>
    <xf numFmtId="164" fontId="0" fillId="7" borderId="1" xfId="0" applyNumberFormat="1" applyFill="1" applyBorder="1"/>
    <xf numFmtId="0" fontId="0" fillId="3" borderId="1" xfId="0" applyFill="1" applyBorder="1"/>
    <xf numFmtId="0" fontId="2" fillId="6" borderId="1" xfId="0" applyFont="1" applyFill="1" applyBorder="1"/>
    <xf numFmtId="14" fontId="0" fillId="0" borderId="0" xfId="0" applyNumberFormat="1"/>
    <xf numFmtId="0" fontId="0" fillId="8" borderId="0" xfId="0" applyFill="1"/>
    <xf numFmtId="0" fontId="2" fillId="2" borderId="1" xfId="0" applyFont="1" applyFill="1" applyBorder="1" applyAlignment="1">
      <alignment horizontal="right"/>
    </xf>
    <xf numFmtId="164" fontId="0" fillId="0" borderId="0" xfId="0" applyNumberFormat="1"/>
    <xf numFmtId="0" fontId="6" fillId="2" borderId="0" xfId="0" applyFont="1" applyFill="1" applyAlignment="1">
      <alignment horizontal="left" vertical="center" wrapText="1" indent="2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7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5013</xdr:colOff>
      <xdr:row>1</xdr:row>
      <xdr:rowOff>10026</xdr:rowOff>
    </xdr:from>
    <xdr:to>
      <xdr:col>10</xdr:col>
      <xdr:colOff>5013</xdr:colOff>
      <xdr:row>14</xdr:row>
      <xdr:rowOff>59871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AB1018A-7E08-4993-BBC8-2B83C7EF40C4}"/>
            </a:ext>
          </a:extLst>
        </xdr:cNvPr>
        <xdr:cNvSpPr/>
      </xdr:nvSpPr>
      <xdr:spPr>
        <a:xfrm>
          <a:off x="614613" y="200526"/>
          <a:ext cx="6381750" cy="3535995"/>
        </a:xfrm>
        <a:prstGeom prst="rect">
          <a:avLst/>
        </a:prstGeom>
        <a:noFill/>
        <a:ln w="603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816427</xdr:colOff>
      <xdr:row>2</xdr:row>
      <xdr:rowOff>353787</xdr:rowOff>
    </xdr:from>
    <xdr:to>
      <xdr:col>11</xdr:col>
      <xdr:colOff>2505394</xdr:colOff>
      <xdr:row>8</xdr:row>
      <xdr:rowOff>32659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416AC9-E2D9-45CB-82D5-A64B4D3BC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7377" y="668112"/>
          <a:ext cx="1688967" cy="1564822"/>
        </a:xfrm>
        <a:prstGeom prst="rect">
          <a:avLst/>
        </a:prstGeom>
      </xdr:spPr>
    </xdr:pic>
    <xdr:clientData/>
  </xdr:twoCellAnchor>
  <xdr:twoCellAnchor>
    <xdr:from>
      <xdr:col>11</xdr:col>
      <xdr:colOff>114300</xdr:colOff>
      <xdr:row>11</xdr:row>
      <xdr:rowOff>125185</xdr:rowOff>
    </xdr:from>
    <xdr:to>
      <xdr:col>11</xdr:col>
      <xdr:colOff>1774371</xdr:colOff>
      <xdr:row>11</xdr:row>
      <xdr:rowOff>136071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5A0FCFB-FE1C-4EAE-9C2C-19B3FA90A405}"/>
            </a:ext>
          </a:extLst>
        </xdr:cNvPr>
        <xdr:cNvCxnSpPr/>
      </xdr:nvCxnSpPr>
      <xdr:spPr>
        <a:xfrm flipV="1">
          <a:off x="7715250" y="2906485"/>
          <a:ext cx="1660071" cy="10886"/>
        </a:xfrm>
        <a:prstGeom prst="straightConnector1">
          <a:avLst/>
        </a:prstGeom>
        <a:ln w="184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506187</xdr:colOff>
      <xdr:row>10</xdr:row>
      <xdr:rowOff>10886</xdr:rowOff>
    </xdr:from>
    <xdr:to>
      <xdr:col>11</xdr:col>
      <xdr:colOff>867296</xdr:colOff>
      <xdr:row>13</xdr:row>
      <xdr:rowOff>163286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7C4E85-21D2-4C76-94EF-F6419B51B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537" y="2592161"/>
          <a:ext cx="970709" cy="1000125"/>
        </a:xfrm>
        <a:prstGeom prst="rect">
          <a:avLst/>
        </a:prstGeom>
      </xdr:spPr>
    </xdr:pic>
    <xdr:clientData/>
  </xdr:twoCellAnchor>
  <xdr:twoCellAnchor editAs="oneCell">
    <xdr:from>
      <xdr:col>10</xdr:col>
      <xdr:colOff>340267</xdr:colOff>
      <xdr:row>2</xdr:row>
      <xdr:rowOff>402772</xdr:rowOff>
    </xdr:from>
    <xdr:to>
      <xdr:col>11</xdr:col>
      <xdr:colOff>852225</xdr:colOff>
      <xdr:row>6</xdr:row>
      <xdr:rowOff>277587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8A7CF6F-5099-4B18-9134-9FA745A52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617" y="717097"/>
          <a:ext cx="1121558" cy="1036865"/>
        </a:xfrm>
        <a:prstGeom prst="rect">
          <a:avLst/>
        </a:prstGeom>
      </xdr:spPr>
    </xdr:pic>
    <xdr:clientData/>
  </xdr:twoCellAnchor>
  <xdr:twoCellAnchor editAs="oneCell">
    <xdr:from>
      <xdr:col>1</xdr:col>
      <xdr:colOff>296405</xdr:colOff>
      <xdr:row>2</xdr:row>
      <xdr:rowOff>5442</xdr:rowOff>
    </xdr:from>
    <xdr:to>
      <xdr:col>4</xdr:col>
      <xdr:colOff>261257</xdr:colOff>
      <xdr:row>5</xdr:row>
      <xdr:rowOff>29179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6F4865D-CE4B-427F-960D-87A9BEEF3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005" y="321128"/>
          <a:ext cx="1499738" cy="998008"/>
        </a:xfrm>
        <a:prstGeom prst="rect">
          <a:avLst/>
        </a:prstGeom>
      </xdr:spPr>
    </xdr:pic>
    <xdr:clientData/>
  </xdr:twoCellAnchor>
  <xdr:oneCellAnchor>
    <xdr:from>
      <xdr:col>4</xdr:col>
      <xdr:colOff>615040</xdr:colOff>
      <xdr:row>6</xdr:row>
      <xdr:rowOff>125185</xdr:rowOff>
    </xdr:from>
    <xdr:ext cx="4098473" cy="14042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A3F4B791-553F-4648-B8BC-4539D4DD0BD6}"/>
                </a:ext>
              </a:extLst>
            </xdr:cNvPr>
            <xdr:cNvSpPr txBox="1"/>
          </xdr:nvSpPr>
          <xdr:spPr>
            <a:xfrm>
              <a:off x="2759526" y="1605642"/>
              <a:ext cx="4098473" cy="14042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000" b="1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𝑿𝑵𝑷𝑽</m:t>
                    </m:r>
                    <m:r>
                      <a:rPr lang="en-US" sz="2000" b="1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ctrlPr>
                          <a:rPr lang="en-US" sz="20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a:rPr lang="en-US" sz="20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𝒋</m:t>
                        </m:r>
                        <m:r>
                          <a:rPr lang="en-US" sz="20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US" sz="20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  <m:sup>
                        <m:r>
                          <a:rPr lang="en-US" sz="20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𝒏</m:t>
                        </m:r>
                      </m:sup>
                      <m:e>
                        <m:f>
                          <m:fPr>
                            <m:ctrlPr>
                              <a:rPr lang="en-US" sz="2000" b="1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  <m:t>𝑪𝑭</m:t>
                                </m:r>
                              </m:e>
                              <m:sub>
                                <m: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  <m:t>𝒋</m:t>
                                </m:r>
                              </m:sub>
                            </m:sSub>
                          </m:num>
                          <m:den>
                            <m:sSup>
                              <m:sSupPr>
                                <m:ctrlP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  <m:t>(</m:t>
                                </m:r>
                                <m: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  <m:t>𝟏</m:t>
                                </m:r>
                                <m: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  <m:t>+</m:t>
                                </m:r>
                                <m: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  <m:t>𝑷𝒆𝒓𝑹𝒂𝒕𝒆</m:t>
                                </m:r>
                                <m: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</m:e>
                              <m:sup>
                                <m:f>
                                  <m:fPr>
                                    <m:ctrlPr>
                                      <a:rPr lang="en-US" sz="2000" b="1" i="1">
                                        <a:solidFill>
                                          <a:schemeClr val="bg1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d>
                                      <m:dPr>
                                        <m:ctrlPr>
                                          <a:rPr lang="en-US" sz="2000" b="1" i="1">
                                            <a:solidFill>
                                              <a:schemeClr val="bg1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en-US" sz="2000" b="1" i="1">
                                                <a:solidFill>
                                                  <a:schemeClr val="bg1"/>
                                                </a:solidFill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2000" b="1" i="1">
                                                <a:solidFill>
                                                  <a:schemeClr val="bg1"/>
                                                </a:solidFill>
                                                <a:latin typeface="Cambria Math" panose="02040503050406030204" pitchFamily="18" charset="0"/>
                                              </a:rPr>
                                              <m:t>𝑫</m:t>
                                            </m:r>
                                          </m:e>
                                          <m:sub>
                                            <m:r>
                                              <a:rPr lang="en-US" sz="2000" b="1" i="1">
                                                <a:solidFill>
                                                  <a:schemeClr val="bg1"/>
                                                </a:solidFill>
                                                <a:latin typeface="Cambria Math" panose="02040503050406030204" pitchFamily="18" charset="0"/>
                                              </a:rPr>
                                              <m:t>𝒋</m:t>
                                            </m:r>
                                          </m:sub>
                                        </m:sSub>
                                        <m:r>
                                          <a:rPr lang="en-US" sz="2000" b="1" i="1">
                                            <a:solidFill>
                                              <a:schemeClr val="bg1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−</m:t>
                                        </m:r>
                                        <m:sSub>
                                          <m:sSubPr>
                                            <m:ctrlPr>
                                              <a:rPr lang="en-US" sz="2000" b="1" i="1">
                                                <a:solidFill>
                                                  <a:schemeClr val="bg1"/>
                                                </a:solidFill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2000" b="1" i="1">
                                                <a:solidFill>
                                                  <a:schemeClr val="bg1"/>
                                                </a:solidFill>
                                                <a:latin typeface="Cambria Math" panose="02040503050406030204" pitchFamily="18" charset="0"/>
                                              </a:rPr>
                                              <m:t>𝑫</m:t>
                                            </m:r>
                                          </m:e>
                                          <m:sub>
                                            <m:r>
                                              <a:rPr lang="en-US" sz="2000" b="1" i="1">
                                                <a:solidFill>
                                                  <a:schemeClr val="bg1"/>
                                                </a:solidFill>
                                                <a:latin typeface="Cambria Math" panose="02040503050406030204" pitchFamily="18" charset="0"/>
                                              </a:rPr>
                                              <m:t>𝟏</m:t>
                                            </m:r>
                                          </m:sub>
                                        </m:sSub>
                                      </m:e>
                                    </m:d>
                                  </m:num>
                                  <m:den>
                                    <m:r>
                                      <a:rPr lang="en-US" sz="2000" b="1" i="1">
                                        <a:solidFill>
                                          <a:schemeClr val="bg1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𝟑𝟔𝟓</m:t>
                                    </m:r>
                                  </m:den>
                                </m:f>
                              </m:sup>
                            </m:sSup>
                          </m:den>
                        </m:f>
                      </m:e>
                    </m:nary>
                  </m:oMath>
                </m:oMathPara>
              </a14:m>
              <a:endParaRPr lang="en-US" sz="2000" b="1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A3F4B791-553F-4648-B8BC-4539D4DD0BD6}"/>
                </a:ext>
              </a:extLst>
            </xdr:cNvPr>
            <xdr:cNvSpPr txBox="1"/>
          </xdr:nvSpPr>
          <xdr:spPr>
            <a:xfrm>
              <a:off x="2759526" y="1605642"/>
              <a:ext cx="4098473" cy="14042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2000" b="1" i="0">
                  <a:solidFill>
                    <a:schemeClr val="bg1"/>
                  </a:solidFill>
                  <a:latin typeface="Cambria Math" panose="02040503050406030204" pitchFamily="18" charset="0"/>
                </a:rPr>
                <a:t>𝑿𝑵𝑷𝑽=∑_(𝒋=𝟏)^𝒏▒〖𝑪𝑭〗_𝒋/〖(𝟏+𝑷𝒆𝒓𝑹𝒂𝒕𝒆)〗^(((𝑫_𝒋−𝑫_𝟏 ))/𝟑𝟔𝟓) </a:t>
              </a:r>
              <a:endParaRPr lang="en-US" sz="2000" b="1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653141</xdr:colOff>
      <xdr:row>2</xdr:row>
      <xdr:rowOff>108856</xdr:rowOff>
    </xdr:from>
    <xdr:ext cx="4098473" cy="14042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70599BDC-96DF-4B28-98FA-79C32C916813}"/>
                </a:ext>
              </a:extLst>
            </xdr:cNvPr>
            <xdr:cNvSpPr txBox="1"/>
          </xdr:nvSpPr>
          <xdr:spPr>
            <a:xfrm>
              <a:off x="2797627" y="424542"/>
              <a:ext cx="4098473" cy="14042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000" b="1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𝑿𝑵𝑷𝑽</m:t>
                    </m:r>
                    <m:r>
                      <a:rPr lang="en-US" sz="2000" b="1" i="1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ctrlPr>
                          <a:rPr lang="en-US" sz="20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a:rPr lang="en-US" sz="20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𝒋</m:t>
                        </m:r>
                        <m:r>
                          <a:rPr lang="en-US" sz="20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US" sz="20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𝟏</m:t>
                        </m:r>
                      </m:sub>
                      <m:sup>
                        <m:r>
                          <a:rPr lang="en-US" sz="20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𝒏</m:t>
                        </m:r>
                      </m:sup>
                      <m:e>
                        <m:f>
                          <m:fPr>
                            <m:ctrlPr>
                              <a:rPr lang="en-US" sz="2000" b="1" i="1">
                                <a:solidFill>
                                  <a:schemeClr val="bg1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  <m:t>𝑪𝑭</m:t>
                                </m:r>
                              </m:e>
                              <m:sub>
                                <m: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  <m:t>𝒋</m:t>
                                </m:r>
                              </m:sub>
                            </m:sSub>
                          </m:num>
                          <m:den>
                            <m:sSup>
                              <m:sSupPr>
                                <m:ctrlP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  <m:t>(</m:t>
                                </m:r>
                                <m: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  <m:t>𝟏</m:t>
                                </m:r>
                                <m: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  <m:t>+</m:t>
                                </m:r>
                                <m: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  <m:t>𝑷𝒆𝒓𝑹𝒂𝒕𝒆</m:t>
                                </m:r>
                                <m: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</m:e>
                              <m:sup>
                                <m:r>
                                  <a:rPr lang="en-US" sz="2000" b="1" i="1">
                                    <a:solidFill>
                                      <a:schemeClr val="bg1"/>
                                    </a:solidFill>
                                    <a:latin typeface="Cambria Math" panose="02040503050406030204" pitchFamily="18" charset="0"/>
                                  </a:rPr>
                                  <m:t>𝑻𝒐𝒕𝒂𝒍𝑷𝒆𝒓</m:t>
                                </m:r>
                              </m:sup>
                            </m:sSup>
                          </m:den>
                        </m:f>
                      </m:e>
                    </m:nary>
                  </m:oMath>
                </m:oMathPara>
              </a14:m>
              <a:endParaRPr lang="en-US" sz="2000" b="1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70599BDC-96DF-4B28-98FA-79C32C916813}"/>
                </a:ext>
              </a:extLst>
            </xdr:cNvPr>
            <xdr:cNvSpPr txBox="1"/>
          </xdr:nvSpPr>
          <xdr:spPr>
            <a:xfrm>
              <a:off x="2797627" y="424542"/>
              <a:ext cx="4098473" cy="14042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2000" b="1" i="0">
                  <a:solidFill>
                    <a:schemeClr val="bg1"/>
                  </a:solidFill>
                  <a:latin typeface="Cambria Math" panose="02040503050406030204" pitchFamily="18" charset="0"/>
                </a:rPr>
                <a:t>𝑿𝑵𝑷𝑽=∑_(𝒋=𝟏)^𝒏▒〖𝑪𝑭〗_𝒋/〖(𝟏+𝑷𝒆𝒓𝑹𝒂𝒕𝒆)〗^𝑻𝒐𝒕𝒂𝒍𝑷𝒆𝒓 </a:t>
              </a:r>
              <a:endParaRPr lang="en-US" sz="2000" b="1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178593</xdr:colOff>
      <xdr:row>15</xdr:row>
      <xdr:rowOff>83344</xdr:rowOff>
    </xdr:from>
    <xdr:ext cx="4103291" cy="10834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E6FEF2B-2B92-4EC8-9B20-8F049EE3477E}"/>
                </a:ext>
              </a:extLst>
            </xdr:cNvPr>
            <xdr:cNvSpPr txBox="1"/>
          </xdr:nvSpPr>
          <xdr:spPr>
            <a:xfrm>
              <a:off x="6042421" y="2940844"/>
              <a:ext cx="4103291" cy="10834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000" b="0" i="1">
                        <a:latin typeface="Cambria Math" panose="02040503050406030204" pitchFamily="18" charset="0"/>
                      </a:rPr>
                      <m:t>𝑋𝑁𝑃𝑉</m:t>
                    </m:r>
                    <m:r>
                      <a:rPr lang="en-US" sz="200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ctrlPr>
                          <a:rPr lang="en-US" sz="20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  <m:sup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f>
                          <m:fPr>
                            <m:ctrlPr>
                              <a:rPr lang="en-US" sz="20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20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𝐶𝐹</m:t>
                                </m:r>
                              </m:e>
                              <m:sub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𝑗</m:t>
                                </m:r>
                              </m:sub>
                            </m:sSub>
                          </m:num>
                          <m:den>
                            <m:sSup>
                              <m:sSupPr>
                                <m:ctrlPr>
                                  <a:rPr lang="en-US" sz="200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(1+</m:t>
                                </m:r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𝑃𝑒𝑟𝑅𝑎𝑡𝑒</m:t>
                                </m:r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</m:e>
                              <m:sup>
                                <m:f>
                                  <m:fPr>
                                    <m:ctrlPr>
                                      <a:rPr lang="en-US" sz="200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d>
                                      <m:dPr>
                                        <m:ctrlPr>
                                          <a:rPr lang="en-US" sz="20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en-US" sz="200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2000" b="0" i="1">
                                                <a:latin typeface="Cambria Math" panose="02040503050406030204" pitchFamily="18" charset="0"/>
                                              </a:rPr>
                                              <m:t>𝐷</m:t>
                                            </m:r>
                                          </m:e>
                                          <m:sub>
                                            <m:r>
                                              <a:rPr lang="en-US" sz="2000" b="0" i="1">
                                                <a:latin typeface="Cambria Math" panose="02040503050406030204" pitchFamily="18" charset="0"/>
                                              </a:rPr>
                                              <m:t>𝑗</m:t>
                                            </m:r>
                                          </m:sub>
                                        </m:sSub>
                                        <m:r>
                                          <a:rPr lang="en-US" sz="2000" b="0" i="1">
                                            <a:latin typeface="Cambria Math" panose="02040503050406030204" pitchFamily="18" charset="0"/>
                                          </a:rPr>
                                          <m:t>−</m:t>
                                        </m:r>
                                        <m:sSub>
                                          <m:sSubPr>
                                            <m:ctrlPr>
                                              <a:rPr lang="en-US" sz="20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2000" b="0" i="1">
                                                <a:latin typeface="Cambria Math" panose="02040503050406030204" pitchFamily="18" charset="0"/>
                                              </a:rPr>
                                              <m:t>𝐷</m:t>
                                            </m:r>
                                          </m:e>
                                          <m:sub>
                                            <m:r>
                                              <a:rPr lang="en-US" sz="2000" b="0" i="1">
                                                <a:latin typeface="Cambria Math" panose="02040503050406030204" pitchFamily="18" charset="0"/>
                                              </a:rPr>
                                              <m:t>1</m:t>
                                            </m:r>
                                          </m:sub>
                                        </m:sSub>
                                      </m:e>
                                    </m:d>
                                  </m:num>
                                  <m:den>
                                    <m:r>
                                      <a:rPr lang="en-US" sz="2000" b="0" i="1">
                                        <a:latin typeface="Cambria Math" panose="02040503050406030204" pitchFamily="18" charset="0"/>
                                      </a:rPr>
                                      <m:t>365</m:t>
                                    </m:r>
                                  </m:den>
                                </m:f>
                              </m:sup>
                            </m:sSup>
                          </m:den>
                        </m:f>
                      </m:e>
                    </m:nary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E6FEF2B-2B92-4EC8-9B20-8F049EE3477E}"/>
                </a:ext>
              </a:extLst>
            </xdr:cNvPr>
            <xdr:cNvSpPr txBox="1"/>
          </xdr:nvSpPr>
          <xdr:spPr>
            <a:xfrm>
              <a:off x="6042421" y="2940844"/>
              <a:ext cx="4103291" cy="10834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2000" b="0" i="0">
                  <a:latin typeface="Cambria Math" panose="02040503050406030204" pitchFamily="18" charset="0"/>
                </a:rPr>
                <a:t>𝑋𝑁𝑃𝑉</a:t>
              </a:r>
              <a:r>
                <a:rPr lang="en-US" sz="2000" i="0">
                  <a:latin typeface="Cambria Math" panose="02040503050406030204" pitchFamily="18" charset="0"/>
                </a:rPr>
                <a:t>=∑</a:t>
              </a:r>
              <a:r>
                <a:rPr lang="en-US" sz="2000" b="0" i="0">
                  <a:latin typeface="Cambria Math" panose="02040503050406030204" pitchFamily="18" charset="0"/>
                </a:rPr>
                <a:t>_(𝑗</a:t>
              </a:r>
              <a:r>
                <a:rPr lang="en-US" sz="2000" i="0">
                  <a:latin typeface="Cambria Math" panose="02040503050406030204" pitchFamily="18" charset="0"/>
                </a:rPr>
                <a:t>=</a:t>
              </a:r>
              <a:r>
                <a:rPr lang="en-US" sz="2000" b="0" i="0">
                  <a:latin typeface="Cambria Math" panose="02040503050406030204" pitchFamily="18" charset="0"/>
                </a:rPr>
                <a:t>1)^</a:t>
              </a:r>
              <a:r>
                <a:rPr lang="en-US" sz="2000" i="0">
                  <a:latin typeface="Cambria Math" panose="02040503050406030204" pitchFamily="18" charset="0"/>
                </a:rPr>
                <a:t>𝑛</a:t>
              </a:r>
              <a:r>
                <a:rPr lang="en-US" sz="2000" b="0" i="0">
                  <a:latin typeface="Cambria Math" panose="02040503050406030204" pitchFamily="18" charset="0"/>
                </a:rPr>
                <a:t>▒〖𝐶𝐹〗_𝑗/〖(1+𝑃𝑒𝑟𝑅𝑎𝑡𝑒)〗^(((𝐷_𝑗−𝐷_1 ))/365) </a:t>
              </a:r>
              <a:endParaRPr lang="en-US" sz="2000"/>
            </a:p>
          </xdr:txBody>
        </xdr:sp>
      </mc:Fallback>
    </mc:AlternateContent>
    <xdr:clientData/>
  </xdr:oneCellAnchor>
  <xdr:oneCellAnchor>
    <xdr:from>
      <xdr:col>2</xdr:col>
      <xdr:colOff>450055</xdr:colOff>
      <xdr:row>15</xdr:row>
      <xdr:rowOff>170259</xdr:rowOff>
    </xdr:from>
    <xdr:ext cx="4103291" cy="954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B3D4FFD-DD07-44AD-8C9A-B94400D211F8}"/>
                </a:ext>
              </a:extLst>
            </xdr:cNvPr>
            <xdr:cNvSpPr txBox="1"/>
          </xdr:nvSpPr>
          <xdr:spPr>
            <a:xfrm>
              <a:off x="1664493" y="3027759"/>
              <a:ext cx="4103291" cy="954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000" b="0" i="1">
                        <a:latin typeface="Cambria Math" panose="02040503050406030204" pitchFamily="18" charset="0"/>
                      </a:rPr>
                      <m:t>𝑁𝑃𝑉</m:t>
                    </m:r>
                    <m:r>
                      <a:rPr lang="en-US" sz="200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ctrlPr>
                          <a:rPr lang="en-US" sz="20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  <m:sup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f>
                          <m:fPr>
                            <m:ctrlPr>
                              <a:rPr lang="en-US" sz="20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20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𝐶𝐹</m:t>
                                </m:r>
                              </m:e>
                              <m:sub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𝑗</m:t>
                                </m:r>
                              </m:sub>
                            </m:sSub>
                          </m:num>
                          <m:den>
                            <m:sSup>
                              <m:sSupPr>
                                <m:ctrlPr>
                                  <a:rPr lang="en-US" sz="200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(1+</m:t>
                                </m:r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𝑃𝑒𝑟𝑅𝑎𝑡𝑒</m:t>
                                </m:r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</m:e>
                              <m:sup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𝑇𝑜𝑡𝑎𝑙𝑃𝑒𝑟𝑖𝑜𝑑𝑠</m:t>
                                </m:r>
                              </m:sup>
                            </m:sSup>
                          </m:den>
                        </m:f>
                      </m:e>
                    </m:nary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B3D4FFD-DD07-44AD-8C9A-B94400D211F8}"/>
                </a:ext>
              </a:extLst>
            </xdr:cNvPr>
            <xdr:cNvSpPr txBox="1"/>
          </xdr:nvSpPr>
          <xdr:spPr>
            <a:xfrm>
              <a:off x="1664493" y="3027759"/>
              <a:ext cx="4103291" cy="954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2000" b="0" i="0">
                  <a:latin typeface="Cambria Math" panose="02040503050406030204" pitchFamily="18" charset="0"/>
                </a:rPr>
                <a:t>𝑁𝑃𝑉</a:t>
              </a:r>
              <a:r>
                <a:rPr lang="en-US" sz="2000" i="0">
                  <a:latin typeface="Cambria Math" panose="02040503050406030204" pitchFamily="18" charset="0"/>
                </a:rPr>
                <a:t>=∑</a:t>
              </a:r>
              <a:r>
                <a:rPr lang="en-US" sz="2000" b="0" i="0">
                  <a:latin typeface="Cambria Math" panose="02040503050406030204" pitchFamily="18" charset="0"/>
                </a:rPr>
                <a:t>_(𝑗</a:t>
              </a:r>
              <a:r>
                <a:rPr lang="en-US" sz="2000" i="0">
                  <a:latin typeface="Cambria Math" panose="02040503050406030204" pitchFamily="18" charset="0"/>
                </a:rPr>
                <a:t>=</a:t>
              </a:r>
              <a:r>
                <a:rPr lang="en-US" sz="2000" b="0" i="0">
                  <a:latin typeface="Cambria Math" panose="02040503050406030204" pitchFamily="18" charset="0"/>
                </a:rPr>
                <a:t>1)^</a:t>
              </a:r>
              <a:r>
                <a:rPr lang="en-US" sz="2000" i="0">
                  <a:latin typeface="Cambria Math" panose="02040503050406030204" pitchFamily="18" charset="0"/>
                </a:rPr>
                <a:t>𝑛</a:t>
              </a:r>
              <a:r>
                <a:rPr lang="en-US" sz="2000" b="0" i="0">
                  <a:latin typeface="Cambria Math" panose="02040503050406030204" pitchFamily="18" charset="0"/>
                </a:rPr>
                <a:t>▒〖𝐶𝐹〗_𝑗/〖(1+𝑃𝑒𝑟𝑅𝑎𝑡𝑒)〗^𝑇𝑜𝑡𝑎𝑙𝑃𝑒𝑟𝑖𝑜𝑑𝑠 </a:t>
              </a:r>
              <a:endParaRPr lang="en-US" sz="2000"/>
            </a:p>
          </xdr:txBody>
        </xdr:sp>
      </mc:Fallback>
    </mc:AlternateContent>
    <xdr:clientData/>
  </xdr:oneCellAnchor>
  <xdr:twoCellAnchor editAs="oneCell">
    <xdr:from>
      <xdr:col>7</xdr:col>
      <xdr:colOff>424724</xdr:colOff>
      <xdr:row>21</xdr:row>
      <xdr:rowOff>139570</xdr:rowOff>
    </xdr:from>
    <xdr:to>
      <xdr:col>10</xdr:col>
      <xdr:colOff>558402</xdr:colOff>
      <xdr:row>27</xdr:row>
      <xdr:rowOff>125015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249916A-2B30-49CD-B4DB-71DA70B27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8552" y="4140070"/>
          <a:ext cx="3759132" cy="1128445"/>
        </a:xfrm>
        <a:prstGeom prst="rect">
          <a:avLst/>
        </a:prstGeom>
      </xdr:spPr>
    </xdr:pic>
    <xdr:clientData/>
  </xdr:twoCellAnchor>
  <xdr:twoCellAnchor editAs="oneCell">
    <xdr:from>
      <xdr:col>3</xdr:col>
      <xdr:colOff>7328</xdr:colOff>
      <xdr:row>22</xdr:row>
      <xdr:rowOff>21382</xdr:rowOff>
    </xdr:from>
    <xdr:to>
      <xdr:col>6</xdr:col>
      <xdr:colOff>1614653</xdr:colOff>
      <xdr:row>29</xdr:row>
      <xdr:rowOff>70227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97D12E9-B9D8-4428-A176-2DE4FF9AC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847" y="3977920"/>
          <a:ext cx="3973921" cy="1382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178593</xdr:colOff>
      <xdr:row>15</xdr:row>
      <xdr:rowOff>83344</xdr:rowOff>
    </xdr:from>
    <xdr:ext cx="4103291" cy="10834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8A30F78-BE2F-4578-AD7D-D81308AA26F4}"/>
                </a:ext>
              </a:extLst>
            </xdr:cNvPr>
            <xdr:cNvSpPr txBox="1"/>
          </xdr:nvSpPr>
          <xdr:spPr>
            <a:xfrm>
              <a:off x="5531643" y="2712244"/>
              <a:ext cx="4103291" cy="10834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000" b="0" i="1">
                        <a:latin typeface="Cambria Math" panose="02040503050406030204" pitchFamily="18" charset="0"/>
                      </a:rPr>
                      <m:t>𝑋𝑁𝑃𝑉</m:t>
                    </m:r>
                    <m:r>
                      <a:rPr lang="en-US" sz="200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ctrlPr>
                          <a:rPr lang="en-US" sz="20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  <m:sup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f>
                          <m:fPr>
                            <m:ctrlPr>
                              <a:rPr lang="en-US" sz="20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20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𝐶𝐹</m:t>
                                </m:r>
                              </m:e>
                              <m:sub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𝑗</m:t>
                                </m:r>
                              </m:sub>
                            </m:sSub>
                          </m:num>
                          <m:den>
                            <m:sSup>
                              <m:sSupPr>
                                <m:ctrlPr>
                                  <a:rPr lang="en-US" sz="200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(1+</m:t>
                                </m:r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𝑃𝑒𝑟𝑅𝑎𝑡𝑒</m:t>
                                </m:r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</m:e>
                              <m:sup>
                                <m:f>
                                  <m:fPr>
                                    <m:ctrlPr>
                                      <a:rPr lang="en-US" sz="200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d>
                                      <m:dPr>
                                        <m:ctrlPr>
                                          <a:rPr lang="en-US" sz="20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en-US" sz="200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2000" b="0" i="1">
                                                <a:latin typeface="Cambria Math" panose="02040503050406030204" pitchFamily="18" charset="0"/>
                                              </a:rPr>
                                              <m:t>𝐷</m:t>
                                            </m:r>
                                          </m:e>
                                          <m:sub>
                                            <m:r>
                                              <a:rPr lang="en-US" sz="2000" b="0" i="1">
                                                <a:latin typeface="Cambria Math" panose="02040503050406030204" pitchFamily="18" charset="0"/>
                                              </a:rPr>
                                              <m:t>𝑗</m:t>
                                            </m:r>
                                          </m:sub>
                                        </m:sSub>
                                        <m:r>
                                          <a:rPr lang="en-US" sz="2000" b="0" i="1">
                                            <a:latin typeface="Cambria Math" panose="02040503050406030204" pitchFamily="18" charset="0"/>
                                          </a:rPr>
                                          <m:t>−</m:t>
                                        </m:r>
                                        <m:sSub>
                                          <m:sSubPr>
                                            <m:ctrlPr>
                                              <a:rPr lang="en-US" sz="20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2000" b="0" i="1">
                                                <a:latin typeface="Cambria Math" panose="02040503050406030204" pitchFamily="18" charset="0"/>
                                              </a:rPr>
                                              <m:t>𝐷</m:t>
                                            </m:r>
                                          </m:e>
                                          <m:sub>
                                            <m:r>
                                              <a:rPr lang="en-US" sz="2000" b="0" i="1">
                                                <a:latin typeface="Cambria Math" panose="02040503050406030204" pitchFamily="18" charset="0"/>
                                              </a:rPr>
                                              <m:t>1</m:t>
                                            </m:r>
                                          </m:sub>
                                        </m:sSub>
                                      </m:e>
                                    </m:d>
                                  </m:num>
                                  <m:den>
                                    <m:r>
                                      <a:rPr lang="en-US" sz="2000" b="0" i="1">
                                        <a:latin typeface="Cambria Math" panose="02040503050406030204" pitchFamily="18" charset="0"/>
                                      </a:rPr>
                                      <m:t>365</m:t>
                                    </m:r>
                                  </m:den>
                                </m:f>
                              </m:sup>
                            </m:sSup>
                          </m:den>
                        </m:f>
                      </m:e>
                    </m:nary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8A30F78-BE2F-4578-AD7D-D81308AA26F4}"/>
                </a:ext>
              </a:extLst>
            </xdr:cNvPr>
            <xdr:cNvSpPr txBox="1"/>
          </xdr:nvSpPr>
          <xdr:spPr>
            <a:xfrm>
              <a:off x="5531643" y="2712244"/>
              <a:ext cx="4103291" cy="10834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2000" b="0" i="0">
                  <a:latin typeface="Cambria Math" panose="02040503050406030204" pitchFamily="18" charset="0"/>
                </a:rPr>
                <a:t>𝑋𝑁𝑃𝑉</a:t>
              </a:r>
              <a:r>
                <a:rPr lang="en-US" sz="2000" i="0">
                  <a:latin typeface="Cambria Math" panose="02040503050406030204" pitchFamily="18" charset="0"/>
                </a:rPr>
                <a:t>=∑</a:t>
              </a:r>
              <a:r>
                <a:rPr lang="en-US" sz="2000" b="0" i="0">
                  <a:latin typeface="Cambria Math" panose="02040503050406030204" pitchFamily="18" charset="0"/>
                </a:rPr>
                <a:t>_(𝑗</a:t>
              </a:r>
              <a:r>
                <a:rPr lang="en-US" sz="2000" i="0">
                  <a:latin typeface="Cambria Math" panose="02040503050406030204" pitchFamily="18" charset="0"/>
                </a:rPr>
                <a:t>=</a:t>
              </a:r>
              <a:r>
                <a:rPr lang="en-US" sz="2000" b="0" i="0">
                  <a:latin typeface="Cambria Math" panose="02040503050406030204" pitchFamily="18" charset="0"/>
                </a:rPr>
                <a:t>1)^</a:t>
              </a:r>
              <a:r>
                <a:rPr lang="en-US" sz="2000" i="0">
                  <a:latin typeface="Cambria Math" panose="02040503050406030204" pitchFamily="18" charset="0"/>
                </a:rPr>
                <a:t>𝑛</a:t>
              </a:r>
              <a:r>
                <a:rPr lang="en-US" sz="2000" b="0" i="0">
                  <a:latin typeface="Cambria Math" panose="02040503050406030204" pitchFamily="18" charset="0"/>
                </a:rPr>
                <a:t>▒〖𝐶𝐹〗_𝑗/〖(1+𝑃𝑒𝑟𝑅𝑎𝑡𝑒)〗^(((𝐷_𝑗−𝐷_1 ))/365) </a:t>
              </a:r>
              <a:endParaRPr lang="en-US" sz="2000"/>
            </a:p>
          </xdr:txBody>
        </xdr:sp>
      </mc:Fallback>
    </mc:AlternateContent>
    <xdr:clientData/>
  </xdr:oneCellAnchor>
  <xdr:oneCellAnchor>
    <xdr:from>
      <xdr:col>2</xdr:col>
      <xdr:colOff>450055</xdr:colOff>
      <xdr:row>15</xdr:row>
      <xdr:rowOff>170259</xdr:rowOff>
    </xdr:from>
    <xdr:ext cx="4103291" cy="954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1423F9F-6CE1-469E-AFEB-852F8F0A899C}"/>
                </a:ext>
              </a:extLst>
            </xdr:cNvPr>
            <xdr:cNvSpPr txBox="1"/>
          </xdr:nvSpPr>
          <xdr:spPr>
            <a:xfrm>
              <a:off x="1154905" y="2799159"/>
              <a:ext cx="4103291" cy="954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000" b="0" i="1">
                        <a:latin typeface="Cambria Math" panose="02040503050406030204" pitchFamily="18" charset="0"/>
                      </a:rPr>
                      <m:t>𝑁𝑃𝑉</m:t>
                    </m:r>
                    <m:r>
                      <a:rPr lang="en-US" sz="200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ctrlPr>
                          <a:rPr lang="en-US" sz="20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  <m:sup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f>
                          <m:fPr>
                            <m:ctrlPr>
                              <a:rPr lang="en-US" sz="20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20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𝐶𝐹</m:t>
                                </m:r>
                              </m:e>
                              <m:sub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𝑗</m:t>
                                </m:r>
                              </m:sub>
                            </m:sSub>
                          </m:num>
                          <m:den>
                            <m:sSup>
                              <m:sSupPr>
                                <m:ctrlPr>
                                  <a:rPr lang="en-US" sz="200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(1+</m:t>
                                </m:r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𝑃𝑒𝑟𝑅𝑎𝑡𝑒</m:t>
                                </m:r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</m:e>
                              <m:sup>
                                <m:r>
                                  <a:rPr lang="en-US" sz="2000" b="0" i="1">
                                    <a:latin typeface="Cambria Math" panose="02040503050406030204" pitchFamily="18" charset="0"/>
                                  </a:rPr>
                                  <m:t>𝑇𝑜𝑡𝑎𝑙𝑃𝑒𝑟𝑖𝑜𝑑𝑠</m:t>
                                </m:r>
                              </m:sup>
                            </m:sSup>
                          </m:den>
                        </m:f>
                      </m:e>
                    </m:nary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1423F9F-6CE1-469E-AFEB-852F8F0A899C}"/>
                </a:ext>
              </a:extLst>
            </xdr:cNvPr>
            <xdr:cNvSpPr txBox="1"/>
          </xdr:nvSpPr>
          <xdr:spPr>
            <a:xfrm>
              <a:off x="1154905" y="2799159"/>
              <a:ext cx="4103291" cy="954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2000" b="0" i="0">
                  <a:latin typeface="Cambria Math" panose="02040503050406030204" pitchFamily="18" charset="0"/>
                </a:rPr>
                <a:t>𝑁𝑃𝑉</a:t>
              </a:r>
              <a:r>
                <a:rPr lang="en-US" sz="2000" i="0">
                  <a:latin typeface="Cambria Math" panose="02040503050406030204" pitchFamily="18" charset="0"/>
                </a:rPr>
                <a:t>=∑</a:t>
              </a:r>
              <a:r>
                <a:rPr lang="en-US" sz="2000" b="0" i="0">
                  <a:latin typeface="Cambria Math" panose="02040503050406030204" pitchFamily="18" charset="0"/>
                </a:rPr>
                <a:t>_(𝑗</a:t>
              </a:r>
              <a:r>
                <a:rPr lang="en-US" sz="2000" i="0">
                  <a:latin typeface="Cambria Math" panose="02040503050406030204" pitchFamily="18" charset="0"/>
                </a:rPr>
                <a:t>=</a:t>
              </a:r>
              <a:r>
                <a:rPr lang="en-US" sz="2000" b="0" i="0">
                  <a:latin typeface="Cambria Math" panose="02040503050406030204" pitchFamily="18" charset="0"/>
                </a:rPr>
                <a:t>1)^</a:t>
              </a:r>
              <a:r>
                <a:rPr lang="en-US" sz="2000" i="0">
                  <a:latin typeface="Cambria Math" panose="02040503050406030204" pitchFamily="18" charset="0"/>
                </a:rPr>
                <a:t>𝑛</a:t>
              </a:r>
              <a:r>
                <a:rPr lang="en-US" sz="2000" b="0" i="0">
                  <a:latin typeface="Cambria Math" panose="02040503050406030204" pitchFamily="18" charset="0"/>
                </a:rPr>
                <a:t>▒〖𝐶𝐹〗_𝑗/〖(1+𝑃𝑒𝑟𝑅𝑎𝑡𝑒)〗^𝑇𝑜𝑡𝑎𝑙𝑃𝑒𝑟𝑖𝑜𝑑𝑠 </a:t>
              </a:r>
              <a:endParaRPr lang="en-US" sz="2000"/>
            </a:p>
          </xdr:txBody>
        </xdr:sp>
      </mc:Fallback>
    </mc:AlternateContent>
    <xdr:clientData/>
  </xdr:oneCellAnchor>
  <xdr:twoCellAnchor editAs="oneCell">
    <xdr:from>
      <xdr:col>7</xdr:col>
      <xdr:colOff>424724</xdr:colOff>
      <xdr:row>21</xdr:row>
      <xdr:rowOff>139570</xdr:rowOff>
    </xdr:from>
    <xdr:to>
      <xdr:col>10</xdr:col>
      <xdr:colOff>377427</xdr:colOff>
      <xdr:row>27</xdr:row>
      <xdr:rowOff>125015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B8AE34-0ACB-4A9D-91BE-B86CCE963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774" y="3911470"/>
          <a:ext cx="3762703" cy="1128445"/>
        </a:xfrm>
        <a:prstGeom prst="rect">
          <a:avLst/>
        </a:prstGeom>
      </xdr:spPr>
    </xdr:pic>
    <xdr:clientData/>
  </xdr:twoCellAnchor>
  <xdr:twoCellAnchor editAs="oneCell">
    <xdr:from>
      <xdr:col>3</xdr:col>
      <xdr:colOff>7328</xdr:colOff>
      <xdr:row>22</xdr:row>
      <xdr:rowOff>21382</xdr:rowOff>
    </xdr:from>
    <xdr:to>
      <xdr:col>6</xdr:col>
      <xdr:colOff>1614653</xdr:colOff>
      <xdr:row>29</xdr:row>
      <xdr:rowOff>70227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9DA896-6838-44E8-92B3-001B32ADA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1778" y="3983782"/>
          <a:ext cx="3969525" cy="1382345"/>
        </a:xfrm>
        <a:prstGeom prst="rect">
          <a:avLst/>
        </a:prstGeom>
      </xdr:spPr>
    </xdr:pic>
    <xdr:clientData/>
  </xdr:twoCellAnchor>
  <xdr:twoCellAnchor>
    <xdr:from>
      <xdr:col>13</xdr:col>
      <xdr:colOff>207065</xdr:colOff>
      <xdr:row>25</xdr:row>
      <xdr:rowOff>74544</xdr:rowOff>
    </xdr:from>
    <xdr:to>
      <xdr:col>13</xdr:col>
      <xdr:colOff>372717</xdr:colOff>
      <xdr:row>27</xdr:row>
      <xdr:rowOff>41413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4E57C6C7-F6E2-4171-8409-016B5C542869}"/>
            </a:ext>
          </a:extLst>
        </xdr:cNvPr>
        <xdr:cNvCxnSpPr/>
      </xdr:nvCxnSpPr>
      <xdr:spPr>
        <a:xfrm flipV="1">
          <a:off x="10560326" y="4605131"/>
          <a:ext cx="165652" cy="347869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1123293</xdr:colOff>
      <xdr:row>17</xdr:row>
      <xdr:rowOff>1973</xdr:rowOff>
    </xdr:from>
    <xdr:to>
      <xdr:col>1</xdr:col>
      <xdr:colOff>1228396</xdr:colOff>
      <xdr:row>18</xdr:row>
      <xdr:rowOff>26275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8FDAE5-1899-47B4-A99F-D51D3A721973}"/>
            </a:ext>
          </a:extLst>
        </xdr:cNvPr>
        <xdr:cNvCxnSpPr/>
      </xdr:nvCxnSpPr>
      <xdr:spPr>
        <a:xfrm flipV="1">
          <a:off x="1523343" y="3059498"/>
          <a:ext cx="105103" cy="214802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1783529</xdr:colOff>
      <xdr:row>16</xdr:row>
      <xdr:rowOff>212915</xdr:rowOff>
    </xdr:from>
    <xdr:to>
      <xdr:col>1</xdr:col>
      <xdr:colOff>1895803</xdr:colOff>
      <xdr:row>18</xdr:row>
      <xdr:rowOff>85397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F84691AC-57C1-4BDF-9908-20AC77BB9567}"/>
            </a:ext>
          </a:extLst>
        </xdr:cNvPr>
        <xdr:cNvCxnSpPr/>
      </xdr:nvCxnSpPr>
      <xdr:spPr>
        <a:xfrm flipH="1" flipV="1">
          <a:off x="2183579" y="3032315"/>
          <a:ext cx="112274" cy="301107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243053</xdr:colOff>
      <xdr:row>17</xdr:row>
      <xdr:rowOff>190499</xdr:rowOff>
    </xdr:from>
    <xdr:to>
      <xdr:col>1</xdr:col>
      <xdr:colOff>1793328</xdr:colOff>
      <xdr:row>21</xdr:row>
      <xdr:rowOff>26276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1EF53B1-F9D3-4699-9056-7B38AA2931E8}"/>
            </a:ext>
          </a:extLst>
        </xdr:cNvPr>
        <xdr:cNvSpPr/>
      </xdr:nvSpPr>
      <xdr:spPr>
        <a:xfrm>
          <a:off x="243053" y="3248024"/>
          <a:ext cx="1950325" cy="6168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>
              <a:solidFill>
                <a:schemeClr val="tx1"/>
              </a:solidFill>
            </a:rPr>
            <a:t>Period discount rate is the required rate of return that the company has estimated</a:t>
          </a:r>
        </a:p>
      </xdr:txBody>
    </xdr:sp>
    <xdr:clientData/>
  </xdr:twoCellAnchor>
  <xdr:twoCellAnchor>
    <xdr:from>
      <xdr:col>1</xdr:col>
      <xdr:colOff>1796337</xdr:colOff>
      <xdr:row>18</xdr:row>
      <xdr:rowOff>51648</xdr:rowOff>
    </xdr:from>
    <xdr:to>
      <xdr:col>2</xdr:col>
      <xdr:colOff>466395</xdr:colOff>
      <xdr:row>21</xdr:row>
      <xdr:rowOff>183932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5760FC3-617F-4A78-8CEB-886585B2D4C8}"/>
            </a:ext>
          </a:extLst>
        </xdr:cNvPr>
        <xdr:cNvSpPr/>
      </xdr:nvSpPr>
      <xdr:spPr>
        <a:xfrm>
          <a:off x="2196387" y="3299673"/>
          <a:ext cx="717933" cy="7228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>
              <a:solidFill>
                <a:schemeClr val="tx1"/>
              </a:solidFill>
            </a:rPr>
            <a:t>Cash flows</a:t>
          </a:r>
        </a:p>
      </xdr:txBody>
    </xdr:sp>
    <xdr:clientData/>
  </xdr:twoCellAnchor>
  <xdr:twoCellAnchor>
    <xdr:from>
      <xdr:col>3</xdr:col>
      <xdr:colOff>13138</xdr:colOff>
      <xdr:row>10</xdr:row>
      <xdr:rowOff>72259</xdr:rowOff>
    </xdr:from>
    <xdr:to>
      <xdr:col>3</xdr:col>
      <xdr:colOff>755431</xdr:colOff>
      <xdr:row>13</xdr:row>
      <xdr:rowOff>183933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C9AA133B-BF3F-4DEA-B9B4-7FD2C55B1F13}"/>
            </a:ext>
          </a:extLst>
        </xdr:cNvPr>
        <xdr:cNvCxnSpPr/>
      </xdr:nvCxnSpPr>
      <xdr:spPr>
        <a:xfrm flipH="1">
          <a:off x="3756463" y="1748659"/>
          <a:ext cx="742293" cy="683174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310056</xdr:colOff>
      <xdr:row>8</xdr:row>
      <xdr:rowOff>40730</xdr:rowOff>
    </xdr:from>
    <xdr:to>
      <xdr:col>3</xdr:col>
      <xdr:colOff>2141483</xdr:colOff>
      <xdr:row>12</xdr:row>
      <xdr:rowOff>98534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B2B7D92-23A4-48E4-A964-B13928B3AA08}"/>
            </a:ext>
          </a:extLst>
        </xdr:cNvPr>
        <xdr:cNvSpPr/>
      </xdr:nvSpPr>
      <xdr:spPr>
        <a:xfrm>
          <a:off x="4053381" y="1336130"/>
          <a:ext cx="1831427" cy="819804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This is the net present value. This positive value indicates that the machine can bring value to purchaser. </a:t>
          </a:r>
        </a:p>
      </xdr:txBody>
    </xdr:sp>
    <xdr:clientData/>
  </xdr:twoCellAnchor>
  <xdr:twoCellAnchor>
    <xdr:from>
      <xdr:col>2</xdr:col>
      <xdr:colOff>365943</xdr:colOff>
      <xdr:row>16</xdr:row>
      <xdr:rowOff>201747</xdr:rowOff>
    </xdr:from>
    <xdr:to>
      <xdr:col>2</xdr:col>
      <xdr:colOff>478217</xdr:colOff>
      <xdr:row>18</xdr:row>
      <xdr:rowOff>93279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8F999137-8C45-43C4-BC6D-3AE347F3B8DA}"/>
            </a:ext>
          </a:extLst>
        </xdr:cNvPr>
        <xdr:cNvCxnSpPr/>
      </xdr:nvCxnSpPr>
      <xdr:spPr>
        <a:xfrm flipH="1" flipV="1">
          <a:off x="2813868" y="3021147"/>
          <a:ext cx="112274" cy="320157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398458</xdr:colOff>
      <xdr:row>18</xdr:row>
      <xdr:rowOff>39822</xdr:rowOff>
    </xdr:from>
    <xdr:to>
      <xdr:col>3</xdr:col>
      <xdr:colOff>177362</xdr:colOff>
      <xdr:row>22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F9237447-FC13-49E9-BB0B-9FA1F851381C}"/>
            </a:ext>
          </a:extLst>
        </xdr:cNvPr>
        <xdr:cNvSpPr/>
      </xdr:nvSpPr>
      <xdr:spPr>
        <a:xfrm>
          <a:off x="2848682" y="3291460"/>
          <a:ext cx="1072990" cy="7418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>
              <a:solidFill>
                <a:schemeClr val="tx1"/>
              </a:solidFill>
            </a:rPr>
            <a:t>Dates associated with cash flows</a:t>
          </a:r>
        </a:p>
      </xdr:txBody>
    </xdr:sp>
    <xdr:clientData/>
  </xdr:twoCellAnchor>
  <xdr:twoCellAnchor editAs="oneCell">
    <xdr:from>
      <xdr:col>5</xdr:col>
      <xdr:colOff>1024758</xdr:colOff>
      <xdr:row>24</xdr:row>
      <xdr:rowOff>91966</xdr:rowOff>
    </xdr:from>
    <xdr:to>
      <xdr:col>6</xdr:col>
      <xdr:colOff>1614322</xdr:colOff>
      <xdr:row>26</xdr:row>
      <xdr:rowOff>159298</xdr:rowOff>
    </xdr:to>
    <xdr:pic>
      <xdr:nvPicPr>
        <xdr:cNvPr id="10" name="Picture 9" descr="Equation">
          <a:extLst>
            <a:ext uri="{FF2B5EF4-FFF2-40B4-BE49-F238E27FC236}">
              <a16:creationId xmlns:a16="http://schemas.microsoft.com/office/drawing/2014/main" id="{9E1450C5-6107-43C2-874F-47EA2B38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6068" y="4506311"/>
          <a:ext cx="1686582" cy="448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1630183</xdr:colOff>
      <xdr:row>15</xdr:row>
      <xdr:rowOff>148829</xdr:rowOff>
    </xdr:from>
    <xdr:ext cx="7329885" cy="14145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6BA14957-817F-42AC-B16E-133EBAAD91AD}"/>
                </a:ext>
              </a:extLst>
            </xdr:cNvPr>
            <xdr:cNvSpPr txBox="1"/>
          </xdr:nvSpPr>
          <xdr:spPr>
            <a:xfrm>
              <a:off x="5374493" y="2782984"/>
              <a:ext cx="7329885" cy="14145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500" b="0" i="1">
                        <a:latin typeface="Cambria Math" panose="02040503050406030204" pitchFamily="18" charset="0"/>
                      </a:rPr>
                      <m:t>𝑋𝑁𝑃𝑉</m:t>
                    </m:r>
                    <m:r>
                      <a:rPr lang="en-US" sz="250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ctrlPr>
                          <a:rPr lang="en-US" sz="25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a:rPr lang="en-US" sz="25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n-US" sz="250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US" sz="25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  <m:sup>
                        <m:r>
                          <a:rPr lang="en-US" sz="250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f>
                          <m:fPr>
                            <m:ctrlPr>
                              <a:rPr lang="en-US" sz="25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25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2500" b="0" i="1">
                                    <a:latin typeface="Cambria Math" panose="02040503050406030204" pitchFamily="18" charset="0"/>
                                  </a:rPr>
                                  <m:t>𝐶𝐹</m:t>
                                </m:r>
                              </m:e>
                              <m:sub>
                                <m:r>
                                  <a:rPr lang="en-US" sz="2500" b="0" i="1">
                                    <a:latin typeface="Cambria Math" panose="02040503050406030204" pitchFamily="18" charset="0"/>
                                  </a:rPr>
                                  <m:t>𝑗</m:t>
                                </m:r>
                              </m:sub>
                            </m:sSub>
                          </m:num>
                          <m:den>
                            <m:sSup>
                              <m:sSupPr>
                                <m:ctrlPr>
                                  <a:rPr lang="en-US" sz="250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2500" b="0" i="1">
                                    <a:latin typeface="Cambria Math" panose="02040503050406030204" pitchFamily="18" charset="0"/>
                                  </a:rPr>
                                  <m:t>(1+</m:t>
                                </m:r>
                                <m:r>
                                  <a:rPr lang="en-US" sz="2500" b="0" i="1">
                                    <a:latin typeface="Cambria Math" panose="02040503050406030204" pitchFamily="18" charset="0"/>
                                  </a:rPr>
                                  <m:t>𝑃𝑒𝑟𝑅𝑎𝑡𝑒</m:t>
                                </m:r>
                                <m:r>
                                  <a:rPr lang="en-US" sz="2500" b="0" i="1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</m:e>
                              <m:sup>
                                <m:f>
                                  <m:fPr>
                                    <m:ctrlPr>
                                      <a:rPr lang="en-US" sz="250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d>
                                      <m:dPr>
                                        <m:ctrlPr>
                                          <a:rPr lang="en-US" sz="25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en-US" sz="250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2500" b="0" i="1">
                                                <a:latin typeface="Cambria Math" panose="02040503050406030204" pitchFamily="18" charset="0"/>
                                              </a:rPr>
                                              <m:t>𝐷</m:t>
                                            </m:r>
                                          </m:e>
                                          <m:sub>
                                            <m:r>
                                              <a:rPr lang="en-US" sz="2500" b="0" i="1">
                                                <a:latin typeface="Cambria Math" panose="02040503050406030204" pitchFamily="18" charset="0"/>
                                              </a:rPr>
                                              <m:t>𝑗</m:t>
                                            </m:r>
                                          </m:sub>
                                        </m:sSub>
                                        <m:r>
                                          <a:rPr lang="en-US" sz="2500" b="0" i="1">
                                            <a:latin typeface="Cambria Math" panose="02040503050406030204" pitchFamily="18" charset="0"/>
                                          </a:rPr>
                                          <m:t>−</m:t>
                                        </m:r>
                                        <m:sSub>
                                          <m:sSubPr>
                                            <m:ctrlPr>
                                              <a:rPr lang="en-US" sz="25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2500" b="0" i="1">
                                                <a:latin typeface="Cambria Math" panose="02040503050406030204" pitchFamily="18" charset="0"/>
                                              </a:rPr>
                                              <m:t>𝐷</m:t>
                                            </m:r>
                                          </m:e>
                                          <m:sub>
                                            <m:r>
                                              <a:rPr lang="en-US" sz="2500" b="0" i="1">
                                                <a:latin typeface="Cambria Math" panose="02040503050406030204" pitchFamily="18" charset="0"/>
                                              </a:rPr>
                                              <m:t>1</m:t>
                                            </m:r>
                                          </m:sub>
                                        </m:sSub>
                                      </m:e>
                                    </m:d>
                                  </m:num>
                                  <m:den>
                                    <m:r>
                                      <a:rPr lang="en-US" sz="2500" b="0" i="1">
                                        <a:latin typeface="Cambria Math" panose="02040503050406030204" pitchFamily="18" charset="0"/>
                                      </a:rPr>
                                      <m:t>365</m:t>
                                    </m:r>
                                  </m:den>
                                </m:f>
                              </m:sup>
                            </m:sSup>
                          </m:den>
                        </m:f>
                      </m:e>
                    </m:nary>
                  </m:oMath>
                </m:oMathPara>
              </a14:m>
              <a:endParaRPr lang="en-US" sz="25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6BA14957-817F-42AC-B16E-133EBAAD91AD}"/>
                </a:ext>
              </a:extLst>
            </xdr:cNvPr>
            <xdr:cNvSpPr txBox="1"/>
          </xdr:nvSpPr>
          <xdr:spPr>
            <a:xfrm>
              <a:off x="5374493" y="2782984"/>
              <a:ext cx="7329885" cy="14145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2500" b="0" i="0">
                  <a:latin typeface="Cambria Math" panose="02040503050406030204" pitchFamily="18" charset="0"/>
                </a:rPr>
                <a:t>𝑋𝑁𝑃𝑉</a:t>
              </a:r>
              <a:r>
                <a:rPr lang="en-US" sz="2500" i="0">
                  <a:latin typeface="Cambria Math" panose="02040503050406030204" pitchFamily="18" charset="0"/>
                </a:rPr>
                <a:t>=∑24_(</a:t>
              </a:r>
              <a:r>
                <a:rPr lang="en-US" sz="2500" b="0" i="0">
                  <a:latin typeface="Cambria Math" panose="02040503050406030204" pitchFamily="18" charset="0"/>
                </a:rPr>
                <a:t>𝑗</a:t>
              </a:r>
              <a:r>
                <a:rPr lang="en-US" sz="2500" i="0">
                  <a:latin typeface="Cambria Math" panose="02040503050406030204" pitchFamily="18" charset="0"/>
                </a:rPr>
                <a:t>=</a:t>
              </a:r>
              <a:r>
                <a:rPr lang="en-US" sz="2500" b="0" i="0">
                  <a:latin typeface="Cambria Math" panose="02040503050406030204" pitchFamily="18" charset="0"/>
                </a:rPr>
                <a:t>1)^</a:t>
              </a:r>
              <a:r>
                <a:rPr lang="en-US" sz="2500" i="0">
                  <a:latin typeface="Cambria Math" panose="02040503050406030204" pitchFamily="18" charset="0"/>
                </a:rPr>
                <a:t>𝑛▒〖</a:t>
              </a:r>
              <a:r>
                <a:rPr lang="en-US" sz="2500" b="0" i="0">
                  <a:latin typeface="Cambria Math" panose="02040503050406030204" pitchFamily="18" charset="0"/>
                </a:rPr>
                <a:t>𝐶𝐹〗_𝑗/〖(1+𝑃𝑒𝑟𝑅𝑎𝑡𝑒)〗^(((𝐷_𝑗−𝐷_1 ))/365) </a:t>
              </a:r>
              <a:endParaRPr lang="en-US" sz="25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1123293</xdr:colOff>
      <xdr:row>17</xdr:row>
      <xdr:rowOff>1973</xdr:rowOff>
    </xdr:from>
    <xdr:to>
      <xdr:col>1</xdr:col>
      <xdr:colOff>1228396</xdr:colOff>
      <xdr:row>18</xdr:row>
      <xdr:rowOff>26275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7164BD6A-AA70-4062-A9D1-BF62C830765E}"/>
            </a:ext>
          </a:extLst>
        </xdr:cNvPr>
        <xdr:cNvCxnSpPr/>
      </xdr:nvCxnSpPr>
      <xdr:spPr>
        <a:xfrm flipV="1">
          <a:off x="1523343" y="3059498"/>
          <a:ext cx="105103" cy="214802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1783529</xdr:colOff>
      <xdr:row>16</xdr:row>
      <xdr:rowOff>212915</xdr:rowOff>
    </xdr:from>
    <xdr:to>
      <xdr:col>1</xdr:col>
      <xdr:colOff>1895803</xdr:colOff>
      <xdr:row>18</xdr:row>
      <xdr:rowOff>85397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8995DBCC-E14F-4897-9BFD-B1D1F02D1A96}"/>
            </a:ext>
          </a:extLst>
        </xdr:cNvPr>
        <xdr:cNvCxnSpPr/>
      </xdr:nvCxnSpPr>
      <xdr:spPr>
        <a:xfrm flipH="1" flipV="1">
          <a:off x="2183579" y="3032315"/>
          <a:ext cx="112274" cy="301107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243053</xdr:colOff>
      <xdr:row>17</xdr:row>
      <xdr:rowOff>190499</xdr:rowOff>
    </xdr:from>
    <xdr:to>
      <xdr:col>1</xdr:col>
      <xdr:colOff>1793328</xdr:colOff>
      <xdr:row>21</xdr:row>
      <xdr:rowOff>26276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7A2130C-D481-45F0-A725-B76F727B3A5C}"/>
            </a:ext>
          </a:extLst>
        </xdr:cNvPr>
        <xdr:cNvSpPr/>
      </xdr:nvSpPr>
      <xdr:spPr>
        <a:xfrm>
          <a:off x="243053" y="3248024"/>
          <a:ext cx="1950325" cy="6168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>
              <a:solidFill>
                <a:schemeClr val="tx1"/>
              </a:solidFill>
            </a:rPr>
            <a:t>Period discount rate is the required rate of return that the company has estimated</a:t>
          </a:r>
        </a:p>
      </xdr:txBody>
    </xdr:sp>
    <xdr:clientData/>
  </xdr:twoCellAnchor>
  <xdr:twoCellAnchor>
    <xdr:from>
      <xdr:col>1</xdr:col>
      <xdr:colOff>1796337</xdr:colOff>
      <xdr:row>18</xdr:row>
      <xdr:rowOff>51648</xdr:rowOff>
    </xdr:from>
    <xdr:to>
      <xdr:col>2</xdr:col>
      <xdr:colOff>466395</xdr:colOff>
      <xdr:row>21</xdr:row>
      <xdr:rowOff>183932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BEB0B43-670D-416D-8F39-751BE8FEBFD9}"/>
            </a:ext>
          </a:extLst>
        </xdr:cNvPr>
        <xdr:cNvSpPr/>
      </xdr:nvSpPr>
      <xdr:spPr>
        <a:xfrm>
          <a:off x="2196387" y="3299673"/>
          <a:ext cx="717933" cy="7228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>
              <a:solidFill>
                <a:schemeClr val="tx1"/>
              </a:solidFill>
            </a:rPr>
            <a:t>Cash flows</a:t>
          </a:r>
        </a:p>
      </xdr:txBody>
    </xdr:sp>
    <xdr:clientData/>
  </xdr:twoCellAnchor>
  <xdr:twoCellAnchor>
    <xdr:from>
      <xdr:col>3</xdr:col>
      <xdr:colOff>13138</xdr:colOff>
      <xdr:row>10</xdr:row>
      <xdr:rowOff>72259</xdr:rowOff>
    </xdr:from>
    <xdr:to>
      <xdr:col>3</xdr:col>
      <xdr:colOff>755431</xdr:colOff>
      <xdr:row>13</xdr:row>
      <xdr:rowOff>183933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86AC428E-FE1C-41EB-9C9D-E17E733F1609}"/>
            </a:ext>
          </a:extLst>
        </xdr:cNvPr>
        <xdr:cNvCxnSpPr/>
      </xdr:nvCxnSpPr>
      <xdr:spPr>
        <a:xfrm flipH="1">
          <a:off x="3756463" y="1748659"/>
          <a:ext cx="742293" cy="683174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310056</xdr:colOff>
      <xdr:row>8</xdr:row>
      <xdr:rowOff>40730</xdr:rowOff>
    </xdr:from>
    <xdr:to>
      <xdr:col>3</xdr:col>
      <xdr:colOff>2141483</xdr:colOff>
      <xdr:row>12</xdr:row>
      <xdr:rowOff>98534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557ABFD-0D8D-4F85-B4EC-5C35F741D41D}"/>
            </a:ext>
          </a:extLst>
        </xdr:cNvPr>
        <xdr:cNvSpPr/>
      </xdr:nvSpPr>
      <xdr:spPr>
        <a:xfrm>
          <a:off x="4053381" y="1336130"/>
          <a:ext cx="1831427" cy="819804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This is the net present value. This positive value indicates that the machine can bring value to purchaser. </a:t>
          </a:r>
        </a:p>
      </xdr:txBody>
    </xdr:sp>
    <xdr:clientData/>
  </xdr:twoCellAnchor>
  <xdr:twoCellAnchor>
    <xdr:from>
      <xdr:col>2</xdr:col>
      <xdr:colOff>365943</xdr:colOff>
      <xdr:row>16</xdr:row>
      <xdr:rowOff>201747</xdr:rowOff>
    </xdr:from>
    <xdr:to>
      <xdr:col>2</xdr:col>
      <xdr:colOff>478217</xdr:colOff>
      <xdr:row>18</xdr:row>
      <xdr:rowOff>93279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14FB56C1-0DE3-4F34-95F5-5730D9CE8CA9}"/>
            </a:ext>
          </a:extLst>
        </xdr:cNvPr>
        <xdr:cNvCxnSpPr/>
      </xdr:nvCxnSpPr>
      <xdr:spPr>
        <a:xfrm flipH="1" flipV="1">
          <a:off x="2813868" y="3021147"/>
          <a:ext cx="112274" cy="320157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398458</xdr:colOff>
      <xdr:row>18</xdr:row>
      <xdr:rowOff>39822</xdr:rowOff>
    </xdr:from>
    <xdr:to>
      <xdr:col>3</xdr:col>
      <xdr:colOff>177362</xdr:colOff>
      <xdr:row>22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DF6C51C-6B0D-4D0F-B09B-84BE67930282}"/>
            </a:ext>
          </a:extLst>
        </xdr:cNvPr>
        <xdr:cNvSpPr/>
      </xdr:nvSpPr>
      <xdr:spPr>
        <a:xfrm>
          <a:off x="2846383" y="3287847"/>
          <a:ext cx="1074304" cy="7412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>
              <a:solidFill>
                <a:schemeClr val="tx1"/>
              </a:solidFill>
            </a:rPr>
            <a:t>Dates associated with cash flows</a:t>
          </a:r>
        </a:p>
      </xdr:txBody>
    </xdr:sp>
    <xdr:clientData/>
  </xdr:twoCellAnchor>
  <xdr:twoCellAnchor editAs="oneCell">
    <xdr:from>
      <xdr:col>8</xdr:col>
      <xdr:colOff>533905</xdr:colOff>
      <xdr:row>13</xdr:row>
      <xdr:rowOff>150784</xdr:rowOff>
    </xdr:from>
    <xdr:to>
      <xdr:col>9</xdr:col>
      <xdr:colOff>191866</xdr:colOff>
      <xdr:row>16</xdr:row>
      <xdr:rowOff>29890</xdr:rowOff>
    </xdr:to>
    <xdr:pic>
      <xdr:nvPicPr>
        <xdr:cNvPr id="10" name="Picture 9" descr="Equation">
          <a:extLst>
            <a:ext uri="{FF2B5EF4-FFF2-40B4-BE49-F238E27FC236}">
              <a16:creationId xmlns:a16="http://schemas.microsoft.com/office/drawing/2014/main" id="{1003DA75-653E-4053-B9E8-39F8DD8E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3480" y="2398684"/>
          <a:ext cx="1705836" cy="450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2114550</xdr:colOff>
      <xdr:row>15</xdr:row>
      <xdr:rowOff>189768</xdr:rowOff>
    </xdr:from>
    <xdr:ext cx="4958159" cy="14145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B99E8AC-DDF1-42F0-8DA5-193BEF98A9F8}"/>
                </a:ext>
              </a:extLst>
            </xdr:cNvPr>
            <xdr:cNvSpPr txBox="1"/>
          </xdr:nvSpPr>
          <xdr:spPr>
            <a:xfrm>
              <a:off x="5857875" y="2818668"/>
              <a:ext cx="4958159" cy="14145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500" b="0" i="1">
                        <a:latin typeface="Cambria Math" panose="02040503050406030204" pitchFamily="18" charset="0"/>
                      </a:rPr>
                      <m:t>𝑋𝑁𝑃𝑉</m:t>
                    </m:r>
                    <m:r>
                      <a:rPr lang="en-US" sz="250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ctrlPr>
                          <a:rPr lang="en-US" sz="25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a:rPr lang="en-US" sz="25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n-US" sz="250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n-US" sz="25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  <m:sup>
                        <m:r>
                          <a:rPr lang="en-US" sz="250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f>
                          <m:fPr>
                            <m:ctrlPr>
                              <a:rPr lang="en-US" sz="25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25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2500" b="0" i="1">
                                    <a:latin typeface="Cambria Math" panose="02040503050406030204" pitchFamily="18" charset="0"/>
                                  </a:rPr>
                                  <m:t>𝐶𝐹</m:t>
                                </m:r>
                              </m:e>
                              <m:sub>
                                <m:r>
                                  <a:rPr lang="en-US" sz="2500" b="0" i="1">
                                    <a:latin typeface="Cambria Math" panose="02040503050406030204" pitchFamily="18" charset="0"/>
                                  </a:rPr>
                                  <m:t>𝑗</m:t>
                                </m:r>
                              </m:sub>
                            </m:sSub>
                          </m:num>
                          <m:den>
                            <m:sSup>
                              <m:sSupPr>
                                <m:ctrlPr>
                                  <a:rPr lang="en-US" sz="250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2500" b="0" i="1">
                                    <a:latin typeface="Cambria Math" panose="02040503050406030204" pitchFamily="18" charset="0"/>
                                  </a:rPr>
                                  <m:t>(1+</m:t>
                                </m:r>
                                <m:r>
                                  <a:rPr lang="en-US" sz="2500" b="0" i="1">
                                    <a:latin typeface="Cambria Math" panose="02040503050406030204" pitchFamily="18" charset="0"/>
                                  </a:rPr>
                                  <m:t>𝑃𝑒𝑟𝑅𝑎𝑡𝑒</m:t>
                                </m:r>
                                <m:r>
                                  <a:rPr lang="en-US" sz="2500" b="0" i="1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</m:e>
                              <m:sup>
                                <m:f>
                                  <m:fPr>
                                    <m:ctrlPr>
                                      <a:rPr lang="en-US" sz="250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d>
                                      <m:dPr>
                                        <m:ctrlPr>
                                          <a:rPr lang="en-US" sz="25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en-US" sz="250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2500" b="0" i="1">
                                                <a:latin typeface="Cambria Math" panose="02040503050406030204" pitchFamily="18" charset="0"/>
                                              </a:rPr>
                                              <m:t>𝐷</m:t>
                                            </m:r>
                                          </m:e>
                                          <m:sub>
                                            <m:r>
                                              <a:rPr lang="en-US" sz="2500" b="0" i="1">
                                                <a:latin typeface="Cambria Math" panose="02040503050406030204" pitchFamily="18" charset="0"/>
                                              </a:rPr>
                                              <m:t>𝑗</m:t>
                                            </m:r>
                                          </m:sub>
                                        </m:sSub>
                                        <m:r>
                                          <a:rPr lang="en-US" sz="2500" b="0" i="1">
                                            <a:latin typeface="Cambria Math" panose="02040503050406030204" pitchFamily="18" charset="0"/>
                                          </a:rPr>
                                          <m:t>−</m:t>
                                        </m:r>
                                        <m:sSub>
                                          <m:sSubPr>
                                            <m:ctrlPr>
                                              <a:rPr lang="en-US" sz="25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2500" b="0" i="1">
                                                <a:latin typeface="Cambria Math" panose="02040503050406030204" pitchFamily="18" charset="0"/>
                                              </a:rPr>
                                              <m:t>𝐷</m:t>
                                            </m:r>
                                          </m:e>
                                          <m:sub>
                                            <m:r>
                                              <a:rPr lang="en-US" sz="2500" b="0" i="1">
                                                <a:latin typeface="Cambria Math" panose="02040503050406030204" pitchFamily="18" charset="0"/>
                                              </a:rPr>
                                              <m:t>1</m:t>
                                            </m:r>
                                          </m:sub>
                                        </m:sSub>
                                      </m:e>
                                    </m:d>
                                  </m:num>
                                  <m:den>
                                    <m:r>
                                      <a:rPr lang="en-US" sz="2500" b="0" i="1">
                                        <a:latin typeface="Cambria Math" panose="02040503050406030204" pitchFamily="18" charset="0"/>
                                      </a:rPr>
                                      <m:t>365</m:t>
                                    </m:r>
                                  </m:den>
                                </m:f>
                              </m:sup>
                            </m:sSup>
                          </m:den>
                        </m:f>
                      </m:e>
                    </m:nary>
                  </m:oMath>
                </m:oMathPara>
              </a14:m>
              <a:endParaRPr lang="en-US" sz="25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B99E8AC-DDF1-42F0-8DA5-193BEF98A9F8}"/>
                </a:ext>
              </a:extLst>
            </xdr:cNvPr>
            <xdr:cNvSpPr txBox="1"/>
          </xdr:nvSpPr>
          <xdr:spPr>
            <a:xfrm>
              <a:off x="5857875" y="2818668"/>
              <a:ext cx="4958159" cy="14145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2500" b="0" i="0">
                  <a:latin typeface="Cambria Math" panose="02040503050406030204" pitchFamily="18" charset="0"/>
                </a:rPr>
                <a:t>𝑋𝑁𝑃𝑉</a:t>
              </a:r>
              <a:r>
                <a:rPr lang="en-US" sz="2500" i="0">
                  <a:latin typeface="Cambria Math" panose="02040503050406030204" pitchFamily="18" charset="0"/>
                </a:rPr>
                <a:t>=∑</a:t>
              </a:r>
              <a:r>
                <a:rPr lang="en-US" sz="2500" b="0" i="0">
                  <a:latin typeface="Cambria Math" panose="02040503050406030204" pitchFamily="18" charset="0"/>
                </a:rPr>
                <a:t>_(𝑗</a:t>
              </a:r>
              <a:r>
                <a:rPr lang="en-US" sz="2500" i="0">
                  <a:latin typeface="Cambria Math" panose="02040503050406030204" pitchFamily="18" charset="0"/>
                </a:rPr>
                <a:t>=</a:t>
              </a:r>
              <a:r>
                <a:rPr lang="en-US" sz="2500" b="0" i="0">
                  <a:latin typeface="Cambria Math" panose="02040503050406030204" pitchFamily="18" charset="0"/>
                </a:rPr>
                <a:t>1)^</a:t>
              </a:r>
              <a:r>
                <a:rPr lang="en-US" sz="2500" i="0">
                  <a:latin typeface="Cambria Math" panose="02040503050406030204" pitchFamily="18" charset="0"/>
                </a:rPr>
                <a:t>𝑛</a:t>
              </a:r>
              <a:r>
                <a:rPr lang="en-US" sz="2500" b="0" i="0">
                  <a:latin typeface="Cambria Math" panose="02040503050406030204" pitchFamily="18" charset="0"/>
                </a:rPr>
                <a:t>▒〖𝐶𝐹〗_𝑗/〖(1+𝑃𝑒𝑟𝑅𝑎𝑡𝑒)〗^(((𝐷_𝑗−𝐷_1 ))/365) </a:t>
              </a:r>
              <a:endParaRPr lang="en-US" sz="2500"/>
            </a:p>
          </xdr:txBody>
        </xdr:sp>
      </mc:Fallback>
    </mc:AlternateContent>
    <xdr:clientData/>
  </xdr:oneCellAnchor>
  <xdr:twoCellAnchor editAs="oneCell">
    <xdr:from>
      <xdr:col>0</xdr:col>
      <xdr:colOff>57150</xdr:colOff>
      <xdr:row>23</xdr:row>
      <xdr:rowOff>131656</xdr:rowOff>
    </xdr:from>
    <xdr:to>
      <xdr:col>4</xdr:col>
      <xdr:colOff>28575</xdr:colOff>
      <xdr:row>42</xdr:row>
      <xdr:rowOff>19937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3D8A9A2-3534-45ED-A6E2-D8A7792F7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351231"/>
          <a:ext cx="6248400" cy="3507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2700">
          <a:solidFill>
            <a:schemeClr val="tx1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2E2E-F8D7-4D65-BA34-F306F4064224}">
  <sheetPr>
    <tabColor rgb="FFFFFF00"/>
  </sheetPr>
  <dimension ref="B2:L19"/>
  <sheetViews>
    <sheetView showGridLines="0" zoomScale="175" zoomScaleNormal="175" workbookViewId="0">
      <selection activeCell="L16" sqref="L16"/>
    </sheetView>
  </sheetViews>
  <sheetFormatPr defaultRowHeight="15" x14ac:dyDescent="0.25"/>
  <cols>
    <col min="2" max="2" width="7" customWidth="1"/>
    <col min="3" max="3" width="9.140625" customWidth="1"/>
    <col min="4" max="4" width="6.85546875" customWidth="1"/>
    <col min="5" max="6" width="14.140625" customWidth="1"/>
    <col min="8" max="8" width="7" customWidth="1"/>
    <col min="9" max="10" width="14.140625" customWidth="1"/>
    <col min="12" max="12" width="68.85546875" bestFit="1" customWidth="1"/>
  </cols>
  <sheetData>
    <row r="2" spans="2:12" ht="9.75" customHeight="1" x14ac:dyDescent="0.25">
      <c r="B2" s="33" t="s">
        <v>43</v>
      </c>
      <c r="C2" s="33"/>
      <c r="D2" s="33"/>
      <c r="E2" s="33"/>
      <c r="F2" s="33"/>
      <c r="G2" s="33"/>
      <c r="H2" s="33"/>
      <c r="I2" s="33"/>
      <c r="J2" s="33"/>
    </row>
    <row r="3" spans="2:12" ht="46.5" customHeight="1" x14ac:dyDescent="0.25">
      <c r="B3" s="33"/>
      <c r="C3" s="33"/>
      <c r="D3" s="33"/>
      <c r="E3" s="33"/>
      <c r="F3" s="33"/>
      <c r="G3" s="33"/>
      <c r="H3" s="33"/>
      <c r="I3" s="33"/>
      <c r="J3" s="33"/>
    </row>
    <row r="4" spans="2:12" ht="15" customHeight="1" x14ac:dyDescent="0.25">
      <c r="B4" s="33"/>
      <c r="C4" s="33"/>
      <c r="D4" s="33"/>
      <c r="E4" s="33"/>
      <c r="F4" s="33"/>
      <c r="G4" s="33"/>
      <c r="H4" s="33"/>
      <c r="I4" s="33"/>
      <c r="J4" s="33"/>
    </row>
    <row r="5" spans="2:12" ht="15" customHeight="1" x14ac:dyDescent="0.25">
      <c r="B5" s="33"/>
      <c r="C5" s="33"/>
      <c r="D5" s="33"/>
      <c r="E5" s="33"/>
      <c r="F5" s="33"/>
      <c r="G5" s="33"/>
      <c r="H5" s="33"/>
      <c r="I5" s="33"/>
      <c r="J5" s="33"/>
    </row>
    <row r="6" spans="2:12" ht="15" customHeight="1" x14ac:dyDescent="0.25">
      <c r="B6" s="33"/>
      <c r="C6" s="33"/>
      <c r="D6" s="33"/>
      <c r="E6" s="33"/>
      <c r="F6" s="33"/>
      <c r="G6" s="33"/>
      <c r="H6" s="33"/>
      <c r="I6" s="33"/>
      <c r="J6" s="33"/>
    </row>
    <row r="7" spans="2:12" ht="28.5" customHeight="1" x14ac:dyDescent="0.25">
      <c r="B7" s="33"/>
      <c r="C7" s="33"/>
      <c r="D7" s="33"/>
      <c r="E7" s="33"/>
      <c r="F7" s="33"/>
      <c r="G7" s="33"/>
      <c r="H7" s="33"/>
      <c r="I7" s="33"/>
      <c r="J7" s="33"/>
    </row>
    <row r="8" spans="2:12" ht="28.5" customHeight="1" x14ac:dyDescent="0.25">
      <c r="B8" s="33"/>
      <c r="C8" s="33"/>
      <c r="D8" s="33"/>
      <c r="E8" s="33"/>
      <c r="F8" s="33"/>
      <c r="G8" s="33"/>
      <c r="H8" s="33"/>
      <c r="I8" s="33"/>
      <c r="J8" s="33"/>
    </row>
    <row r="9" spans="2:12" ht="15" customHeight="1" x14ac:dyDescent="0.25">
      <c r="B9" s="33"/>
      <c r="C9" s="33"/>
      <c r="D9" s="33"/>
      <c r="E9" s="33"/>
      <c r="F9" s="33"/>
      <c r="G9" s="33"/>
      <c r="H9" s="33"/>
      <c r="I9" s="33"/>
      <c r="J9" s="33"/>
    </row>
    <row r="10" spans="2:12" ht="15" customHeight="1" x14ac:dyDescent="0.25">
      <c r="B10" s="33"/>
      <c r="C10" s="33"/>
      <c r="D10" s="33"/>
      <c r="E10" s="33"/>
      <c r="F10" s="33"/>
      <c r="G10" s="33"/>
      <c r="H10" s="33"/>
      <c r="I10" s="33"/>
      <c r="J10" s="33"/>
    </row>
    <row r="11" spans="2:12" ht="15.75" customHeight="1" x14ac:dyDescent="0.25">
      <c r="B11" s="33"/>
      <c r="C11" s="33"/>
      <c r="D11" s="33"/>
      <c r="E11" s="33"/>
      <c r="F11" s="33"/>
      <c r="G11" s="33"/>
      <c r="H11" s="33"/>
      <c r="I11" s="33"/>
      <c r="J11" s="33"/>
    </row>
    <row r="12" spans="2:12" ht="46.5" customHeight="1" x14ac:dyDescent="0.25">
      <c r="B12" s="33"/>
      <c r="C12" s="33"/>
      <c r="D12" s="33"/>
      <c r="E12" s="33"/>
      <c r="F12" s="33"/>
      <c r="G12" s="33"/>
      <c r="H12" s="33"/>
      <c r="I12" s="33"/>
      <c r="J12" s="33"/>
      <c r="L12" s="17"/>
    </row>
    <row r="13" spans="2:12" ht="4.5" customHeight="1" x14ac:dyDescent="0.25">
      <c r="B13" s="20"/>
      <c r="C13" s="20"/>
      <c r="D13" s="20"/>
      <c r="E13" s="20"/>
      <c r="F13" s="20"/>
      <c r="G13" s="20"/>
      <c r="H13" s="20"/>
      <c r="I13" s="20"/>
      <c r="J13" s="20"/>
    </row>
    <row r="14" spans="2:12" ht="19.5" customHeight="1" x14ac:dyDescent="0.3">
      <c r="B14" s="21" t="s">
        <v>44</v>
      </c>
    </row>
    <row r="15" spans="2:12" ht="4.5" customHeight="1" x14ac:dyDescent="0.25"/>
    <row r="16" spans="2:12" x14ac:dyDescent="0.25">
      <c r="B16" s="19"/>
      <c r="C16" s="19"/>
      <c r="D16" s="19"/>
      <c r="E16" s="19"/>
      <c r="F16" s="19"/>
      <c r="G16" s="19"/>
      <c r="H16" s="19"/>
      <c r="I16" s="19"/>
      <c r="J16" s="19"/>
    </row>
    <row r="18" spans="3:12" x14ac:dyDescent="0.25">
      <c r="C18" t="s">
        <v>15</v>
      </c>
    </row>
    <row r="19" spans="3:12" ht="28.5" x14ac:dyDescent="0.45">
      <c r="C19">
        <f>LEN(C18)</f>
        <v>96</v>
      </c>
      <c r="L19" s="18" t="s">
        <v>16</v>
      </c>
    </row>
  </sheetData>
  <mergeCells count="1">
    <mergeCell ref="B2:J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2F42-9E6E-434E-B812-EE4CCB624270}">
  <sheetPr>
    <tabColor rgb="FF0000FF"/>
  </sheetPr>
  <dimension ref="B1:S15"/>
  <sheetViews>
    <sheetView showGridLines="0" tabSelected="1" zoomScale="115" zoomScaleNormal="115" workbookViewId="0">
      <selection activeCell="F5" sqref="F5"/>
    </sheetView>
  </sheetViews>
  <sheetFormatPr defaultRowHeight="15" x14ac:dyDescent="0.25"/>
  <cols>
    <col min="1" max="1" width="1.42578125" customWidth="1"/>
    <col min="4" max="4" width="10.7109375" bestFit="1" customWidth="1"/>
    <col min="5" max="5" width="10.140625" customWidth="1"/>
    <col min="6" max="6" width="14.5703125" bestFit="1" customWidth="1"/>
    <col min="7" max="7" width="25.140625" bestFit="1" customWidth="1"/>
    <col min="9" max="9" width="15" bestFit="1" customWidth="1"/>
    <col min="10" max="10" width="30.28515625" bestFit="1" customWidth="1"/>
    <col min="12" max="12" width="2" customWidth="1"/>
    <col min="14" max="14" width="17.7109375" bestFit="1" customWidth="1"/>
    <col min="15" max="15" width="11.140625" customWidth="1"/>
    <col min="17" max="17" width="12" bestFit="1" customWidth="1"/>
    <col min="18" max="18" width="17.7109375" bestFit="1" customWidth="1"/>
  </cols>
  <sheetData>
    <row r="1" spans="2:19" ht="6" customHeight="1" x14ac:dyDescent="0.25"/>
    <row r="2" spans="2:19" x14ac:dyDescent="0.25">
      <c r="C2" s="28" t="s">
        <v>19</v>
      </c>
      <c r="D2" s="2">
        <v>0.15</v>
      </c>
      <c r="M2" s="30" t="s">
        <v>41</v>
      </c>
      <c r="N2" s="30"/>
      <c r="Q2" s="30" t="s">
        <v>42</v>
      </c>
      <c r="R2" s="30"/>
    </row>
    <row r="3" spans="2:19" ht="6" customHeight="1" x14ac:dyDescent="0.25"/>
    <row r="4" spans="2:19" x14ac:dyDescent="0.25">
      <c r="B4" s="23" t="s">
        <v>29</v>
      </c>
      <c r="C4" s="23" t="s">
        <v>28</v>
      </c>
      <c r="D4" s="23" t="s">
        <v>30</v>
      </c>
      <c r="F4" s="24" t="s">
        <v>31</v>
      </c>
      <c r="G4" s="24" t="s">
        <v>33</v>
      </c>
      <c r="I4" s="23" t="s">
        <v>32</v>
      </c>
      <c r="J4" s="23" t="s">
        <v>33</v>
      </c>
      <c r="M4" s="24" t="s">
        <v>39</v>
      </c>
      <c r="N4" s="24" t="s">
        <v>40</v>
      </c>
      <c r="Q4" s="24" t="s">
        <v>39</v>
      </c>
      <c r="R4" s="24" t="s">
        <v>40</v>
      </c>
    </row>
    <row r="5" spans="2:19" x14ac:dyDescent="0.25">
      <c r="B5" s="22">
        <v>44197</v>
      </c>
      <c r="C5" s="2" t="s">
        <v>22</v>
      </c>
      <c r="D5" s="2">
        <v>-100000</v>
      </c>
      <c r="F5" s="25"/>
      <c r="G5" s="2" t="str" cm="1">
        <f t="array" aca="1" ref="G5:G11" ca="1">_xlfn.IFNA(_xlfn.FORMULATEXT(F5:F11),"")</f>
        <v/>
      </c>
      <c r="I5" s="11"/>
      <c r="J5" s="2" t="str" cm="1">
        <f t="array" aca="1" ref="J5:J11" ca="1">_xlfn.IFNA(_xlfn.FORMULATEXT(I5:I11),"")</f>
        <v/>
      </c>
      <c r="Q5" cm="1">
        <f t="array" ref="Q5:Q10">_xlfn.SEQUENCE(ROWS(D5:D10),,0)</f>
        <v>0</v>
      </c>
      <c r="R5" cm="1">
        <f t="array" ref="R5:R10">(B5:B10-B5)/365</f>
        <v>0</v>
      </c>
    </row>
    <row r="6" spans="2:19" x14ac:dyDescent="0.25">
      <c r="B6" s="22">
        <v>44562</v>
      </c>
      <c r="C6" s="2" t="s">
        <v>23</v>
      </c>
      <c r="D6" s="2">
        <v>55000</v>
      </c>
      <c r="F6" s="25"/>
      <c r="G6" s="2" t="str">
        <f ca="1"/>
        <v/>
      </c>
      <c r="I6" s="11"/>
      <c r="J6" s="2" t="str">
        <f ca="1"/>
        <v/>
      </c>
      <c r="Q6">
        <v>1</v>
      </c>
      <c r="R6">
        <v>1</v>
      </c>
    </row>
    <row r="7" spans="2:19" x14ac:dyDescent="0.25">
      <c r="B7" s="22">
        <v>44927</v>
      </c>
      <c r="C7" s="2" t="s">
        <v>24</v>
      </c>
      <c r="D7" s="2">
        <v>10000</v>
      </c>
      <c r="F7" s="25"/>
      <c r="G7" s="2" t="str">
        <f ca="1"/>
        <v/>
      </c>
      <c r="I7" s="11"/>
      <c r="J7" s="2" t="str">
        <f ca="1"/>
        <v/>
      </c>
      <c r="Q7">
        <v>2</v>
      </c>
      <c r="R7">
        <v>2</v>
      </c>
    </row>
    <row r="8" spans="2:19" x14ac:dyDescent="0.25">
      <c r="B8" s="22">
        <v>45292</v>
      </c>
      <c r="C8" s="2" t="s">
        <v>25</v>
      </c>
      <c r="D8" s="2">
        <v>20000</v>
      </c>
      <c r="F8" s="25"/>
      <c r="G8" s="2" t="str">
        <f ca="1"/>
        <v/>
      </c>
      <c r="I8" s="11"/>
      <c r="J8" s="2" t="str">
        <f ca="1"/>
        <v/>
      </c>
      <c r="L8" s="29"/>
      <c r="Q8">
        <v>3</v>
      </c>
      <c r="R8">
        <v>3</v>
      </c>
    </row>
    <row r="9" spans="2:19" x14ac:dyDescent="0.25">
      <c r="B9" s="22">
        <v>45658</v>
      </c>
      <c r="C9" s="2" t="s">
        <v>26</v>
      </c>
      <c r="D9" s="2">
        <v>30000</v>
      </c>
      <c r="F9" s="25"/>
      <c r="G9" s="2" t="str">
        <f ca="1"/>
        <v/>
      </c>
      <c r="I9" s="11"/>
      <c r="J9" s="2" t="str">
        <f ca="1"/>
        <v/>
      </c>
      <c r="O9" s="29"/>
      <c r="Q9">
        <v>4</v>
      </c>
      <c r="R9">
        <v>4.0027397260273974</v>
      </c>
      <c r="S9" s="29">
        <v>45351</v>
      </c>
    </row>
    <row r="10" spans="2:19" x14ac:dyDescent="0.25">
      <c r="B10" s="22">
        <v>46023</v>
      </c>
      <c r="C10" s="2" t="s">
        <v>27</v>
      </c>
      <c r="D10" s="2">
        <v>30000</v>
      </c>
      <c r="F10" s="25"/>
      <c r="G10" s="2" t="str">
        <f ca="1"/>
        <v/>
      </c>
      <c r="I10" s="11"/>
      <c r="J10" s="2" t="str">
        <f ca="1"/>
        <v/>
      </c>
      <c r="Q10">
        <v>5</v>
      </c>
      <c r="R10">
        <v>5.0027397260273974</v>
      </c>
    </row>
    <row r="11" spans="2:19" x14ac:dyDescent="0.25">
      <c r="F11" s="26"/>
      <c r="G11" s="2" t="str">
        <f ca="1"/>
        <v/>
      </c>
      <c r="I11" s="26"/>
      <c r="J11" s="2" t="str">
        <f ca="1"/>
        <v/>
      </c>
    </row>
    <row r="13" spans="2:19" x14ac:dyDescent="0.25">
      <c r="E13" s="5" t="s">
        <v>20</v>
      </c>
      <c r="F13" s="11"/>
      <c r="G13" s="2" t="str" cm="1">
        <f t="array" aca="1" ref="G13:G15" ca="1">_xlfn.IFNA(_xlfn.FORMULATEXT(F13:F15),"")</f>
        <v/>
      </c>
      <c r="M13" s="31" t="str">
        <f>M9&amp;"*365:"</f>
        <v>*365:</v>
      </c>
      <c r="N13" s="27">
        <f>Q9*365</f>
        <v>1460</v>
      </c>
      <c r="O13" s="2" t="str">
        <f ca="1">_xlfn.FORMULATEXT(N13)</f>
        <v>=Q9*365</v>
      </c>
    </row>
    <row r="14" spans="2:19" x14ac:dyDescent="0.25">
      <c r="E14" s="5" t="s">
        <v>21</v>
      </c>
      <c r="F14" s="11"/>
      <c r="G14" s="2" t="str">
        <f ca="1"/>
        <v/>
      </c>
    </row>
    <row r="15" spans="2:19" x14ac:dyDescent="0.25">
      <c r="D15" t="s">
        <v>38</v>
      </c>
      <c r="E15" s="5" t="s">
        <v>37</v>
      </c>
      <c r="F15" s="11"/>
      <c r="G15" s="2" t="str">
        <f ca="1"/>
        <v/>
      </c>
    </row>
  </sheetData>
  <phoneticPr fontId="1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B253-3823-4872-82A0-B7F572D0FF7A}">
  <sheetPr>
    <tabColor rgb="FFFF0000"/>
  </sheetPr>
  <dimension ref="B1:V38"/>
  <sheetViews>
    <sheetView showGridLines="0" zoomScale="83" zoomScaleNormal="83" workbookViewId="0"/>
  </sheetViews>
  <sheetFormatPr defaultRowHeight="15" x14ac:dyDescent="0.25"/>
  <cols>
    <col min="1" max="1" width="1.42578125" customWidth="1"/>
    <col min="4" max="4" width="10.7109375" bestFit="1" customWidth="1"/>
    <col min="5" max="5" width="10.140625" customWidth="1"/>
    <col min="6" max="6" width="14.5703125" bestFit="1" customWidth="1"/>
    <col min="7" max="7" width="25.140625" bestFit="1" customWidth="1"/>
    <col min="8" max="8" width="11.85546875" bestFit="1" customWidth="1"/>
    <col min="9" max="9" width="15" bestFit="1" customWidth="1"/>
    <col min="10" max="10" width="30.28515625" bestFit="1" customWidth="1"/>
    <col min="12" max="12" width="2" customWidth="1"/>
    <col min="14" max="14" width="17.7109375" bestFit="1" customWidth="1"/>
    <col min="15" max="15" width="11.140625" customWidth="1"/>
    <col min="20" max="20" width="15" bestFit="1" customWidth="1"/>
    <col min="21" max="21" width="72.28515625" bestFit="1" customWidth="1"/>
  </cols>
  <sheetData>
    <row r="1" spans="2:19" ht="6" customHeight="1" x14ac:dyDescent="0.25"/>
    <row r="2" spans="2:19" x14ac:dyDescent="0.25">
      <c r="C2" s="28" t="s">
        <v>19</v>
      </c>
      <c r="D2" s="2">
        <v>0.15</v>
      </c>
      <c r="M2" s="30" t="s">
        <v>41</v>
      </c>
      <c r="N2" s="30"/>
      <c r="Q2" s="30" t="s">
        <v>42</v>
      </c>
      <c r="R2" s="30"/>
    </row>
    <row r="3" spans="2:19" ht="6" customHeight="1" x14ac:dyDescent="0.25"/>
    <row r="4" spans="2:19" x14ac:dyDescent="0.25">
      <c r="B4" s="23" t="s">
        <v>29</v>
      </c>
      <c r="C4" s="23" t="s">
        <v>28</v>
      </c>
      <c r="D4" s="23" t="s">
        <v>30</v>
      </c>
      <c r="F4" s="24" t="s">
        <v>31</v>
      </c>
      <c r="G4" s="24" t="s">
        <v>33</v>
      </c>
      <c r="I4" s="23" t="s">
        <v>32</v>
      </c>
      <c r="J4" s="23" t="s">
        <v>33</v>
      </c>
      <c r="M4" s="24" t="s">
        <v>39</v>
      </c>
      <c r="N4" s="24" t="s">
        <v>40</v>
      </c>
      <c r="Q4" s="24" t="s">
        <v>39</v>
      </c>
      <c r="R4" s="24" t="s">
        <v>40</v>
      </c>
    </row>
    <row r="5" spans="2:19" x14ac:dyDescent="0.25">
      <c r="B5" s="22">
        <v>44197</v>
      </c>
      <c r="C5" s="2" t="s">
        <v>22</v>
      </c>
      <c r="D5" s="2">
        <v>-100000</v>
      </c>
      <c r="F5" s="25">
        <f>D5/(1+$D$2)^RIGHT(C5)</f>
        <v>-100000</v>
      </c>
      <c r="G5" s="2" t="str" cm="1">
        <f t="array" aca="1" ref="G5:G11" ca="1">_xlfn.IFNA(_xlfn.FORMULATEXT(F5:F11),"")</f>
        <v>=D5/(1+$D$2)^RIGHT(C5)</v>
      </c>
      <c r="I5" s="11" cm="1">
        <f t="array" ref="I5:I10">D5:D10/(1+D2)^((B5:B10-B5)/365)</f>
        <v>-100000</v>
      </c>
      <c r="J5" s="2" t="str" cm="1">
        <f t="array" aca="1" ref="J5:J11" ca="1">_xlfn.IFNA(_xlfn.FORMULATEXT(I5:I11),"")</f>
        <v>=D5:D10/(1+D2)^((B5:B10-B5)/365)</v>
      </c>
      <c r="M5">
        <f>ROWS(M$5:M5)-1</f>
        <v>0</v>
      </c>
      <c r="N5">
        <f>(B5-$B$5)/365</f>
        <v>0</v>
      </c>
      <c r="Q5" cm="1">
        <f t="array" ref="Q5:Q10">_xlfn.SEQUENCE(ROWS(D5:D10),,0)</f>
        <v>0</v>
      </c>
      <c r="R5" cm="1">
        <f t="array" ref="R5:R10">(B5:B10-B5)/365</f>
        <v>0</v>
      </c>
    </row>
    <row r="6" spans="2:19" x14ac:dyDescent="0.25">
      <c r="B6" s="22">
        <v>44562</v>
      </c>
      <c r="C6" s="2" t="s">
        <v>23</v>
      </c>
      <c r="D6" s="2">
        <v>55000</v>
      </c>
      <c r="F6" s="25">
        <f t="shared" ref="F6:F10" si="0">D6/(1+$D$2)^RIGHT(C6)</f>
        <v>47826.086956521744</v>
      </c>
      <c r="G6" s="2" t="str">
        <f ca="1"/>
        <v>=D6/(1+$D$2)^RIGHT(C6)</v>
      </c>
      <c r="I6" s="11">
        <v>47826.086956521744</v>
      </c>
      <c r="J6" s="2" t="str">
        <f ca="1"/>
        <v/>
      </c>
      <c r="M6">
        <f>ROWS(M$5:M6)-1</f>
        <v>1</v>
      </c>
      <c r="N6">
        <f t="shared" ref="N6:N10" si="1">(B6-$B$5)/365</f>
        <v>1</v>
      </c>
      <c r="Q6">
        <v>1</v>
      </c>
      <c r="R6">
        <v>1</v>
      </c>
    </row>
    <row r="7" spans="2:19" x14ac:dyDescent="0.25">
      <c r="B7" s="22">
        <v>44927</v>
      </c>
      <c r="C7" s="2" t="s">
        <v>24</v>
      </c>
      <c r="D7" s="2">
        <v>10000</v>
      </c>
      <c r="F7" s="25">
        <f t="shared" si="0"/>
        <v>7561.436672967865</v>
      </c>
      <c r="G7" s="2" t="str">
        <f ca="1"/>
        <v>=D7/(1+$D$2)^RIGHT(C7)</v>
      </c>
      <c r="I7" s="11">
        <v>7561.436672967865</v>
      </c>
      <c r="J7" s="2" t="str">
        <f ca="1"/>
        <v/>
      </c>
      <c r="M7">
        <f>ROWS(M$5:M7)-1</f>
        <v>2</v>
      </c>
      <c r="N7">
        <f t="shared" si="1"/>
        <v>2</v>
      </c>
      <c r="Q7">
        <v>2</v>
      </c>
      <c r="R7">
        <v>2</v>
      </c>
    </row>
    <row r="8" spans="2:19" x14ac:dyDescent="0.25">
      <c r="B8" s="22">
        <v>45292</v>
      </c>
      <c r="C8" s="2" t="s">
        <v>25</v>
      </c>
      <c r="D8" s="2">
        <v>20000</v>
      </c>
      <c r="F8" s="25">
        <f t="shared" si="0"/>
        <v>13150.324648639767</v>
      </c>
      <c r="G8" s="2" t="str">
        <f ca="1"/>
        <v>=D8/(1+$D$2)^RIGHT(C8)</v>
      </c>
      <c r="I8" s="11">
        <v>13150.324648639767</v>
      </c>
      <c r="J8" s="2" t="str">
        <f ca="1"/>
        <v/>
      </c>
      <c r="L8" s="29"/>
      <c r="M8">
        <f>ROWS(M$5:M8)-1</f>
        <v>3</v>
      </c>
      <c r="N8">
        <f t="shared" si="1"/>
        <v>3</v>
      </c>
      <c r="Q8">
        <v>3</v>
      </c>
      <c r="R8">
        <v>3</v>
      </c>
    </row>
    <row r="9" spans="2:19" x14ac:dyDescent="0.25">
      <c r="B9" s="22">
        <v>45658</v>
      </c>
      <c r="C9" s="2" t="s">
        <v>26</v>
      </c>
      <c r="D9" s="2">
        <v>30000</v>
      </c>
      <c r="F9" s="25">
        <f t="shared" si="0"/>
        <v>17152.597367791001</v>
      </c>
      <c r="G9" s="2" t="str">
        <f ca="1"/>
        <v>=D9/(1+$D$2)^RIGHT(C9)</v>
      </c>
      <c r="I9" s="11">
        <v>17146.03073378318</v>
      </c>
      <c r="J9" s="2" t="str">
        <f ca="1"/>
        <v/>
      </c>
      <c r="M9">
        <f>ROWS(M$5:M9)-1</f>
        <v>4</v>
      </c>
      <c r="N9">
        <f t="shared" si="1"/>
        <v>4.0027397260273974</v>
      </c>
      <c r="O9" s="29">
        <v>45351</v>
      </c>
      <c r="Q9">
        <v>4</v>
      </c>
      <c r="R9">
        <v>4.0027397260273974</v>
      </c>
      <c r="S9" s="29">
        <v>45351</v>
      </c>
    </row>
    <row r="10" spans="2:19" x14ac:dyDescent="0.25">
      <c r="B10" s="22">
        <v>46023</v>
      </c>
      <c r="C10" s="2" t="s">
        <v>27</v>
      </c>
      <c r="D10" s="2">
        <v>30000</v>
      </c>
      <c r="F10" s="25">
        <f t="shared" si="0"/>
        <v>14915.302058948697</v>
      </c>
      <c r="G10" s="2" t="str">
        <f ca="1"/>
        <v>=D10/(1+$D$2)^RIGHT(C10)</v>
      </c>
      <c r="I10" s="11">
        <v>14909.591942420157</v>
      </c>
      <c r="J10" s="2" t="str">
        <f ca="1"/>
        <v/>
      </c>
      <c r="M10">
        <f>ROWS(M$5:M10)-1</f>
        <v>5</v>
      </c>
      <c r="N10">
        <f t="shared" si="1"/>
        <v>5.0027397260273974</v>
      </c>
      <c r="Q10">
        <v>5</v>
      </c>
      <c r="R10">
        <v>5.0027397260273974</v>
      </c>
    </row>
    <row r="11" spans="2:19" x14ac:dyDescent="0.25">
      <c r="F11" s="26">
        <f>SUM(F5:F10)</f>
        <v>605.74770486907619</v>
      </c>
      <c r="G11" s="2" t="str">
        <f ca="1"/>
        <v>=SUM(F5:F10)</v>
      </c>
      <c r="I11" s="26">
        <f>SUM(_xlfn.ANCHORARRAY(I5))</f>
        <v>593.47095433271534</v>
      </c>
      <c r="J11" s="2" t="str">
        <f ca="1"/>
        <v>=SUM(I5#)</v>
      </c>
    </row>
    <row r="13" spans="2:19" x14ac:dyDescent="0.25">
      <c r="E13" s="5" t="s">
        <v>20</v>
      </c>
      <c r="F13" s="11">
        <f>NPV(D2,D6:D10)+D5</f>
        <v>605.74770486906345</v>
      </c>
      <c r="G13" s="2" t="str" cm="1">
        <f t="array" aca="1" ref="G13:G15" ca="1">_xlfn.IFNA(_xlfn.FORMULATEXT(F13:F15),"")</f>
        <v>=NPV(D2,D6:D10)+D5</v>
      </c>
      <c r="M13" s="31" t="str">
        <f>M9&amp;"*365:"</f>
        <v>4*365:</v>
      </c>
      <c r="N13" s="27">
        <f>M9*365</f>
        <v>1460</v>
      </c>
      <c r="O13" s="2" t="str">
        <f ca="1">_xlfn.FORMULATEXT(N13)</f>
        <v>=M9*365</v>
      </c>
    </row>
    <row r="14" spans="2:19" x14ac:dyDescent="0.25">
      <c r="E14" s="5" t="s">
        <v>21</v>
      </c>
      <c r="F14" s="11">
        <f>XNPV(D2,D5:D10,B5:B10)</f>
        <v>593.47095433271534</v>
      </c>
      <c r="G14" s="2" t="str">
        <f ca="1"/>
        <v>=XNPV(D2,D5:D10,B5:B10)</v>
      </c>
    </row>
    <row r="15" spans="2:19" x14ac:dyDescent="0.25">
      <c r="D15" t="s">
        <v>38</v>
      </c>
      <c r="E15" s="5" t="s">
        <v>37</v>
      </c>
      <c r="F15" s="11">
        <f>NPV-XNPV</f>
        <v>12.276750536348118</v>
      </c>
      <c r="G15" s="2" t="str">
        <f ca="1"/>
        <v>=NPV-XNPV</v>
      </c>
    </row>
    <row r="18" spans="14:22" x14ac:dyDescent="0.25">
      <c r="O18" s="1" t="s">
        <v>45</v>
      </c>
    </row>
    <row r="19" spans="14:22" x14ac:dyDescent="0.25">
      <c r="N19" s="23" t="s">
        <v>32</v>
      </c>
      <c r="O19" s="23" t="s">
        <v>33</v>
      </c>
    </row>
    <row r="20" spans="14:22" x14ac:dyDescent="0.25">
      <c r="N20" s="11" cm="1">
        <f t="array" ref="N20:N25">D5:D10/(1+D2)^((B5:B10-B5)/365.25)</f>
        <v>-100000</v>
      </c>
      <c r="O20" s="2" t="str" cm="1">
        <f t="array" aca="1" ref="O20:O26" ca="1">_xlfn.IFNA(_xlfn.FORMULATEXT(N20:N26),"")</f>
        <v>=D5:D10/(1+D2)^((B5:B10-B5)/365.25)</v>
      </c>
    </row>
    <row r="21" spans="14:22" x14ac:dyDescent="0.25">
      <c r="N21" s="11">
        <v>47830.662306647719</v>
      </c>
      <c r="O21" s="2" t="str">
        <f ca="1"/>
        <v/>
      </c>
    </row>
    <row r="22" spans="14:22" x14ac:dyDescent="0.25">
      <c r="N22" s="11">
        <v>7562.883493198583</v>
      </c>
      <c r="O22" s="2" t="str">
        <f ca="1"/>
        <v/>
      </c>
      <c r="Q22" s="30" t="s">
        <v>42</v>
      </c>
      <c r="R22" s="30"/>
    </row>
    <row r="23" spans="14:22" x14ac:dyDescent="0.25">
      <c r="N23" s="11">
        <v>13154.099142825518</v>
      </c>
      <c r="O23" s="2" t="str">
        <f ca="1"/>
        <v/>
      </c>
    </row>
    <row r="24" spans="14:22" x14ac:dyDescent="0.25">
      <c r="N24" s="11">
        <v>17152.597367791001</v>
      </c>
      <c r="O24" s="2" t="str">
        <f ca="1"/>
        <v/>
      </c>
      <c r="Q24" s="24" t="s">
        <v>39</v>
      </c>
      <c r="R24" s="24" t="s">
        <v>40</v>
      </c>
    </row>
    <row r="25" spans="14:22" x14ac:dyDescent="0.25">
      <c r="N25" s="11">
        <v>14916.72895237647</v>
      </c>
      <c r="O25" s="2" t="str">
        <f ca="1"/>
        <v/>
      </c>
      <c r="Q25" cm="1">
        <f t="array" ref="Q25:Q30">_xlfn.SEQUENCE(ROWS(D25:D30),,0)</f>
        <v>0</v>
      </c>
      <c r="R25" cm="1">
        <f t="array" ref="R25:R30">(B5:B10-B5)/365.25</f>
        <v>0</v>
      </c>
    </row>
    <row r="26" spans="14:22" x14ac:dyDescent="0.25">
      <c r="N26" s="26">
        <f>SUM(_xlfn.ANCHORARRAY(N20))</f>
        <v>616.97126283929174</v>
      </c>
      <c r="O26" s="2" t="str">
        <f ca="1"/>
        <v>=SUM(N20#)</v>
      </c>
      <c r="Q26">
        <v>1</v>
      </c>
      <c r="R26">
        <v>0.99931553730321698</v>
      </c>
    </row>
    <row r="27" spans="14:22" x14ac:dyDescent="0.25">
      <c r="Q27">
        <v>2</v>
      </c>
      <c r="R27">
        <v>1.998631074606434</v>
      </c>
    </row>
    <row r="28" spans="14:22" x14ac:dyDescent="0.25">
      <c r="N28" t="s">
        <v>46</v>
      </c>
      <c r="Q28">
        <v>3</v>
      </c>
      <c r="R28">
        <v>2.9979466119096507</v>
      </c>
    </row>
    <row r="29" spans="14:22" x14ac:dyDescent="0.25">
      <c r="Q29">
        <v>4</v>
      </c>
      <c r="R29">
        <v>4</v>
      </c>
    </row>
    <row r="30" spans="14:22" x14ac:dyDescent="0.25">
      <c r="Q30">
        <v>5</v>
      </c>
      <c r="R30">
        <v>4.9993155373032172</v>
      </c>
      <c r="T30" s="1" t="s">
        <v>47</v>
      </c>
    </row>
    <row r="31" spans="14:22" x14ac:dyDescent="0.25">
      <c r="T31" s="23" t="s">
        <v>32</v>
      </c>
      <c r="U31" s="23" t="s">
        <v>33</v>
      </c>
    </row>
    <row r="32" spans="14:22" x14ac:dyDescent="0.25">
      <c r="T32" s="11">
        <f>D5/(1+$D$2)^((B5-$B$5)/(365+DAY(EOMONTH(DATE(YEAR(B5),2,1),0))-28))</f>
        <v>-100000</v>
      </c>
      <c r="U32" s="2" t="str" cm="1">
        <f t="array" aca="1" ref="U32:U38" ca="1">_xlfn.IFNA(_xlfn.FORMULATEXT(T32:T38),"")</f>
        <v>=D5/(1+$D$2)^((B5-$B$5)/(365+DAY(EOMONTH(DATE(YEAR(B5),2,1),0))-28))</v>
      </c>
      <c r="V32" s="36">
        <f>DAY(EOMONTH(DATE(YEAR(B5),2,1),0))-28</f>
        <v>0</v>
      </c>
    </row>
    <row r="33" spans="20:22" x14ac:dyDescent="0.25">
      <c r="T33" s="11">
        <f>D6/(1+$D$2)^((B6-$B$5)/(365+DAY(EOMONTH(DATE(YEAR(B6),2,1),0))-28))</f>
        <v>47826.086956521744</v>
      </c>
      <c r="U33" s="2" t="str">
        <f ca="1"/>
        <v>=D6/(1+$D$2)^((B6-$B$5)/(365+DAY(EOMONTH(DATE(YEAR(B6),2,1),0))-28))</v>
      </c>
      <c r="V33" s="36">
        <f>DAY(EOMONTH(DATE(YEAR(B6),2,1),0))-28</f>
        <v>0</v>
      </c>
    </row>
    <row r="34" spans="20:22" x14ac:dyDescent="0.25">
      <c r="T34" s="11">
        <f>D7/(1+$D$2)^((B7-$B$5)/(365+DAY(EOMONTH(DATE(YEAR(B7),2,1),0))-28))</f>
        <v>7561.436672967865</v>
      </c>
      <c r="U34" s="2" t="str">
        <f ca="1"/>
        <v>=D7/(1+$D$2)^((B7-$B$5)/(365+DAY(EOMONTH(DATE(YEAR(B7),2,1),0))-28))</v>
      </c>
      <c r="V34" s="36">
        <f>DAY(EOMONTH(DATE(YEAR(B7),2,1),0))-28</f>
        <v>0</v>
      </c>
    </row>
    <row r="35" spans="20:22" x14ac:dyDescent="0.25">
      <c r="T35" s="11">
        <f>D8/(1+$D$2)^((B8-$B$5)/(365+DAY(EOMONTH(DATE(YEAR(B8),2,1),0))-28))</f>
        <v>13165.39815737804</v>
      </c>
      <c r="U35" s="2" t="str">
        <f ca="1"/>
        <v>=D8/(1+$D$2)^((B8-$B$5)/(365+DAY(EOMONTH(DATE(YEAR(B8),2,1),0))-28))</v>
      </c>
      <c r="V35" s="36">
        <f>DAY(EOMONTH(DATE(YEAR(B8),2,1),0))-28</f>
        <v>1</v>
      </c>
    </row>
    <row r="36" spans="20:22" x14ac:dyDescent="0.25">
      <c r="T36" s="11">
        <f>D9/(1+$D$2)^((B9-$B$5)/(365+DAY(EOMONTH(DATE(YEAR(B9),2,1),0))-28))</f>
        <v>17146.03073378318</v>
      </c>
      <c r="U36" s="2" t="str">
        <f ca="1"/>
        <v>=D9/(1+$D$2)^((B9-$B$5)/(365+DAY(EOMONTH(DATE(YEAR(B9),2,1),0))-28))</v>
      </c>
      <c r="V36" s="36">
        <f>DAY(EOMONTH(DATE(YEAR(B9),2,1),0))-28</f>
        <v>0</v>
      </c>
    </row>
    <row r="37" spans="20:22" x14ac:dyDescent="0.25">
      <c r="T37" s="11">
        <f>D10/(1+$D$2)^((B10-$B$5)/(365+DAY(EOMONTH(DATE(YEAR(B10),2,1),0))-28))</f>
        <v>14909.591942420157</v>
      </c>
      <c r="U37" s="2" t="str">
        <f ca="1"/>
        <v>=D10/(1+$D$2)^((B10-$B$5)/(365+DAY(EOMONTH(DATE(YEAR(B10),2,1),0))-28))</v>
      </c>
      <c r="V37" s="36">
        <f>DAY(EOMONTH(DATE(YEAR(B10),2,1),0))-28</f>
        <v>0</v>
      </c>
    </row>
    <row r="38" spans="20:22" x14ac:dyDescent="0.25">
      <c r="T38" s="26">
        <f>SUM(T32:T37)</f>
        <v>608.54446307098624</v>
      </c>
      <c r="U38" s="2" t="str">
        <f ca="1"/>
        <v>=SUM(T32:T37)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1B1C-D3B3-46CD-A946-0F19701E472F}">
  <sheetPr>
    <tabColor rgb="FF0000FF"/>
  </sheetPr>
  <dimension ref="A1:G23"/>
  <sheetViews>
    <sheetView showGridLines="0" zoomScale="115" zoomScaleNormal="115" workbookViewId="0">
      <selection activeCell="C15" sqref="C15"/>
    </sheetView>
  </sheetViews>
  <sheetFormatPr defaultRowHeight="15" x14ac:dyDescent="0.25"/>
  <cols>
    <col min="1" max="1" width="6" bestFit="1" customWidth="1"/>
    <col min="2" max="2" width="30.7109375" customWidth="1"/>
    <col min="3" max="3" width="19.42578125" customWidth="1"/>
    <col min="4" max="4" width="38" customWidth="1"/>
    <col min="5" max="5" width="2" customWidth="1"/>
    <col min="6" max="6" width="16.42578125" customWidth="1"/>
    <col min="7" max="7" width="30.7109375" customWidth="1"/>
  </cols>
  <sheetData>
    <row r="1" spans="1:7" ht="6" customHeight="1" x14ac:dyDescent="0.25"/>
    <row r="2" spans="1:7" x14ac:dyDescent="0.25">
      <c r="A2" s="1" t="s">
        <v>13</v>
      </c>
      <c r="B2" s="7" t="s">
        <v>14</v>
      </c>
      <c r="C2" s="8"/>
      <c r="D2" s="9"/>
    </row>
    <row r="3" spans="1:7" ht="6" customHeight="1" x14ac:dyDescent="0.25"/>
    <row r="4" spans="1:7" x14ac:dyDescent="0.25">
      <c r="B4" s="5" t="s">
        <v>1</v>
      </c>
      <c r="C4" s="5" t="s">
        <v>2</v>
      </c>
    </row>
    <row r="5" spans="1:7" x14ac:dyDescent="0.25">
      <c r="B5" s="2" t="s">
        <v>7</v>
      </c>
      <c r="C5" s="2" t="s">
        <v>8</v>
      </c>
      <c r="D5" s="12"/>
    </row>
    <row r="6" spans="1:7" x14ac:dyDescent="0.25">
      <c r="B6" s="2" t="s">
        <v>9</v>
      </c>
      <c r="C6" s="2">
        <v>0.15</v>
      </c>
      <c r="D6" s="12"/>
    </row>
    <row r="7" spans="1:7" x14ac:dyDescent="0.25">
      <c r="B7" s="6" t="s">
        <v>5</v>
      </c>
      <c r="C7" s="2"/>
      <c r="D7" s="14"/>
    </row>
    <row r="8" spans="1:7" x14ac:dyDescent="0.25">
      <c r="B8" s="5" t="s">
        <v>11</v>
      </c>
      <c r="C8" s="5" t="s">
        <v>3</v>
      </c>
      <c r="D8" s="14"/>
      <c r="F8" s="5" t="s">
        <v>6</v>
      </c>
      <c r="G8" s="5" t="s">
        <v>0</v>
      </c>
    </row>
    <row r="9" spans="1:7" x14ac:dyDescent="0.25">
      <c r="B9" s="15">
        <v>44713</v>
      </c>
      <c r="C9" s="10">
        <v>-285000</v>
      </c>
      <c r="D9" s="14"/>
      <c r="F9" s="11"/>
      <c r="G9" s="2" t="str">
        <f ca="1">_xlfn.IFNA(_xlfn.FORMULATEXT(F9),"")</f>
        <v/>
      </c>
    </row>
    <row r="10" spans="1:7" x14ac:dyDescent="0.25">
      <c r="B10" s="15">
        <f>EDATE(B9,9)</f>
        <v>44986</v>
      </c>
      <c r="C10" s="10">
        <v>100000</v>
      </c>
      <c r="D10" s="14"/>
      <c r="F10" s="11"/>
      <c r="G10" s="2" t="str">
        <f t="shared" ref="G10:G15" ca="1" si="0">_xlfn.IFNA(_xlfn.FORMULATEXT(F10),"")</f>
        <v/>
      </c>
    </row>
    <row r="11" spans="1:7" x14ac:dyDescent="0.25">
      <c r="B11" s="15">
        <f>EDATE(B10,12)</f>
        <v>45352</v>
      </c>
      <c r="C11" s="10">
        <v>90000</v>
      </c>
      <c r="D11" s="14"/>
      <c r="F11" s="11"/>
      <c r="G11" s="2" t="str">
        <f t="shared" ca="1" si="0"/>
        <v/>
      </c>
    </row>
    <row r="12" spans="1:7" x14ac:dyDescent="0.25">
      <c r="B12" s="15">
        <f>EDATE(B11,14)</f>
        <v>45778</v>
      </c>
      <c r="C12" s="10">
        <v>85000</v>
      </c>
      <c r="D12" s="14"/>
      <c r="F12" s="11"/>
      <c r="G12" s="2" t="str">
        <f t="shared" ca="1" si="0"/>
        <v/>
      </c>
    </row>
    <row r="13" spans="1:7" x14ac:dyDescent="0.25">
      <c r="B13" s="15">
        <f>EDATE(B12,14)</f>
        <v>46204</v>
      </c>
      <c r="C13" s="10">
        <v>75000</v>
      </c>
      <c r="D13" s="14"/>
      <c r="F13" s="11"/>
      <c r="G13" s="2" t="str">
        <f t="shared" ca="1" si="0"/>
        <v/>
      </c>
    </row>
    <row r="14" spans="1:7" x14ac:dyDescent="0.25">
      <c r="B14" s="15">
        <f>EDATE(B13,24)</f>
        <v>46935</v>
      </c>
      <c r="C14" s="10">
        <v>70000</v>
      </c>
      <c r="D14" s="14"/>
      <c r="F14" s="11"/>
      <c r="G14" s="2" t="str">
        <f t="shared" ca="1" si="0"/>
        <v/>
      </c>
    </row>
    <row r="15" spans="1:7" x14ac:dyDescent="0.25">
      <c r="B15" s="2" t="s">
        <v>4</v>
      </c>
      <c r="C15" s="11"/>
      <c r="D15" s="13" t="str">
        <f ca="1">_xlfn.IFNA(_xlfn.FORMULATEXT(C15),"")</f>
        <v/>
      </c>
      <c r="F15" s="11"/>
      <c r="G15" s="2" t="str">
        <f t="shared" ca="1" si="0"/>
        <v/>
      </c>
    </row>
    <row r="17" spans="2:6" ht="18.75" x14ac:dyDescent="0.3">
      <c r="B17" s="34" t="s">
        <v>12</v>
      </c>
      <c r="C17" s="35"/>
      <c r="F17" t="str">
        <f t="shared" ref="F17:F19" ca="1" si="1">_xlfn.IFNA(_xlfn.FORMULATEXT(E17),"")</f>
        <v/>
      </c>
    </row>
    <row r="19" spans="2:6" ht="16.5" x14ac:dyDescent="0.3">
      <c r="D19" s="16"/>
      <c r="F19" t="str">
        <f t="shared" ca="1" si="1"/>
        <v/>
      </c>
    </row>
    <row r="23" spans="2:6" x14ac:dyDescent="0.25">
      <c r="B23" s="2" t="s">
        <v>10</v>
      </c>
      <c r="C23" s="4"/>
      <c r="D23" s="3" t="str">
        <f ca="1">_xlfn.IFNA(_xlfn.FORMULATEXT(C23),"")</f>
        <v/>
      </c>
    </row>
  </sheetData>
  <mergeCells count="1">
    <mergeCell ref="B17:C1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8DA6-9E3C-4EAE-9CB5-5DB4EE223FD6}">
  <sheetPr>
    <tabColor rgb="FFFF0000"/>
  </sheetPr>
  <dimension ref="A1:N50"/>
  <sheetViews>
    <sheetView showGridLines="0" topLeftCell="A14" zoomScale="85" zoomScaleNormal="85" workbookViewId="0">
      <selection activeCell="N50" sqref="N50"/>
    </sheetView>
  </sheetViews>
  <sheetFormatPr defaultRowHeight="15" x14ac:dyDescent="0.25"/>
  <cols>
    <col min="1" max="1" width="6" bestFit="1" customWidth="1"/>
    <col min="2" max="2" width="30.7109375" customWidth="1"/>
    <col min="3" max="3" width="19.42578125" customWidth="1"/>
    <col min="4" max="4" width="38" customWidth="1"/>
    <col min="5" max="5" width="2" customWidth="1"/>
    <col min="6" max="6" width="17.140625" customWidth="1"/>
    <col min="7" max="7" width="32.140625" customWidth="1"/>
    <col min="8" max="8" width="4.140625" customWidth="1"/>
    <col min="9" max="9" width="30.7109375" customWidth="1"/>
    <col min="10" max="10" width="33.5703125" bestFit="1" customWidth="1"/>
    <col min="11" max="11" width="3.28515625" customWidth="1"/>
    <col min="12" max="12" width="24.7109375" customWidth="1"/>
    <col min="13" max="13" width="22.7109375" customWidth="1"/>
    <col min="14" max="14" width="19.42578125" bestFit="1" customWidth="1"/>
    <col min="15" max="15" width="20.5703125" bestFit="1" customWidth="1"/>
  </cols>
  <sheetData>
    <row r="1" spans="1:7" ht="6" customHeight="1" x14ac:dyDescent="0.25"/>
    <row r="2" spans="1:7" x14ac:dyDescent="0.25">
      <c r="A2" s="1" t="s">
        <v>13</v>
      </c>
      <c r="B2" s="7" t="s">
        <v>14</v>
      </c>
      <c r="C2" s="8"/>
      <c r="D2" s="9"/>
    </row>
    <row r="3" spans="1:7" ht="6" customHeight="1" x14ac:dyDescent="0.25"/>
    <row r="4" spans="1:7" x14ac:dyDescent="0.25">
      <c r="B4" s="5" t="s">
        <v>1</v>
      </c>
      <c r="C4" s="5" t="s">
        <v>2</v>
      </c>
    </row>
    <row r="5" spans="1:7" x14ac:dyDescent="0.25">
      <c r="B5" s="2" t="s">
        <v>7</v>
      </c>
      <c r="C5" s="2" t="s">
        <v>8</v>
      </c>
      <c r="D5" s="12"/>
    </row>
    <row r="6" spans="1:7" x14ac:dyDescent="0.25">
      <c r="B6" s="2" t="s">
        <v>9</v>
      </c>
      <c r="C6" s="2">
        <v>0.15</v>
      </c>
      <c r="D6" s="12"/>
    </row>
    <row r="7" spans="1:7" x14ac:dyDescent="0.25">
      <c r="B7" s="6" t="s">
        <v>5</v>
      </c>
      <c r="C7" s="2"/>
      <c r="D7" s="14"/>
    </row>
    <row r="8" spans="1:7" x14ac:dyDescent="0.25">
      <c r="B8" s="5" t="s">
        <v>11</v>
      </c>
      <c r="C8" s="5" t="s">
        <v>3</v>
      </c>
      <c r="D8" s="14"/>
      <c r="F8" s="5" t="s">
        <v>6</v>
      </c>
      <c r="G8" s="5" t="s">
        <v>0</v>
      </c>
    </row>
    <row r="9" spans="1:7" x14ac:dyDescent="0.25">
      <c r="B9" s="15">
        <v>44713</v>
      </c>
      <c r="C9" s="10">
        <v>-285000</v>
      </c>
      <c r="D9" s="14"/>
      <c r="F9" s="11">
        <f>C9/(1+$C$6)^((B9-$B$9)/365)</f>
        <v>-285000</v>
      </c>
      <c r="G9" s="2" t="str">
        <f ca="1">_xlfn.IFNA(_xlfn.FORMULATEXT(F9),"")</f>
        <v>=C9/(1+$C$6)^((B9-$B$9)/365)</v>
      </c>
    </row>
    <row r="10" spans="1:7" x14ac:dyDescent="0.25">
      <c r="B10" s="15">
        <f>EDATE(B9,9)</f>
        <v>44986</v>
      </c>
      <c r="C10" s="10">
        <v>100000</v>
      </c>
      <c r="D10" s="14"/>
      <c r="F10" s="11">
        <f t="shared" ref="F10:F14" si="0">C10/(1+$C$6)^((B10-$B$9)/365)</f>
        <v>90074.392414282163</v>
      </c>
      <c r="G10" s="2" t="str">
        <f t="shared" ref="G10:G15" ca="1" si="1">_xlfn.IFNA(_xlfn.FORMULATEXT(F10),"")</f>
        <v>=C10/(1+$C$6)^((B10-$B$9)/365)</v>
      </c>
    </row>
    <row r="11" spans="1:7" x14ac:dyDescent="0.25">
      <c r="B11" s="15">
        <f>EDATE(B10,12)</f>
        <v>45352</v>
      </c>
      <c r="C11" s="10">
        <v>90000</v>
      </c>
      <c r="D11" s="14"/>
      <c r="F11" s="11">
        <f t="shared" si="0"/>
        <v>70466.015490585414</v>
      </c>
      <c r="G11" s="2" t="str">
        <f t="shared" ca="1" si="1"/>
        <v>=C11/(1+$C$6)^((B11-$B$9)/365)</v>
      </c>
    </row>
    <row r="12" spans="1:7" x14ac:dyDescent="0.25">
      <c r="B12" s="15">
        <f>EDATE(B11,14)</f>
        <v>45778</v>
      </c>
      <c r="C12" s="10">
        <v>85000</v>
      </c>
      <c r="D12" s="14"/>
      <c r="F12" s="11">
        <f t="shared" si="0"/>
        <v>56534.592774919161</v>
      </c>
      <c r="G12" s="2" t="str">
        <f t="shared" ca="1" si="1"/>
        <v>=C12/(1+$C$6)^((B12-$B$9)/365)</v>
      </c>
    </row>
    <row r="13" spans="1:7" x14ac:dyDescent="0.25">
      <c r="B13" s="15">
        <f>EDATE(B12,14)</f>
        <v>46204</v>
      </c>
      <c r="C13" s="10">
        <v>75000</v>
      </c>
      <c r="D13" s="14"/>
      <c r="F13" s="11">
        <f t="shared" si="0"/>
        <v>42375.49095827846</v>
      </c>
      <c r="G13" s="2" t="str">
        <f t="shared" ca="1" si="1"/>
        <v>=C13/(1+$C$6)^((B13-$B$9)/365)</v>
      </c>
    </row>
    <row r="14" spans="1:7" x14ac:dyDescent="0.25">
      <c r="B14" s="15">
        <f>EDATE(B13,24)</f>
        <v>46935</v>
      </c>
      <c r="C14" s="10">
        <v>70000</v>
      </c>
      <c r="D14" s="14"/>
      <c r="F14" s="11">
        <f t="shared" si="0"/>
        <v>29894.379495902507</v>
      </c>
      <c r="G14" s="2" t="str">
        <f t="shared" ca="1" si="1"/>
        <v>=C14/(1+$C$6)^((B14-$B$9)/365)</v>
      </c>
    </row>
    <row r="15" spans="1:7" x14ac:dyDescent="0.25">
      <c r="B15" s="2" t="s">
        <v>4</v>
      </c>
      <c r="C15" s="11">
        <f>XNPV(C6,C9:C14,B9:B14)</f>
        <v>4344.8711339677066</v>
      </c>
      <c r="D15" s="13" t="str">
        <f ca="1">_xlfn.IFNA(_xlfn.FORMULATEXT(C15),"")</f>
        <v>=XNPV(C6,C9:C14,B9:B14)</v>
      </c>
      <c r="F15" s="11">
        <f>SUM(F9:F14)</f>
        <v>4344.8711339677066</v>
      </c>
      <c r="G15" s="2" t="str">
        <f t="shared" ca="1" si="1"/>
        <v>=SUM(F9:F14)</v>
      </c>
    </row>
    <row r="17" spans="2:14" ht="18.75" x14ac:dyDescent="0.3">
      <c r="B17" s="34" t="s">
        <v>12</v>
      </c>
      <c r="C17" s="35"/>
      <c r="F17" t="str">
        <f t="shared" ref="F17:F19" ca="1" si="2">_xlfn.IFNA(_xlfn.FORMULATEXT(E17),"")</f>
        <v/>
      </c>
    </row>
    <row r="19" spans="2:14" ht="16.5" x14ac:dyDescent="0.3">
      <c r="D19" s="16"/>
      <c r="F19" t="str">
        <f t="shared" ca="1" si="2"/>
        <v/>
      </c>
    </row>
    <row r="23" spans="2:14" x14ac:dyDescent="0.25">
      <c r="B23" s="2" t="s">
        <v>10</v>
      </c>
      <c r="C23" s="4" cm="1">
        <f t="array" ref="C23">SUM(C9:C14/(1+C6)^((B9:B14-B9)/365))</f>
        <v>4344.8711339677066</v>
      </c>
      <c r="D23" s="3" t="str">
        <f ca="1">_xlfn.IFNA(_xlfn.FORMULATEXT(C23),"")</f>
        <v>=SUM(C9:C14/(1+C6)^((B9:B14-B9)/365))</v>
      </c>
    </row>
    <row r="25" spans="2:14" x14ac:dyDescent="0.25">
      <c r="F25" s="23" t="s">
        <v>18</v>
      </c>
      <c r="G25" s="23" t="s">
        <v>17</v>
      </c>
      <c r="I25" s="23" t="s">
        <v>34</v>
      </c>
      <c r="J25" s="23" t="s">
        <v>33</v>
      </c>
      <c r="L25" s="23" t="s">
        <v>35</v>
      </c>
      <c r="M25" s="23" t="s">
        <v>33</v>
      </c>
      <c r="N25" s="23" t="s">
        <v>30</v>
      </c>
    </row>
    <row r="26" spans="2:14" x14ac:dyDescent="0.25">
      <c r="F26" s="11" cm="1">
        <f t="array" ref="F26:F31">C9:C14/(1+C6)^((B9:B14-B9)/365)</f>
        <v>-285000</v>
      </c>
      <c r="G26" s="11" cm="1">
        <f t="array" ref="G26:G31">_xlfn.SCAN(0,_xlfn.SEQUENCE(ROWS(B9:B14)),_xlfn.LAMBDA(_xlpm.v,_xlpm.i,INDEX(C9:C14,_xlpm.i)/(1+C6)^((INDEX(B9:B14,_xlpm.i)-B9)/365)))</f>
        <v>-285000</v>
      </c>
      <c r="I26" s="11">
        <f t="shared" ref="I26:I31" si="3">C9/(1+$C$6)^YEARFRAC($B$9,B9)</f>
        <v>-285000</v>
      </c>
      <c r="J26" s="2" t="str">
        <f ca="1">_xlfn.IFNA(_xlfn.FORMULATEXT(I26),"")</f>
        <v>=C9/(1+$C$6)^YEARFRAC($B$9,B9)</v>
      </c>
      <c r="L26" s="27">
        <f t="shared" ref="L26:L31" si="4">(B9-$B$9)/365</f>
        <v>0</v>
      </c>
      <c r="M26" s="2" t="str">
        <f ca="1">_xlfn.IFNA(_xlfn.FORMULATEXT(L26),"")</f>
        <v>=(B9-$B$9)/365</v>
      </c>
      <c r="N26" s="11">
        <f t="shared" ref="N26:N31" si="5">C9/(1+$C$6)^L26</f>
        <v>-285000</v>
      </c>
    </row>
    <row r="27" spans="2:14" x14ac:dyDescent="0.25">
      <c r="F27" s="11">
        <v>90074.392414282163</v>
      </c>
      <c r="G27" s="11">
        <v>90074.392414282163</v>
      </c>
      <c r="I27" s="11">
        <f t="shared" si="3"/>
        <v>90048.528377532362</v>
      </c>
      <c r="J27" s="2" t="str">
        <f t="shared" ref="J27:J32" ca="1" si="6">_xlfn.IFNA(_xlfn.FORMULATEXT(I27),"")</f>
        <v>=C10/(1+$C$6)^YEARFRAC($B$9,B10)</v>
      </c>
      <c r="L27" s="27">
        <f t="shared" si="4"/>
        <v>0.74794520547945209</v>
      </c>
      <c r="M27" s="2" t="str">
        <f t="shared" ref="M27:M31" ca="1" si="7">_xlfn.IFNA(_xlfn.FORMULATEXT(L27),"")</f>
        <v>=(B10-$B$9)/365</v>
      </c>
      <c r="N27" s="11">
        <f t="shared" si="5"/>
        <v>90074.392414282163</v>
      </c>
    </row>
    <row r="28" spans="2:14" x14ac:dyDescent="0.25">
      <c r="F28" s="11">
        <v>70466.015490585414</v>
      </c>
      <c r="G28" s="11">
        <v>70466.015490585414</v>
      </c>
      <c r="I28" s="11">
        <f t="shared" si="3"/>
        <v>70472.761338938377</v>
      </c>
      <c r="J28" s="2" t="str">
        <f t="shared" ca="1" si="6"/>
        <v>=C11/(1+$C$6)^YEARFRAC($B$9,B11)</v>
      </c>
      <c r="L28" s="27">
        <f t="shared" si="4"/>
        <v>1.7506849315068493</v>
      </c>
      <c r="M28" s="2" t="str">
        <f t="shared" ca="1" si="7"/>
        <v>=(B11-$B$9)/365</v>
      </c>
      <c r="N28" s="11">
        <f t="shared" si="5"/>
        <v>70466.015490585414</v>
      </c>
    </row>
    <row r="29" spans="2:14" x14ac:dyDescent="0.25">
      <c r="F29" s="11">
        <v>56534.592774919161</v>
      </c>
      <c r="G29" s="11">
        <v>56534.592774919161</v>
      </c>
      <c r="I29" s="11">
        <f t="shared" si="3"/>
        <v>56543.613339812633</v>
      </c>
      <c r="J29" s="2" t="str">
        <f t="shared" ca="1" si="6"/>
        <v>=C12/(1+$C$6)^YEARFRAC($B$9,B12)</v>
      </c>
      <c r="L29" s="27">
        <f t="shared" si="4"/>
        <v>2.9178082191780823</v>
      </c>
      <c r="M29" s="2" t="str">
        <f t="shared" ca="1" si="7"/>
        <v>=(B12-$B$9)/365</v>
      </c>
      <c r="N29" s="11">
        <f t="shared" si="5"/>
        <v>56534.592774919161</v>
      </c>
    </row>
    <row r="30" spans="2:14" x14ac:dyDescent="0.25">
      <c r="F30" s="11">
        <v>42375.49095827846</v>
      </c>
      <c r="G30" s="11">
        <v>42375.49095827846</v>
      </c>
      <c r="I30" s="11">
        <f t="shared" si="3"/>
        <v>42384.957167607441</v>
      </c>
      <c r="J30" s="2" t="str">
        <f t="shared" ca="1" si="6"/>
        <v>=C13/(1+$C$6)^YEARFRAC($B$9,B13)</v>
      </c>
      <c r="L30" s="27">
        <f t="shared" si="4"/>
        <v>4.0849315068493155</v>
      </c>
      <c r="M30" s="2" t="str">
        <f t="shared" ca="1" si="7"/>
        <v>=(B13-$B$9)/365</v>
      </c>
      <c r="N30" s="11">
        <f>C13/(1+$C$6)^L30</f>
        <v>42375.49095827846</v>
      </c>
    </row>
    <row r="31" spans="2:14" x14ac:dyDescent="0.25">
      <c r="F31" s="11">
        <v>29894.379495902507</v>
      </c>
      <c r="G31" s="11">
        <v>29894.379495902507</v>
      </c>
      <c r="I31" s="11">
        <f t="shared" si="3"/>
        <v>29912.509154203115</v>
      </c>
      <c r="J31" s="2" t="str">
        <f t="shared" ca="1" si="6"/>
        <v>=C14/(1+$C$6)^YEARFRAC($B$9,B14)</v>
      </c>
      <c r="L31" s="27">
        <f t="shared" si="4"/>
        <v>6.087671232876712</v>
      </c>
      <c r="M31" s="2" t="str">
        <f t="shared" ca="1" si="7"/>
        <v>=(B14-$B$9)/365</v>
      </c>
      <c r="N31" s="11">
        <f t="shared" si="5"/>
        <v>29894.379495902507</v>
      </c>
    </row>
    <row r="32" spans="2:14" x14ac:dyDescent="0.25">
      <c r="F32" s="26">
        <f t="shared" ref="F32:I32" si="8">SUM(F26:F31)</f>
        <v>4344.8711339677066</v>
      </c>
      <c r="G32" s="26">
        <f t="shared" si="8"/>
        <v>4344.8711339677066</v>
      </c>
      <c r="I32" s="26">
        <f t="shared" si="8"/>
        <v>4362.3693780939502</v>
      </c>
      <c r="J32" s="2" t="str">
        <f t="shared" ca="1" si="6"/>
        <v>=SUM(I26:I31)</v>
      </c>
      <c r="N32" s="32">
        <f>SUM(N26:N31)</f>
        <v>4344.8711339677066</v>
      </c>
    </row>
    <row r="34" spans="12:14" x14ac:dyDescent="0.25">
      <c r="L34" s="23" t="s">
        <v>36</v>
      </c>
      <c r="M34" s="23" t="s">
        <v>33</v>
      </c>
      <c r="N34" s="23"/>
    </row>
    <row r="35" spans="12:14" x14ac:dyDescent="0.25">
      <c r="L35" s="27">
        <f t="shared" ref="L35:L40" si="9">YEARFRAC($B$9,B9)</f>
        <v>0</v>
      </c>
      <c r="M35" s="2" t="str">
        <f ca="1">_xlfn.IFNA(_xlfn.FORMULATEXT(L35),"")</f>
        <v>=YEARFRAC($B$9,B9)</v>
      </c>
      <c r="N35" s="11">
        <f t="shared" ref="N35:N40" si="10">C9/(1+$C$6)^L35</f>
        <v>-285000</v>
      </c>
    </row>
    <row r="36" spans="12:14" x14ac:dyDescent="0.25">
      <c r="L36" s="27">
        <f t="shared" si="9"/>
        <v>0.75</v>
      </c>
      <c r="M36" s="2" t="str">
        <f t="shared" ref="M36:M40" ca="1" si="11">_xlfn.IFNA(_xlfn.FORMULATEXT(L36),"")</f>
        <v>=YEARFRAC($B$9,B10)</v>
      </c>
      <c r="N36" s="11">
        <f t="shared" si="10"/>
        <v>90048.528377532362</v>
      </c>
    </row>
    <row r="37" spans="12:14" x14ac:dyDescent="0.25">
      <c r="L37" s="27">
        <f t="shared" si="9"/>
        <v>1.75</v>
      </c>
      <c r="M37" s="2" t="str">
        <f t="shared" ca="1" si="11"/>
        <v>=YEARFRAC($B$9,B11)</v>
      </c>
      <c r="N37" s="11">
        <f t="shared" si="10"/>
        <v>70472.761338938377</v>
      </c>
    </row>
    <row r="38" spans="12:14" x14ac:dyDescent="0.25">
      <c r="L38" s="27">
        <f t="shared" si="9"/>
        <v>2.9166666666666665</v>
      </c>
      <c r="M38" s="2" t="str">
        <f t="shared" ca="1" si="11"/>
        <v>=YEARFRAC($B$9,B12)</v>
      </c>
      <c r="N38" s="11">
        <f t="shared" si="10"/>
        <v>56543.613339812633</v>
      </c>
    </row>
    <row r="39" spans="12:14" x14ac:dyDescent="0.25">
      <c r="L39" s="27">
        <f t="shared" si="9"/>
        <v>4.083333333333333</v>
      </c>
      <c r="M39" s="2" t="str">
        <f t="shared" ca="1" si="11"/>
        <v>=YEARFRAC($B$9,B13)</v>
      </c>
      <c r="N39" s="11">
        <f t="shared" si="10"/>
        <v>42384.957167607441</v>
      </c>
    </row>
    <row r="40" spans="12:14" x14ac:dyDescent="0.25">
      <c r="L40" s="27">
        <f t="shared" si="9"/>
        <v>6.083333333333333</v>
      </c>
      <c r="M40" s="2" t="str">
        <f t="shared" ca="1" si="11"/>
        <v>=YEARFRAC($B$9,B14)</v>
      </c>
      <c r="N40" s="11">
        <f t="shared" si="10"/>
        <v>29912.509154203115</v>
      </c>
    </row>
    <row r="41" spans="12:14" x14ac:dyDescent="0.25">
      <c r="N41" s="32">
        <f>SUM(N35:N40)</f>
        <v>4362.3693780939502</v>
      </c>
    </row>
    <row r="43" spans="12:14" x14ac:dyDescent="0.25">
      <c r="L43" s="23" t="s">
        <v>35</v>
      </c>
      <c r="M43" s="23" t="s">
        <v>33</v>
      </c>
      <c r="N43" s="23"/>
    </row>
    <row r="44" spans="12:14" x14ac:dyDescent="0.25">
      <c r="L44" s="27">
        <f t="shared" ref="L44:L49" si="12">(B9-$B$9)/365.25</f>
        <v>0</v>
      </c>
      <c r="M44" s="2" t="str">
        <f ca="1">_xlfn.IFNA(_xlfn.FORMULATEXT(L44),"")</f>
        <v>=(B9-$B$9)/365.25</v>
      </c>
      <c r="N44" s="11">
        <f t="shared" ref="N44:N49" si="13">C9/(1+$C$6)^L44</f>
        <v>-285000</v>
      </c>
    </row>
    <row r="45" spans="12:14" x14ac:dyDescent="0.25">
      <c r="L45" s="27">
        <f t="shared" si="12"/>
        <v>0.74743326488706363</v>
      </c>
      <c r="M45" s="2" t="str">
        <f t="shared" ref="M45:M49" ca="1" si="14">_xlfn.IFNA(_xlfn.FORMULATEXT(L45),"")</f>
        <v>=(B10-$B$9)/365.25</v>
      </c>
      <c r="N45" s="11">
        <f t="shared" si="13"/>
        <v>90080.83745065477</v>
      </c>
    </row>
    <row r="46" spans="12:14" x14ac:dyDescent="0.25">
      <c r="L46" s="27">
        <f t="shared" si="12"/>
        <v>1.7494866529774127</v>
      </c>
      <c r="M46" s="2" t="str">
        <f t="shared" ca="1" si="14"/>
        <v>=(B11-$B$9)/365.25</v>
      </c>
      <c r="N46" s="11">
        <f t="shared" si="13"/>
        <v>70477.817685625982</v>
      </c>
    </row>
    <row r="47" spans="12:14" x14ac:dyDescent="0.25">
      <c r="L47" s="27">
        <f t="shared" si="12"/>
        <v>2.9158110882956878</v>
      </c>
      <c r="M47" s="2" t="str">
        <f t="shared" ca="1" si="14"/>
        <v>=(B12-$B$9)/365.25</v>
      </c>
      <c r="N47" s="11">
        <f t="shared" si="13"/>
        <v>56550.375076411365</v>
      </c>
    </row>
    <row r="48" spans="12:14" x14ac:dyDescent="0.25">
      <c r="L48" s="27">
        <f t="shared" si="12"/>
        <v>4.0821355236139629</v>
      </c>
      <c r="M48" s="2" t="str">
        <f t="shared" ca="1" si="14"/>
        <v>=(B13-$B$9)/365.25</v>
      </c>
      <c r="N48" s="11">
        <f t="shared" si="13"/>
        <v>42392.053351507049</v>
      </c>
    </row>
    <row r="49" spans="12:14" x14ac:dyDescent="0.25">
      <c r="L49" s="27">
        <f t="shared" si="12"/>
        <v>6.0835044490075294</v>
      </c>
      <c r="M49" s="2" t="str">
        <f t="shared" ca="1" si="14"/>
        <v>=(B14-$B$9)/365.25</v>
      </c>
      <c r="N49" s="11">
        <f t="shared" si="13"/>
        <v>29911.793791371099</v>
      </c>
    </row>
    <row r="50" spans="12:14" x14ac:dyDescent="0.25">
      <c r="N50" s="32">
        <f>SUM(N44:N49)</f>
        <v>4412.8773555702646</v>
      </c>
    </row>
  </sheetData>
  <mergeCells count="1">
    <mergeCell ref="B17:C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C(1762C)</vt:lpstr>
      <vt:lpstr>1762</vt:lpstr>
      <vt:lpstr>1762 (an)</vt:lpstr>
      <vt:lpstr>1761</vt:lpstr>
      <vt:lpstr>1761 (an)</vt:lpstr>
      <vt:lpstr>'1762 (an)'!NPV</vt:lpstr>
      <vt:lpstr>NPV</vt:lpstr>
      <vt:lpstr>'1762 (an)'!XNPV</vt:lpstr>
      <vt:lpstr>XNPV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2015-06-05T18:17:20Z</dcterms:created>
  <dcterms:modified xsi:type="dcterms:W3CDTF">2021-10-22T21:26:19Z</dcterms:modified>
</cp:coreProperties>
</file>