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girvin\Desktop\00-455-2025\02-VideosFilesHomework\Ch08\Files\"/>
    </mc:Choice>
  </mc:AlternateContent>
  <xr:revisionPtr revIDLastSave="0" documentId="13_ncr:1_{159DDD20-349F-4FAC-9E7E-9DB1E069AF7D}" xr6:coauthVersionLast="47" xr6:coauthVersionMax="47" xr10:uidLastSave="{00000000-0000-0000-0000-000000000000}"/>
  <bookViews>
    <workbookView xWindow="-90" yWindow="-90" windowWidth="19380" windowHeight="10380" tabRatio="689" firstSheet="2" activeTab="2" xr2:uid="{9AA34A2C-A58D-48FF-A743-29AA15894D53}"/>
  </bookViews>
  <sheets>
    <sheet name="Data" sheetId="29" r:id="rId1"/>
    <sheet name="CB" sheetId="76" r:id="rId2"/>
    <sheet name="Ex(1)" sheetId="36" r:id="rId3"/>
    <sheet name="Ex(1an)" sheetId="38" r:id="rId4"/>
    <sheet name="Ex(2)" sheetId="37" r:id="rId5"/>
    <sheet name="Ex(2an)" sheetId="39" r:id="rId6"/>
    <sheet name="Ex(3)" sheetId="1" r:id="rId7"/>
    <sheet name="Ex(3an)" sheetId="51" r:id="rId8"/>
    <sheet name="Ex(4)" sheetId="2" r:id="rId9"/>
    <sheet name="Ex(4an)" sheetId="43" r:id="rId10"/>
    <sheet name="Ex(5)" sheetId="41" r:id="rId11"/>
    <sheet name="Ex(5an)" sheetId="44" r:id="rId12"/>
    <sheet name="Ex(5.5)" sheetId="3" r:id="rId13"/>
    <sheet name="EX(6)" sheetId="45" r:id="rId14"/>
    <sheet name="EX(6an)" sheetId="46" r:id="rId15"/>
    <sheet name="EX(6.5)" sheetId="52" r:id="rId16"/>
    <sheet name="pre-7" sheetId="62" r:id="rId17"/>
    <sheet name="Ex(7)" sheetId="48" r:id="rId18"/>
    <sheet name="Ex(7an)" sheetId="47" r:id="rId19"/>
    <sheet name="NPV P" sheetId="50" r:id="rId20"/>
    <sheet name="EX(8)" sheetId="54" r:id="rId21"/>
    <sheet name="EX(8an)" sheetId="55" r:id="rId22"/>
    <sheet name="Ex(9)" sheetId="56" r:id="rId23"/>
    <sheet name="Ex(9an)" sheetId="77" r:id="rId24"/>
    <sheet name="Ex(10)" sheetId="57" r:id="rId25"/>
    <sheet name="Ex(10an)" sheetId="64" r:id="rId26"/>
    <sheet name="Ex(11)" sheetId="63" r:id="rId27"/>
    <sheet name="Ex(11an)" sheetId="65" r:id="rId28"/>
    <sheet name="EX(12)" sheetId="59" r:id="rId29"/>
    <sheet name="Ex(12an)" sheetId="60" r:id="rId30"/>
    <sheet name="Ex(13)" sheetId="66" r:id="rId31"/>
    <sheet name="Ex(13an)" sheetId="68" r:id="rId32"/>
    <sheet name="CT&amp;CR1-15" sheetId="69" state="hidden" r:id="rId33"/>
  </sheets>
  <definedNames>
    <definedName name="PayBackRule" comment="CashFlows argument needs estimated periodic cash flows for the project from period zero (cost as a negative) to period  n. The function delivers the number of periods it takes to recoup the cost.">_xlfn.LAMBDA(_xlpm.CashFlows,_xlfn.LET(_xlpm.cf,_xlpm.CashFlows,_xlpm.t,_xlfn.SEQUENCE(ROWS(_xlpm.cf),,0),_xlpm.altpb,_xlfn.SCAN(0,_xlpm.cf,_xleta.SUM), IF(SUM(_xlfn.DROP(_xlpm.cf,1))&lt;-_xlfn.TAKE(_xlpm.cf,1),"Never",LOOKUP(0,_xlpm.altpb,_xlpm.t-_xlfn.IFNA(_xlpm.altpb/_xlfn.DROP(_xlpm.cf,1),0)))))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68" l="1" a="1"/>
  <c r="J7" i="68" s="1"/>
  <c r="K7" i="68" a="1"/>
  <c r="K7" i="68" s="1"/>
  <c r="J6" i="68"/>
  <c r="J5" i="68"/>
  <c r="G37" i="60"/>
  <c r="J43" i="60"/>
  <c r="J37" i="60" a="1"/>
  <c r="J37" i="60" s="1"/>
  <c r="F37" i="60"/>
  <c r="I43" i="60"/>
  <c r="I37" i="60" a="1"/>
  <c r="I37" i="60" s="1"/>
  <c r="C23" i="60" a="1"/>
  <c r="C23" i="60" s="1"/>
  <c r="C19" i="60" s="1"/>
  <c r="C21" i="64"/>
  <c r="C25" i="64" s="1"/>
  <c r="B21" i="64"/>
  <c r="C19" i="64"/>
  <c r="B19" i="64"/>
  <c r="C15" i="64"/>
  <c r="B15" i="64"/>
  <c r="C13" i="64"/>
  <c r="C16" i="64" s="1"/>
  <c r="B13" i="64"/>
  <c r="C10" i="64"/>
  <c r="C8" i="64"/>
  <c r="B8" i="64"/>
  <c r="C7" i="64"/>
  <c r="B7" i="64"/>
  <c r="C14" i="77" a="1"/>
  <c r="B14" i="77" a="1"/>
  <c r="D5" i="77" a="1"/>
  <c r="D5" i="77" s="1"/>
  <c r="E5" i="77" s="1"/>
  <c r="E4" i="77" s="1"/>
  <c r="C10" i="50" a="1"/>
  <c r="B10" i="50" a="1"/>
  <c r="D13" i="47" a="1"/>
  <c r="C13" i="47" a="1"/>
  <c r="B13" i="47" a="1"/>
  <c r="M16" i="44" a="1"/>
  <c r="M16" i="44" s="1"/>
  <c r="M15" i="44" a="1"/>
  <c r="M15" i="44" s="1"/>
  <c r="D12" i="44"/>
  <c r="G9" i="44" a="1"/>
  <c r="G9" i="44" s="1"/>
  <c r="M8" i="44" a="1"/>
  <c r="G5" i="51" a="1"/>
  <c r="G5" i="51" s="1"/>
  <c r="E17" i="51" a="1"/>
  <c r="D17" i="51" a="1"/>
  <c r="D17" i="51" s="1"/>
  <c r="B12" i="55" a="1"/>
  <c r="B12" i="55" s="1"/>
  <c r="F5" i="68"/>
  <c r="F6" i="68"/>
  <c r="F8" i="68"/>
  <c r="F9" i="68"/>
  <c r="F10" i="68"/>
  <c r="E13" i="68"/>
  <c r="F13" i="68"/>
  <c r="E14" i="68"/>
  <c r="F14" i="68"/>
  <c r="E15" i="68"/>
  <c r="F15" i="68"/>
  <c r="E16" i="68"/>
  <c r="F16" i="68"/>
  <c r="E17" i="68"/>
  <c r="F17" i="68"/>
  <c r="E18" i="68"/>
  <c r="F18" i="68"/>
  <c r="E19" i="68"/>
  <c r="F19" i="68"/>
  <c r="E20" i="68"/>
  <c r="F7" i="68" s="1"/>
  <c r="A1" i="60"/>
  <c r="A2" i="60"/>
  <c r="A3" i="60"/>
  <c r="A4" i="60"/>
  <c r="A5" i="60"/>
  <c r="A6" i="60"/>
  <c r="A7" i="60"/>
  <c r="A8" i="60"/>
  <c r="B11" i="60"/>
  <c r="C17" i="60"/>
  <c r="C18" i="60"/>
  <c r="E22" i="60"/>
  <c r="F19" i="60" s="1"/>
  <c r="E37" i="60"/>
  <c r="E38" i="60"/>
  <c r="F38" i="60"/>
  <c r="E39" i="60"/>
  <c r="F39" i="60"/>
  <c r="E40" i="60"/>
  <c r="F40" i="60"/>
  <c r="E41" i="60"/>
  <c r="F41" i="60"/>
  <c r="E42" i="60"/>
  <c r="F42" i="60"/>
  <c r="E43" i="60"/>
  <c r="B46" i="60"/>
  <c r="A1" i="59"/>
  <c r="A2" i="59"/>
  <c r="A3" i="59"/>
  <c r="A4" i="59"/>
  <c r="A5" i="59"/>
  <c r="A6" i="59"/>
  <c r="A7" i="59"/>
  <c r="A8" i="59"/>
  <c r="B11" i="59"/>
  <c r="E22" i="59"/>
  <c r="C23" i="59"/>
  <c r="C24" i="59"/>
  <c r="C25" i="59"/>
  <c r="C26" i="59"/>
  <c r="C27" i="59"/>
  <c r="C28" i="59"/>
  <c r="C29" i="59"/>
  <c r="C30" i="59"/>
  <c r="C31" i="59"/>
  <c r="C32" i="59"/>
  <c r="E37" i="59"/>
  <c r="F37" i="59"/>
  <c r="E38" i="59"/>
  <c r="F38" i="59"/>
  <c r="E39" i="59"/>
  <c r="F39" i="59"/>
  <c r="E40" i="59"/>
  <c r="F40" i="59"/>
  <c r="E41" i="59"/>
  <c r="F41" i="59"/>
  <c r="E42" i="59"/>
  <c r="F42" i="59"/>
  <c r="E43" i="59"/>
  <c r="F43" i="59"/>
  <c r="B46" i="59"/>
  <c r="B8" i="65"/>
  <c r="B9" i="65"/>
  <c r="A11" i="65"/>
  <c r="A11" i="63"/>
  <c r="B7" i="57"/>
  <c r="B8" i="57"/>
  <c r="B13" i="57"/>
  <c r="B15" i="57"/>
  <c r="B19" i="57"/>
  <c r="B21" i="57"/>
  <c r="B10" i="77"/>
  <c r="C10" i="77"/>
  <c r="E10" i="77"/>
  <c r="B11" i="77"/>
  <c r="C11" i="77"/>
  <c r="E4" i="56"/>
  <c r="E10" i="56"/>
  <c r="D3" i="55"/>
  <c r="F3" i="55"/>
  <c r="D4" i="55"/>
  <c r="F4" i="55"/>
  <c r="D5" i="55"/>
  <c r="F5" i="55"/>
  <c r="B8" i="55"/>
  <c r="B9" i="55"/>
  <c r="C16" i="55"/>
  <c r="C50" i="55"/>
  <c r="D3" i="54"/>
  <c r="F3" i="54"/>
  <c r="D4" i="54"/>
  <c r="F4" i="54" s="1"/>
  <c r="D5" i="54"/>
  <c r="F5" i="54"/>
  <c r="A11" i="50"/>
  <c r="A12" i="50"/>
  <c r="A13" i="50"/>
  <c r="A14" i="50"/>
  <c r="A15" i="50"/>
  <c r="A16" i="50"/>
  <c r="A17" i="50"/>
  <c r="A18" i="50"/>
  <c r="A19" i="50"/>
  <c r="A28" i="50"/>
  <c r="A29" i="50"/>
  <c r="A30" i="50"/>
  <c r="A31" i="50"/>
  <c r="A32" i="50"/>
  <c r="B7" i="47"/>
  <c r="A12" i="47"/>
  <c r="C12" i="47"/>
  <c r="M25" i="47"/>
  <c r="N25" i="47"/>
  <c r="A8" i="48"/>
  <c r="A9" i="48"/>
  <c r="A10" i="48"/>
  <c r="A12" i="48"/>
  <c r="A30" i="48"/>
  <c r="B4" i="52"/>
  <c r="C4" i="52"/>
  <c r="D4" i="52"/>
  <c r="B9" i="52"/>
  <c r="B12" i="52"/>
  <c r="C12" i="52"/>
  <c r="D12" i="52"/>
  <c r="E12" i="52"/>
  <c r="B15" i="52"/>
  <c r="C15" i="52"/>
  <c r="D15" i="52"/>
  <c r="B17" i="52"/>
  <c r="B21" i="52"/>
  <c r="C21" i="52"/>
  <c r="D21" i="52"/>
  <c r="B23" i="52"/>
  <c r="B4" i="46"/>
  <c r="C4" i="46"/>
  <c r="D4" i="46"/>
  <c r="B6" i="46"/>
  <c r="B11" i="46"/>
  <c r="B14" i="46"/>
  <c r="C14" i="46"/>
  <c r="D14" i="46"/>
  <c r="E14" i="46"/>
  <c r="B16" i="46"/>
  <c r="B17" i="46"/>
  <c r="B19" i="46"/>
  <c r="A23" i="46"/>
  <c r="A24" i="46"/>
  <c r="A38" i="45"/>
  <c r="A39" i="45"/>
  <c r="C3" i="3"/>
  <c r="D3" i="3"/>
  <c r="B6" i="3"/>
  <c r="B7" i="3"/>
  <c r="C11" i="3"/>
  <c r="D11" i="3"/>
  <c r="B2" i="44"/>
  <c r="B3" i="44"/>
  <c r="B4" i="44"/>
  <c r="B5" i="44"/>
  <c r="B9" i="44"/>
  <c r="B10" i="44"/>
  <c r="B11" i="44"/>
  <c r="B12" i="44"/>
  <c r="C12" i="44"/>
  <c r="A13" i="44"/>
  <c r="B2" i="41"/>
  <c r="D12" i="41" s="1"/>
  <c r="B3" i="41"/>
  <c r="B4" i="41"/>
  <c r="B5" i="41"/>
  <c r="B2" i="43"/>
  <c r="B3" i="43"/>
  <c r="B4" i="43"/>
  <c r="B5" i="43"/>
  <c r="B6" i="43"/>
  <c r="B7" i="43"/>
  <c r="D5" i="51"/>
  <c r="D6" i="51"/>
  <c r="D7" i="51"/>
  <c r="D8" i="51"/>
  <c r="D9" i="51"/>
  <c r="D12" i="51"/>
  <c r="C16" i="51"/>
  <c r="C16" i="1"/>
  <c r="B6" i="39"/>
  <c r="E3" i="38"/>
  <c r="E6" i="38" s="1"/>
  <c r="E4" i="38"/>
  <c r="E5" i="38"/>
  <c r="D9" i="38"/>
  <c r="E7" i="36"/>
  <c r="E9" i="36"/>
  <c r="D2" i="29" a="1"/>
  <c r="F6" i="29"/>
  <c r="F43" i="60" l="1"/>
  <c r="C24" i="64"/>
  <c r="C22" i="64"/>
  <c r="C14" i="77"/>
  <c r="B14" i="77"/>
  <c r="C10" i="50"/>
  <c r="B10" i="50"/>
  <c r="D13" i="47"/>
  <c r="C13" i="47"/>
  <c r="B13" i="47"/>
  <c r="M8" i="44"/>
  <c r="M14" i="44" s="1" a="1"/>
  <c r="M14" i="44" s="1"/>
  <c r="M13" i="44"/>
  <c r="E17" i="51"/>
  <c r="A10" i="47"/>
  <c r="A9" i="47"/>
  <c r="A8" i="47"/>
  <c r="A30" i="47"/>
  <c r="E9" i="38"/>
  <c r="D7" i="38"/>
  <c r="D2" i="29"/>
  <c r="D4" i="29"/>
  <c r="D3" i="29"/>
  <c r="G1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Girvin, Michael</author>
  </authors>
  <commentList>
    <comment ref="C9" authorId="0" shapeId="0" xr:uid="{E9138A0A-CB64-4E17-9442-A0F2C248CB44}">
      <text>
        <r>
          <rPr>
            <b/>
            <sz val="9"/>
            <color indexed="81"/>
            <rFont val="Tahoma"/>
            <family val="2"/>
          </rPr>
          <t>Girvin, Michael: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Girvin</author>
  </authors>
  <commentList>
    <comment ref="C3" authorId="0" shapeId="0" xr:uid="{EB182EE5-ED0A-400E-A199-9FBAEC10BD7F}">
      <text>
        <r>
          <rPr>
            <b/>
            <sz val="8"/>
            <color indexed="81"/>
            <rFont val="Tahoma"/>
            <family val="2"/>
          </rPr>
          <t>This is actual the cost and so it should be negative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<sst xmlns="http://schemas.openxmlformats.org/spreadsheetml/2006/main" count="558" uniqueCount="226">
  <si>
    <t>Period</t>
  </si>
  <si>
    <t>CF0</t>
  </si>
  <si>
    <t>CF1</t>
  </si>
  <si>
    <t>CF2</t>
  </si>
  <si>
    <t>CF3</t>
  </si>
  <si>
    <t>RRR</t>
  </si>
  <si>
    <t>NPV</t>
  </si>
  <si>
    <t>IRR</t>
  </si>
  <si>
    <t>Net Income</t>
  </si>
  <si>
    <t>Year 1</t>
  </si>
  <si>
    <t>Year 2</t>
  </si>
  <si>
    <t>Year 3</t>
  </si>
  <si>
    <t>Years</t>
  </si>
  <si>
    <t>Average Book Value</t>
  </si>
  <si>
    <t>Average Net Income</t>
  </si>
  <si>
    <t>Year</t>
  </si>
  <si>
    <t>PI</t>
  </si>
  <si>
    <t>Payback</t>
  </si>
  <si>
    <t>Date</t>
  </si>
  <si>
    <t>CF</t>
  </si>
  <si>
    <t>XNPV</t>
  </si>
  <si>
    <t>Net Income 1</t>
  </si>
  <si>
    <t>Net Income 2</t>
  </si>
  <si>
    <t>Net Income 3</t>
  </si>
  <si>
    <t>Your required return for assets of this risk</t>
  </si>
  <si>
    <t>NPV =</t>
  </si>
  <si>
    <t>Note: value1 can be the whole range of cash flows</t>
  </si>
  <si>
    <t>Cash Flow 1</t>
  </si>
  <si>
    <t>Cash Flow 2</t>
  </si>
  <si>
    <t>Cash Flow 3</t>
  </si>
  <si>
    <t>Cash Flow 0 (Cost)</t>
  </si>
  <si>
    <t>Price willing to pay</t>
  </si>
  <si>
    <t>Cash Flows</t>
  </si>
  <si>
    <t xml:space="preserve"> =PV($B$1,D2,,B3)</t>
  </si>
  <si>
    <t xml:space="preserve"> =PV($B$1,D3,,B4)</t>
  </si>
  <si>
    <t xml:space="preserve"> =PV($B$1,D4,,B5)</t>
  </si>
  <si>
    <t xml:space="preserve"> =SUM(E2:E4)</t>
  </si>
  <si>
    <t xml:space="preserve"> =-E5+B2</t>
  </si>
  <si>
    <r>
      <t xml:space="preserve"> =NPV(rate, value1, value2, …) + CF</t>
    </r>
    <r>
      <rPr>
        <vertAlign val="subscript"/>
        <sz val="10"/>
        <rFont val="Arial"/>
        <family val="2"/>
      </rPr>
      <t>0</t>
    </r>
    <r>
      <rPr>
        <sz val="10"/>
        <rFont val="Arial"/>
        <family val="2"/>
      </rPr>
      <t xml:space="preserve">
=NPV(i/n, CF</t>
    </r>
    <r>
      <rPr>
        <vertAlign val="subscript"/>
        <sz val="10"/>
        <rFont val="Arial"/>
        <family val="2"/>
      </rPr>
      <t>1</t>
    </r>
    <r>
      <rPr>
        <sz val="10"/>
        <rFont val="Arial"/>
        <family val="2"/>
      </rPr>
      <t>, CF</t>
    </r>
    <r>
      <rPr>
        <vertAlign val="subscript"/>
        <sz val="10"/>
        <rFont val="Arial"/>
        <family val="2"/>
      </rPr>
      <t>2</t>
    </r>
    <r>
      <rPr>
        <sz val="10"/>
        <rFont val="Arial"/>
        <family val="2"/>
      </rPr>
      <t>, …) + CF</t>
    </r>
    <r>
      <rPr>
        <vertAlign val="subscript"/>
        <sz val="10"/>
        <rFont val="Arial"/>
        <family val="2"/>
      </rPr>
      <t>0</t>
    </r>
  </si>
  <si>
    <t>NPV =Value added to firm if project is undertaken</t>
  </si>
  <si>
    <t xml:space="preserve"> =NPV(B1,B3:B5)+B2</t>
  </si>
  <si>
    <t>Time 0</t>
  </si>
  <si>
    <t>Time 1</t>
  </si>
  <si>
    <t>Time 2</t>
  </si>
  <si>
    <t>Time 3</t>
  </si>
  <si>
    <t>Time 4</t>
  </si>
  <si>
    <t>Time 5</t>
  </si>
  <si>
    <t>Time</t>
  </si>
  <si>
    <t>All Cash Out</t>
  </si>
  <si>
    <t>All Cash In</t>
  </si>
  <si>
    <t>Net Cash Flows</t>
  </si>
  <si>
    <t>Should we launch new product that will be around 5 years that has these cash flows?</t>
  </si>
  <si>
    <t>Answer:</t>
  </si>
  <si>
    <t>No</t>
  </si>
  <si>
    <t>Check</t>
  </si>
  <si>
    <r>
      <t>CF</t>
    </r>
    <r>
      <rPr>
        <vertAlign val="subscript"/>
        <sz val="11"/>
        <color indexed="8"/>
        <rFont val="Calibri"/>
        <family val="2"/>
      </rPr>
      <t>0</t>
    </r>
  </si>
  <si>
    <r>
      <t>CF</t>
    </r>
    <r>
      <rPr>
        <vertAlign val="subscript"/>
        <sz val="11"/>
        <color indexed="8"/>
        <rFont val="Calibri"/>
        <family val="2"/>
      </rPr>
      <t>1</t>
    </r>
    <r>
      <rPr>
        <sz val="11"/>
        <color indexed="8"/>
        <rFont val="Calibri"/>
        <family val="2"/>
      </rPr>
      <t/>
    </r>
  </si>
  <si>
    <r>
      <t>CF</t>
    </r>
    <r>
      <rPr>
        <vertAlign val="subscript"/>
        <sz val="11"/>
        <color indexed="8"/>
        <rFont val="Calibri"/>
        <family val="2"/>
      </rPr>
      <t>2</t>
    </r>
    <r>
      <rPr>
        <sz val="11"/>
        <color indexed="8"/>
        <rFont val="Calibri"/>
        <family val="2"/>
      </rPr>
      <t/>
    </r>
  </si>
  <si>
    <r>
      <t>CF</t>
    </r>
    <r>
      <rPr>
        <vertAlign val="subscript"/>
        <sz val="11"/>
        <color indexed="8"/>
        <rFont val="Calibri"/>
        <family val="2"/>
      </rPr>
      <t>3</t>
    </r>
    <r>
      <rPr>
        <sz val="11"/>
        <color indexed="8"/>
        <rFont val="Calibri"/>
        <family val="2"/>
      </rPr>
      <t/>
    </r>
  </si>
  <si>
    <t>Project Cash Flows</t>
  </si>
  <si>
    <t>Pay Back In Years</t>
  </si>
  <si>
    <t>Amount Left To Pay Back</t>
  </si>
  <si>
    <t xml:space="preserve"> =NPV(B6,B3:B5)+B2</t>
  </si>
  <si>
    <t xml:space="preserve"> =-B2-B3</t>
  </si>
  <si>
    <t>Accept because project has positive NPV</t>
  </si>
  <si>
    <t>Years Required to Pay Back Investment</t>
  </si>
  <si>
    <t xml:space="preserve"> =B9-B4</t>
  </si>
  <si>
    <t xml:space="preserve"> =B10-B5</t>
  </si>
  <si>
    <t>Pro A</t>
  </si>
  <si>
    <t>Pro B</t>
  </si>
  <si>
    <t>Pro C</t>
  </si>
  <si>
    <t>Yes, but is it year 2 or 4?</t>
  </si>
  <si>
    <t>No. Because only $200 by year 2.</t>
  </si>
  <si>
    <t>Yes. Because $300 Cash In by year 2.</t>
  </si>
  <si>
    <t>Problems:</t>
  </si>
  <si>
    <t>We get 2 answers</t>
  </si>
  <si>
    <t>Ignores cash flows after year 2.</t>
  </si>
  <si>
    <t>This project has a negative NPV - ignores time value of $.</t>
  </si>
  <si>
    <t>Required Return:</t>
  </si>
  <si>
    <t>Accept or Reject?</t>
  </si>
  <si>
    <t>Years Required to Pay Back Investment = 2</t>
  </si>
  <si>
    <t xml:space="preserve">Note that the average book value depends on how the asset is depreciated.
</t>
  </si>
  <si>
    <t xml:space="preserve"> = AAR</t>
  </si>
  <si>
    <t>Revenue</t>
  </si>
  <si>
    <t>Expenses (including Depreciation and Tax)</t>
  </si>
  <si>
    <t>Original Cost</t>
  </si>
  <si>
    <t>Striaght Line Deprectaion</t>
  </si>
  <si>
    <t>Salvage</t>
  </si>
  <si>
    <t>Book Value = Historical Cost - Accumulated Depreication</t>
  </si>
  <si>
    <t>AAR</t>
  </si>
  <si>
    <t>Target AAR</t>
  </si>
  <si>
    <t>Decision:</t>
  </si>
  <si>
    <t>Reject Project</t>
  </si>
  <si>
    <t xml:space="preserve"> =AVERAGE(B4:D4)</t>
  </si>
  <si>
    <t xml:space="preserve"> =(B8-B9)/B10</t>
  </si>
  <si>
    <t xml:space="preserve"> =AVERAGE(B14:E14)</t>
  </si>
  <si>
    <t xml:space="preserve"> =B8/2</t>
  </si>
  <si>
    <t xml:space="preserve"> =B6/B17</t>
  </si>
  <si>
    <t>NPV Profile</t>
  </si>
  <si>
    <t xml:space="preserve"> + NPV: Accept</t>
  </si>
  <si>
    <t xml:space="preserve"> -NPV: Reject</t>
  </si>
  <si>
    <t>IRR =</t>
  </si>
  <si>
    <t xml:space="preserve"> + NPV</t>
  </si>
  <si>
    <t xml:space="preserve"> - NPV</t>
  </si>
  <si>
    <t>x</t>
  </si>
  <si>
    <t>rate</t>
  </si>
  <si>
    <t>coefficient of x^2</t>
  </si>
  <si>
    <t>coefficient of x</t>
  </si>
  <si>
    <t>intercept</t>
  </si>
  <si>
    <t>Required Rate Of Return</t>
  </si>
  <si>
    <t xml:space="preserve"> =IRR(B2:B5)</t>
  </si>
  <si>
    <t>Increment</t>
  </si>
  <si>
    <t>Required Rate Return</t>
  </si>
  <si>
    <t>Annual Discount Rate = RRR =</t>
  </si>
  <si>
    <t>Annual RRR (Discount)</t>
  </si>
  <si>
    <t>RRR (Discount)</t>
  </si>
  <si>
    <t>ROA</t>
  </si>
  <si>
    <t>Average ROA</t>
  </si>
  <si>
    <t>or</t>
  </si>
  <si>
    <r>
      <t>NPV = -CF</t>
    </r>
    <r>
      <rPr>
        <vertAlign val="subscript"/>
        <sz val="11"/>
        <color indexed="8"/>
        <rFont val="Calibri"/>
        <family val="2"/>
      </rPr>
      <t>0</t>
    </r>
    <r>
      <rPr>
        <sz val="11"/>
        <color theme="1"/>
        <rFont val="Calibri"/>
        <family val="2"/>
        <scheme val="minor"/>
      </rPr>
      <t xml:space="preserve"> + CF</t>
    </r>
    <r>
      <rPr>
        <vertAlign val="subscript"/>
        <sz val="11"/>
        <color indexed="8"/>
        <rFont val="Calibri"/>
        <family val="2"/>
      </rPr>
      <t>1</t>
    </r>
    <r>
      <rPr>
        <sz val="11"/>
        <color theme="1"/>
        <rFont val="Calibri"/>
        <family val="2"/>
        <scheme val="minor"/>
      </rPr>
      <t>/(1+IRR)</t>
    </r>
  </si>
  <si>
    <t>Solve for directly when exponent is 4 or less (But no need to).</t>
  </si>
  <si>
    <t>Cash Flow 0</t>
  </si>
  <si>
    <t>Cash Out</t>
  </si>
  <si>
    <t>Cash In</t>
  </si>
  <si>
    <t>Net Cash Flow</t>
  </si>
  <si>
    <t>Non-conventional Cash Flows</t>
  </si>
  <si>
    <t>Mutually Exclusive Projects (Investements)</t>
  </si>
  <si>
    <t>NPV A</t>
  </si>
  <si>
    <t>NPV B</t>
  </si>
  <si>
    <t>Diff</t>
  </si>
  <si>
    <t>Cash Flow A</t>
  </si>
  <si>
    <t>Cash Flow B</t>
  </si>
  <si>
    <t>Method 1: Discounting Approach</t>
  </si>
  <si>
    <t>Method 2: Reinvestment Approach</t>
  </si>
  <si>
    <t>Preset Value = How much future cash flows are worth today. Think of it as interest going backwards; if we put money in the bank today (present value) it will be worth some future value amount in the future: Present Value is the Opposite! We want to receive some cash amounts in the future, what amount do we have to put in the bank today?</t>
  </si>
  <si>
    <t>PV function calculates present Value when the cash flows are the same and are separated by regular time periods. NPV function lets us calculate the present value when the amounts are not the same. XNPV function lets us calculate the present value when the amounts are not the same and the times are not the same.</t>
  </si>
  <si>
    <t xml:space="preserve"> =PV( rate, nper, fv, type)</t>
  </si>
  <si>
    <t>When an asset has an annuity cash flow pattern, you can use the PV function for Capital Investment Decision. An annuity has equal payments at equal time intervals.</t>
  </si>
  <si>
    <t xml:space="preserve"> =NPV( rate, CF1, CF2…. (as range or cells separated by commas). NOTE: You cannot include Cash Flow at time 0.</t>
  </si>
  <si>
    <t>Calculates the net present value for a series of cash flows that is periodic (equal time between each cash flow)</t>
  </si>
  <si>
    <t xml:space="preserve"> =XNPV(rate, values, dates) NOTE: you can include Cash Flow at time 0.</t>
  </si>
  <si>
    <t>Returns the net present value for a schedule of cash flows that is not necessarily periodic. To calculate the net present value for a series of cash flows that is periodic, use the NPV function.</t>
  </si>
  <si>
    <t>Cash Flow matters in Finance. Cash going out of the wallet is negative. Cash coming into the wallet is positive.</t>
  </si>
  <si>
    <t>For the borrow the PV is positive, the PMT is negative, and the FV is negative. For the Lender the PV is negative, the PMT is positive, and the FV is positive.</t>
  </si>
  <si>
    <t>Be consistent with your unit of time! If you are calculating monthly payment, you need monthly interest rate and total number of months! (The period can be monthly, quarterly, yearly or any other length).</t>
  </si>
  <si>
    <t>Net Cash Flow at end of each year =</t>
  </si>
  <si>
    <t>Min Return (hurdle rate or Discount Rate) =</t>
  </si>
  <si>
    <t>Cost =</t>
  </si>
  <si>
    <t>PV =</t>
  </si>
  <si>
    <t>Difference =</t>
  </si>
  <si>
    <t>PV function</t>
  </si>
  <si>
    <t>XNPV algorithm</t>
  </si>
  <si>
    <t>Rule adjusts for the time value of money</t>
  </si>
  <si>
    <t>Rule adjusts for risk (RRR - Discount Rate)</t>
  </si>
  <si>
    <t>Rule provides information on whether we are creating value for the firm</t>
  </si>
  <si>
    <t>People use it because it is: 1) easy, 2) costs little, 3) favors projects that free up cash quickly - biased toward liquidity</t>
  </si>
  <si>
    <t>Rule DOES NOT adjusts for the time value of money</t>
  </si>
  <si>
    <t>Rule DOES NOT adjusts for risk (RRR - Discount Rate)</t>
  </si>
  <si>
    <t>Rule DOES NOT provides information on whether we are creating value for the firm</t>
  </si>
  <si>
    <t>Accounting information is almost always available</t>
  </si>
  <si>
    <t>MIRR =</t>
  </si>
  <si>
    <t>If you know the Discount</t>
  </si>
  <si>
    <t>rate, why not just use NPV?</t>
  </si>
  <si>
    <t>Once cash comes into firm,</t>
  </si>
  <si>
    <t>it may or may not be</t>
  </si>
  <si>
    <t xml:space="preserve">reinvested at RRR. </t>
  </si>
  <si>
    <t>Once cash comes in, it can</t>
  </si>
  <si>
    <t>be used for any number of</t>
  </si>
  <si>
    <t>things…</t>
  </si>
  <si>
    <t>3 different methods?</t>
  </si>
  <si>
    <t>Not just one method,</t>
  </si>
  <si>
    <t>like with NPV.</t>
  </si>
  <si>
    <t>Profitability Index
PI &gt; 1 ==&gt; Add Value to Firm
PI &lt; 1 ==&gt; Subtract Value to Firm</t>
  </si>
  <si>
    <t>Amount Added per $1 invested</t>
  </si>
  <si>
    <t>NI</t>
  </si>
  <si>
    <t>PI-1</t>
  </si>
  <si>
    <t>Required AAR</t>
  </si>
  <si>
    <t>A payback period less than the project’s life means that the NPV is positive for a zero discount rate, but nothing more definitive can be said. For discount rates greater than zero, the payback period will still be less than the project’s life, but the NPV may be positive, zero, or negative, depending on whether the discount rate is less than, equal to, or greater than the IRR.</t>
  </si>
  <si>
    <t>If a project has a positive NPV for a certain discount rate, then it will also have a positive NPV for a zero discount rate; thus the payback period must be less than the project life. If NPV is positive, then the present value of future cash inflows is greater than the initial investment cost; thus PI must be greater than 1. If NPV is positive for a certain discount rate R, then it will be zero for some larger discount rate R*; thus the IRR must be greater than the required return.</t>
  </si>
  <si>
    <t>*from author</t>
  </si>
  <si>
    <t>a) Payback period is simply the break-even point of a series of cash flows. To actually compute the payback period, it is assumed that any cash flow occurring during a given period is realized continuously throughout the period, and not at a single point in time. The payback is then the point in time for the series of cash flows when the initial cash outlays are fully recovered. Given some predetermined cutoff for the payback period, the decision rule is to accept projects that payback before this cutoff, and reject projects that take longer to payback.
b) The worst problem associated with payback period is that it ignores the time value of money. In addition, the selection of a hurdle point for payback period is an arbitrary exercise that lacks any steadfast rule or method. The payback period is biased towards short-term projects; it fully ignores any cash flows that occur after the cutoff point.
c) Despite its shortcomings, payback is often used because the analysis is straightforward and simple. Materiality considerations often warrant a payback analysis as sufficient; maintenance projects are another example where the detailed analysis of other methods is often not needed. Since payback is biased towards liquidity, it may be a useful and appropriate analysis method for short-term projects where cash management is most important.</t>
  </si>
  <si>
    <t>a) The average accounting return is interpreted as an average measure of the accounting perfor-mance of a project over time, computed as some average profit measure due to the project divided by some average balance sheet value for the project. This text computes AAR as average net income with respect to average (total) book value. Given some predetermined cutoff for AAR, the decision rule is to accept projects with an AAR in excess of the target measure, and reject all other projects.
b) AAR is not a measure of cash flows and market value, but a measure of financial statement accounts that often bear little semblance to the relevant value of a project. In addition, the selection of a cutoff is arbitrary, and the time value of money is ignored. For a financial manager, both the reliance on accounting numbers rather than relevant market data and the exclusion of time value of money considerations are troubling. Despite these problems, AAR continues to be used in practice because (1) the accounting information is usually available, (2) analysts often use accounting ratios to analyze firm performance, and (3) managerial compensation is often tied to the attainment of certain target accounting ratio goals.</t>
  </si>
  <si>
    <t>a) NPV is simply the sum of the present values of a project’s cash flows. NPV specifically measures, after considering the time value of money, the net increase or decrease in firm wealth due to the project. The decision rule is to accept projects that have a positive NPV, and reject projects with a negative NPV.
b) NPV is superior to the other methods of analysis presented in the text because it has no serious flaws. The method unambiguously ranks mutually exclusive projects, and can differentiate between projects of different scale and time horizon. The only drawback to NPV is that it relies on cash flow and discount rate values that are often estimates and not certain, but this is a problem shared by the other performance criteria as well. A project with NPV = $2,500 implies that the total shareholder wealth of the firm will increase by $2,500 if the project is accepted.</t>
  </si>
  <si>
    <t>a) The IRR is the discount rate that causes the NPV of a series of cash flows to be equal to zero. IRR can thus be interpreted as a financial break-even rate of return; at the IRR discount rate, the net value of the project is zero. The IRR decision rule is to accept projects with IRRs greater than the discount rate, and to reject projects with IRRs less than the discount rate.
b) IRR is the interest rate that causes NPV for a series of cash flows to be zero. NPV is preferred in all situations to IRR; IRR can lead to ambiguous results if there are non-conventional cash flows, and also ambiguously ranks some mutually exclusive projects. However, for stand-alone projects with conventional cash flows, IRR and NPV are interchangeable techniques.
c) IRR is frequently used because it is easier for many financial managers and analysts to rate performance in relative terms, such as “12%”, than in absolute terms, such as “$46,000.” IRR may be a preferred method to NPV in situations where an appropriate discount rate is unknown or uncertain; in this situation, IRR would provide more information about the project than would NPV</t>
  </si>
  <si>
    <t>a) The profitability index is the present value of cash inflows relative to the project cost. As such, it is a benefit/cost ratio, providing a measure of the relative profitability of a project. The profitability index decision rule is to accept projects with a PI greater than one, and to reject projects with a PI less than one.
b) PI = ( NPV + cost ) / cost = 1 + ( NPV / cost ). If a firm has a basket of positive NPV projects and is subject to capital rationing, PI may provide a good ranking measure of the projects, indicating the “bang for the buck” of each particular project.</t>
  </si>
  <si>
    <t xml:space="preserve">I = Initial Cost, C = perpetual cash flow
For a project with future cash flows that are an annuity:
 Payback = I / C  
 And the IRR is: 
 0 = – I + C / IRR 
 Solving the IRR equation for IRR, we get:
 IRR = C / I 
 Notice this is just the reciprocal of the payback. So:
 IRR = 1 / Payback
 For long-lived projects with relatively constant cash flows, the sooner the project pays back, the greater is the IRR.
</t>
  </si>
  <si>
    <t>NPV projects, where costs in SC are less and so resultant cash flows in are greater.
There are a number of reasons. Two of the most important have to do with transportation costs and exchange rates. Manufacturing in the U.S. places the finished product much closer to the point of sale, resulting in significant savings in transportation costs. It also reduces inventories because goods spend less time in transit. Higher labor costs tend to offset these savings to some degree, at least compared to other possible manufacturing locations. Of great importance is the fact that manufacturing in the U.S. means that a much higher proportion of the costs are paid in dollars. Since sales are in dollars, the net effect is to immunize profits to a large extent against fluctuations in exchange rates. This issue is discussed in greater detail in the chapter on international finance.</t>
  </si>
  <si>
    <t>The single biggest difficulty, by far, is coming up with reliable cash flow estimates. Determining an appropriate discount rate is also not a simple task. These issues are discussed in greater depth in the next several chapters. The payback approach is probably the simplest, followed by the AAR, but even these require revenue and cost projections. The discounted cash flow measures (NPV, IRR, and profitability index) are really only slightly more difficult in practice.</t>
  </si>
  <si>
    <t>Yes, they are. Such entities generally need to allocate available capital efficiently, just as for-profits do. However, it is frequently the case that the “revenues” from not-for-profit ventures are not tangible. For example, charitable giving has real opportunity costs, but the benefits are generally hard to measure. To the extent that benefits are measurable, the question of an appropriate required return remains. Payback rules are commonly used in such cases. Finally, realistic cost/benefit analysis along the lines indicated should definitely be used by the U.S. government and would go a long way toward balancing the budget!</t>
  </si>
  <si>
    <t>The yield to maturity is the internal rate of return on a bond. The two concepts are identical with the exception that YTM is applied to bonds and IRR is applied to capital budgeting.</t>
  </si>
  <si>
    <t>The MIRR is calculated by finding the present value of all cash outflows, the future value of all cash inflows to the end of the project, and then calculating the IRR of the two cash flows. As a result, the cash flows have been discounted or compounded by one interest rate (the required return), and then the interest rate between the two remaining cash flows is calculated. As such, the MIRR is not a true interest rate. In contrast, consider the IRR. If you take the initial investment, and calculate the future value at the IRR, you can replicate the future cash flows of the project exactly.</t>
  </si>
  <si>
    <t xml:space="preserve">The statement is incorrect. It is true that if you calculate the future value of all intermediate cash flows to the end of the project at the required return, then calculate the NPV of this future value and the initial investment, you will get the same NPV. However, NPV says nothing about reinvestment of intermediate cash flows. The NPV is the present value of the project cash flows. What is actually done with those cash flows once they are generated is not relevant. Put differently, the value of a project depends on the cash flows generated by the project, not on the future value of those cash flows. The fact that the reinvestment “works” only if you use the required return as the reinvestment rate is also irrelevant simply because reinvestment is not relevant in the first place to the value of the project. 
  One caveat: Our discussion here assumes that the cash flows are truly available once they are generated, meaning that it is up to firm management to decide what to do with the cash flows. In certain cases, there may be a requirement that the cash flows be reinvested. For example, in international investing, a company may be required to reinvest the cash flows in the country in which they are generated and not “repatriate” the money. Such funds are said to be “blocked” and reinvestment becomes relevant because the cash flows are not truly available.
</t>
  </si>
  <si>
    <t xml:space="preserve">The statement is incorrect. It is true that if you calculate the future value of all intermediate cash flows to the end of the project at the IRR, then calculate the IRR of this future value and the initial investment, you will get the same IRR. However, as in the previous question, what is done with the cash flows once they are generated does not affect the IRR. Consider the following example:
                       C0          C1         C2              IRR
Project A    –$100      $10       $110         10%
 Suppose this $100 is a deposit into a bank account. The IRR of the cash flows is 10 percent. Does the IRR change if the Year 1 cash flow is reinvested in the account, or if it is withdrawn and spent on pizza? No. Finally, consider the yield to maturity calculation on a bond. If you think about it, the YTM is the IRR on the bond, but no mention of a reinvestment assumption for the bond coupons is suggested. The reason is that reinvestment is irrelevant to the YTM calculation; in the same way, reinvestment is irrelevant in the IRR calculation. Our caveat about blocked funds applies here as well.
</t>
  </si>
  <si>
    <t>NPV = Cost - Market Value</t>
  </si>
  <si>
    <t>When market or exisits for asset or similar assets, use market value</t>
  </si>
  <si>
    <t>NPV = Cost - DCF</t>
  </si>
  <si>
    <t>When we cannot observe a market price for at least a roughly comparable investment, we use Discounted Cash Flow Valuation</t>
  </si>
  <si>
    <t>Rules for DCF or NPV</t>
  </si>
  <si>
    <t>Estimate the expected future cash flows (Chapter 9)</t>
  </si>
  <si>
    <t>Estimate the required return for projects (investments) of this risk level (Chapter 10, 11)</t>
  </si>
  <si>
    <t>Find the present value of the cash flows and subtract the initial investment (Chapter 8)</t>
  </si>
  <si>
    <t>Determine Value of Asset</t>
  </si>
  <si>
    <t>Capital Budgeting:</t>
  </si>
  <si>
    <t>Acquire long-term assets</t>
  </si>
  <si>
    <t>Because long-term assets:</t>
  </si>
  <si>
    <t>Determine the nature of the firm</t>
  </si>
  <si>
    <t>Are hard decisions to reverse</t>
  </si>
  <si>
    <t>They are the most important decisions for the financial manager</t>
  </si>
  <si>
    <t>Selecting Assets</t>
  </si>
  <si>
    <t>Whish assets to invest in?</t>
  </si>
  <si>
    <t>There are many options.</t>
  </si>
  <si>
    <t>Which do we pick?</t>
  </si>
  <si>
    <t>NPV &gt;0, project will add value to firm.</t>
  </si>
  <si>
    <t>Sometimes used when investment funds are limited and you want to see "For every $1 invested, how much value would be added".</t>
  </si>
  <si>
    <t>NO</t>
  </si>
  <si>
    <t>YES</t>
  </si>
  <si>
    <t>Method 3: Combination Approach</t>
  </si>
  <si>
    <t>GEOMETRIC mean</t>
  </si>
  <si>
    <t>MIRR</t>
  </si>
  <si>
    <t>MS 365 Excel</t>
  </si>
  <si>
    <t>OR</t>
  </si>
  <si>
    <t>Pay Back In Years:</t>
  </si>
  <si>
    <t>Years Required to Pay Back Investment:</t>
  </si>
  <si>
    <t>NPV Non-conventional Cash Flows</t>
  </si>
  <si>
    <t>NPV for Mutually Exclusive Projects (Investements)</t>
  </si>
  <si>
    <t>MS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</si>
</sst>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4" formatCode="_(&quot;$&quot;* #,##0.00_);_(&quot;$&quot;* \(#,##0.00\);_(&quot;$&quot;* &quot;-&quot;??_);_(@_)"/>
    <numFmt numFmtId="43" formatCode="_(* #,##0.00_);_(* \(#,##0.00\);_(* &quot;-&quot;??_);_(@_)"/>
    <numFmt numFmtId="164" formatCode="0.0000%"/>
    <numFmt numFmtId="165" formatCode="&quot;$&quot;#,##0,"/>
    <numFmt numFmtId="166" formatCode="d\-mmm\-yyyy"/>
    <numFmt numFmtId="167" formatCode="#\ ???/???"/>
    <numFmt numFmtId="168" formatCode="&quot;$&quot;#,##0.00"/>
    <numFmt numFmtId="169" formatCode="0.0%"/>
    <numFmt numFmtId="170" formatCode="&quot;$&quot;#,##0"/>
    <numFmt numFmtId="171" formatCode="0.0000"/>
    <numFmt numFmtId="172" formatCode="#,##0.00000"/>
    <numFmt numFmtId="173" formatCode="#,##0.0"/>
    <numFmt numFmtId="174" formatCode="0.000%"/>
    <numFmt numFmtId="175" formatCode="_(#,##0.00_)"/>
    <numFmt numFmtId="176" formatCode="&quot;$&quot;#,##0.0000"/>
    <numFmt numFmtId="177" formatCode="0.00000%"/>
    <numFmt numFmtId="178" formatCode="#,##0.0000"/>
  </numFmts>
  <fonts count="21" x14ac:knownFonts="1">
    <font>
      <sz val="11"/>
      <color theme="1"/>
      <name val="Calibri"/>
      <family val="2"/>
      <scheme val="minor"/>
    </font>
    <font>
      <sz val="11"/>
      <color indexed="8"/>
      <name val="Calibri"/>
      <family val="2"/>
    </font>
    <font>
      <sz val="10"/>
      <name val="Arial"/>
      <family val="2"/>
    </font>
    <font>
      <sz val="10"/>
      <color indexed="9"/>
      <name val="Arial"/>
      <family val="2"/>
    </font>
    <font>
      <b/>
      <sz val="10"/>
      <name val="Arial"/>
      <family val="2"/>
    </font>
    <font>
      <sz val="12"/>
      <name val="Bookman Old Style"/>
      <family val="1"/>
    </font>
    <font>
      <b/>
      <sz val="16"/>
      <color indexed="53"/>
      <name val="Bell MT"/>
      <family val="1"/>
    </font>
    <font>
      <vertAlign val="subscript"/>
      <sz val="10"/>
      <name val="Arial"/>
      <family val="2"/>
    </font>
    <font>
      <vertAlign val="subscript"/>
      <sz val="11"/>
      <color indexed="8"/>
      <name val="Calibri"/>
      <family val="2"/>
    </font>
    <font>
      <b/>
      <sz val="8"/>
      <color indexed="81"/>
      <name val="Tahoma"/>
      <family val="2"/>
    </font>
    <font>
      <sz val="11"/>
      <color theme="1"/>
      <name val="Calibri"/>
      <family val="2"/>
      <scheme val="minor"/>
    </font>
    <font>
      <sz val="11"/>
      <color theme="0"/>
      <name val="Calibri"/>
      <family val="2"/>
      <scheme val="minor"/>
    </font>
    <font>
      <b/>
      <sz val="11"/>
      <color theme="1"/>
      <name val="Calibri"/>
      <family val="2"/>
      <scheme val="minor"/>
    </font>
    <font>
      <sz val="10"/>
      <color theme="0"/>
      <name val="Arial"/>
      <family val="2"/>
    </font>
    <font>
      <b/>
      <sz val="16"/>
      <color theme="1"/>
      <name val="Calibri"/>
      <family val="2"/>
      <scheme val="minor"/>
    </font>
    <font>
      <b/>
      <sz val="10"/>
      <color theme="1"/>
      <name val="Calibri"/>
      <family val="2"/>
      <scheme val="minor"/>
    </font>
    <font>
      <sz val="11"/>
      <name val="Calibri"/>
      <family val="2"/>
      <scheme val="minor"/>
    </font>
    <font>
      <sz val="9"/>
      <color indexed="81"/>
      <name val="Tahoma"/>
      <family val="2"/>
    </font>
    <font>
      <b/>
      <sz val="9"/>
      <color indexed="81"/>
      <name val="Tahoma"/>
      <family val="2"/>
    </font>
    <font>
      <sz val="8"/>
      <name val="Calibri"/>
      <family val="2"/>
      <scheme val="minor"/>
    </font>
    <font>
      <b/>
      <sz val="10"/>
      <color theme="0"/>
      <name val="Arial"/>
      <family val="2"/>
    </font>
  </fonts>
  <fills count="21">
    <fill>
      <patternFill patternType="none"/>
    </fill>
    <fill>
      <patternFill patternType="gray125"/>
    </fill>
    <fill>
      <patternFill patternType="solid">
        <fgColor indexed="12"/>
        <bgColor indexed="64"/>
      </patternFill>
    </fill>
    <fill>
      <patternFill patternType="solid">
        <fgColor indexed="26"/>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CCFFCC"/>
        <bgColor indexed="64"/>
      </patternFill>
    </fill>
    <fill>
      <patternFill patternType="solid">
        <fgColor rgb="FF002060"/>
        <bgColor indexed="64"/>
      </patternFill>
    </fill>
    <fill>
      <patternFill patternType="solid">
        <fgColor rgb="FFFFFF99"/>
        <bgColor indexed="64"/>
      </patternFill>
    </fill>
    <fill>
      <patternFill patternType="solid">
        <fgColor rgb="FF0000FF"/>
        <bgColor indexed="64"/>
      </patternFill>
    </fill>
    <fill>
      <patternFill patternType="solid">
        <fgColor rgb="FFFFFF00"/>
        <bgColor indexed="64"/>
      </patternFill>
    </fill>
    <fill>
      <patternFill patternType="solid">
        <fgColor rgb="FFFF0000"/>
        <bgColor indexed="64"/>
      </patternFill>
    </fill>
    <fill>
      <patternFill patternType="solid">
        <fgColor rgb="FF000099"/>
        <bgColor indexed="64"/>
      </patternFill>
    </fill>
    <fill>
      <patternFill patternType="solid">
        <fgColor rgb="FF92D050"/>
        <bgColor indexed="64"/>
      </patternFill>
    </fill>
    <fill>
      <patternFill patternType="solid">
        <fgColor rgb="FFDDDDDD"/>
        <bgColor indexed="64"/>
      </patternFill>
    </fill>
    <fill>
      <patternFill patternType="solid">
        <fgColor rgb="FFCCECFF"/>
        <bgColor indexed="64"/>
      </patternFill>
    </fill>
    <fill>
      <patternFill patternType="solid">
        <fgColor rgb="FF0070C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53"/>
      </left>
      <right style="thick">
        <color indexed="53"/>
      </right>
      <top style="thick">
        <color indexed="53"/>
      </top>
      <bottom style="thick">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diagonal/>
    </border>
    <border>
      <left/>
      <right/>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1">
    <xf numFmtId="0" fontId="0" fillId="0" borderId="0"/>
    <xf numFmtId="0" fontId="3" fillId="2" borderId="1">
      <alignment wrapText="1"/>
    </xf>
    <xf numFmtId="0" fontId="3" fillId="2" borderId="1">
      <alignment horizontal="centerContinuous" wrapText="1"/>
    </xf>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165" fontId="5" fillId="0" borderId="0"/>
    <xf numFmtId="166" fontId="4" fillId="0" borderId="0" applyFont="0" applyFill="0" applyBorder="0" applyProtection="0">
      <alignment horizontal="center"/>
    </xf>
    <xf numFmtId="0" fontId="2" fillId="0" borderId="0"/>
    <xf numFmtId="0" fontId="10" fillId="0" borderId="0"/>
    <xf numFmtId="0" fontId="2" fillId="0" borderId="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6" fillId="4" borderId="2">
      <alignment horizontal="left" indent="2"/>
    </xf>
    <xf numFmtId="0" fontId="2" fillId="5" borderId="1">
      <alignment horizontal="centerContinuous" wrapText="1"/>
    </xf>
    <xf numFmtId="0" fontId="2" fillId="0" borderId="0">
      <alignment wrapText="1"/>
    </xf>
    <xf numFmtId="0" fontId="2" fillId="3" borderId="0" applyNumberFormat="0" applyFont="0" applyBorder="0" applyAlignment="0" applyProtection="0"/>
    <xf numFmtId="0" fontId="2" fillId="6" borderId="1">
      <alignment horizontal="centerContinuous" wrapText="1"/>
    </xf>
  </cellStyleXfs>
  <cellXfs count="147">
    <xf numFmtId="0" fontId="0" fillId="0" borderId="0" xfId="0"/>
    <xf numFmtId="0" fontId="2" fillId="0" borderId="0" xfId="10"/>
    <xf numFmtId="0" fontId="3" fillId="2" borderId="1" xfId="10" applyFont="1" applyFill="1" applyBorder="1"/>
    <xf numFmtId="9" fontId="2" fillId="0" borderId="1" xfId="10" applyNumberFormat="1" applyBorder="1"/>
    <xf numFmtId="4" fontId="2" fillId="0" borderId="1" xfId="10" applyNumberFormat="1" applyBorder="1"/>
    <xf numFmtId="0" fontId="2" fillId="0" borderId="0" xfId="10" applyAlignment="1">
      <alignment wrapText="1"/>
    </xf>
    <xf numFmtId="0" fontId="3" fillId="2" borderId="1" xfId="10" applyFont="1" applyFill="1" applyBorder="1" applyAlignment="1">
      <alignment wrapText="1"/>
    </xf>
    <xf numFmtId="0" fontId="0" fillId="0" borderId="1" xfId="0" applyBorder="1"/>
    <xf numFmtId="168" fontId="0" fillId="0" borderId="1" xfId="0" applyNumberFormat="1" applyBorder="1"/>
    <xf numFmtId="168" fontId="0" fillId="7" borderId="1" xfId="0" applyNumberFormat="1" applyFill="1" applyBorder="1"/>
    <xf numFmtId="0" fontId="0" fillId="0" borderId="6" xfId="0" applyBorder="1"/>
    <xf numFmtId="168" fontId="0" fillId="7" borderId="6" xfId="0" applyNumberFormat="1" applyFill="1" applyBorder="1"/>
    <xf numFmtId="0" fontId="0" fillId="0" borderId="7" xfId="0" applyBorder="1"/>
    <xf numFmtId="168" fontId="0" fillId="7" borderId="7" xfId="0" applyNumberFormat="1" applyFill="1" applyBorder="1"/>
    <xf numFmtId="0" fontId="0" fillId="0" borderId="8" xfId="0" applyBorder="1"/>
    <xf numFmtId="168" fontId="0" fillId="7" borderId="8" xfId="0" applyNumberFormat="1" applyFill="1" applyBorder="1"/>
    <xf numFmtId="0" fontId="0" fillId="0" borderId="8" xfId="0" applyBorder="1" applyAlignment="1">
      <alignment wrapText="1"/>
    </xf>
    <xf numFmtId="0" fontId="11" fillId="8" borderId="1" xfId="0" applyFont="1" applyFill="1" applyBorder="1"/>
    <xf numFmtId="0" fontId="11" fillId="8" borderId="0" xfId="0" applyFont="1" applyFill="1"/>
    <xf numFmtId="0" fontId="0" fillId="0" borderId="3" xfId="0" applyBorder="1" applyAlignment="1">
      <alignment horizontal="centerContinuous" wrapText="1"/>
    </xf>
    <xf numFmtId="0" fontId="0" fillId="0" borderId="5" xfId="0" applyBorder="1" applyAlignment="1">
      <alignment horizontal="centerContinuous" wrapText="1"/>
    </xf>
    <xf numFmtId="170" fontId="0" fillId="0" borderId="1" xfId="0" applyNumberFormat="1" applyBorder="1"/>
    <xf numFmtId="170" fontId="0" fillId="7" borderId="1" xfId="0" applyNumberFormat="1" applyFill="1" applyBorder="1"/>
    <xf numFmtId="170" fontId="0" fillId="7" borderId="8" xfId="0" applyNumberFormat="1" applyFill="1" applyBorder="1"/>
    <xf numFmtId="0" fontId="2" fillId="0" borderId="1" xfId="0" applyFont="1" applyBorder="1" applyAlignment="1">
      <alignment horizontal="centerContinuous" wrapText="1"/>
    </xf>
    <xf numFmtId="168" fontId="0" fillId="0" borderId="1" xfId="0" applyNumberFormat="1" applyBorder="1" applyAlignment="1">
      <alignment horizontal="centerContinuous" wrapText="1"/>
    </xf>
    <xf numFmtId="0" fontId="0" fillId="7" borderId="1" xfId="0" applyFill="1" applyBorder="1"/>
    <xf numFmtId="0" fontId="0" fillId="0" borderId="0" xfId="0" applyAlignment="1">
      <alignment wrapText="1"/>
    </xf>
    <xf numFmtId="0" fontId="0" fillId="0" borderId="1" xfId="0" applyBorder="1" applyAlignment="1">
      <alignment wrapText="1"/>
    </xf>
    <xf numFmtId="0" fontId="11" fillId="8" borderId="9" xfId="0" applyFont="1" applyFill="1" applyBorder="1" applyAlignment="1">
      <alignment wrapText="1"/>
    </xf>
    <xf numFmtId="0" fontId="0" fillId="7" borderId="3" xfId="0" applyFill="1" applyBorder="1" applyAlignment="1">
      <alignment horizontal="centerContinuous" wrapText="1"/>
    </xf>
    <xf numFmtId="0" fontId="0" fillId="7" borderId="5" xfId="0" applyFill="1" applyBorder="1" applyAlignment="1">
      <alignment horizontal="centerContinuous" wrapText="1"/>
    </xf>
    <xf numFmtId="4" fontId="10" fillId="0" borderId="1" xfId="3" applyNumberFormat="1" applyFont="1" applyBorder="1"/>
    <xf numFmtId="4" fontId="0" fillId="7" borderId="1" xfId="0" applyNumberFormat="1" applyFill="1" applyBorder="1"/>
    <xf numFmtId="0" fontId="0" fillId="9" borderId="3" xfId="0" applyFill="1" applyBorder="1" applyAlignment="1">
      <alignment horizontal="centerContinuous" wrapText="1"/>
    </xf>
    <xf numFmtId="0" fontId="0" fillId="9" borderId="4" xfId="0" applyFill="1" applyBorder="1" applyAlignment="1">
      <alignment horizontal="centerContinuous" wrapText="1"/>
    </xf>
    <xf numFmtId="0" fontId="0" fillId="9" borderId="5" xfId="0" applyFill="1" applyBorder="1" applyAlignment="1">
      <alignment horizontal="centerContinuous" wrapText="1"/>
    </xf>
    <xf numFmtId="0" fontId="11" fillId="8" borderId="6" xfId="0" applyFont="1" applyFill="1" applyBorder="1"/>
    <xf numFmtId="4" fontId="0" fillId="0" borderId="1" xfId="0" applyNumberFormat="1" applyBorder="1"/>
    <xf numFmtId="0" fontId="13" fillId="8" borderId="1" xfId="0" applyFont="1" applyFill="1" applyBorder="1" applyAlignment="1">
      <alignment horizontal="centerContinuous"/>
    </xf>
    <xf numFmtId="0" fontId="0" fillId="7" borderId="1" xfId="0" applyFill="1" applyBorder="1" applyAlignment="1">
      <alignment horizontal="centerContinuous"/>
    </xf>
    <xf numFmtId="2" fontId="0" fillId="7" borderId="1" xfId="0" applyNumberFormat="1" applyFill="1" applyBorder="1"/>
    <xf numFmtId="0" fontId="12" fillId="0" borderId="0" xfId="0" applyFont="1"/>
    <xf numFmtId="0" fontId="12" fillId="0" borderId="1" xfId="0" applyFont="1" applyBorder="1"/>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Continuous" wrapText="1"/>
    </xf>
    <xf numFmtId="0" fontId="0" fillId="0" borderId="6" xfId="0" applyBorder="1" applyAlignment="1">
      <alignment wrapText="1"/>
    </xf>
    <xf numFmtId="170" fontId="0" fillId="0" borderId="6" xfId="0" applyNumberFormat="1" applyBorder="1"/>
    <xf numFmtId="3" fontId="0" fillId="7" borderId="1" xfId="0" applyNumberFormat="1" applyFill="1" applyBorder="1"/>
    <xf numFmtId="9" fontId="0" fillId="0" borderId="1" xfId="0" applyNumberFormat="1" applyBorder="1"/>
    <xf numFmtId="0" fontId="11" fillId="8" borderId="12" xfId="0" applyFont="1" applyFill="1" applyBorder="1"/>
    <xf numFmtId="0" fontId="11" fillId="10" borderId="3" xfId="0" applyFont="1" applyFill="1" applyBorder="1"/>
    <xf numFmtId="0" fontId="11" fillId="10" borderId="5" xfId="0" applyFont="1" applyFill="1" applyBorder="1"/>
    <xf numFmtId="10" fontId="0" fillId="0" borderId="1" xfId="0" applyNumberFormat="1" applyBorder="1"/>
    <xf numFmtId="0" fontId="11" fillId="8" borderId="1" xfId="0" applyFont="1" applyFill="1" applyBorder="1" applyAlignment="1">
      <alignment wrapText="1"/>
    </xf>
    <xf numFmtId="10" fontId="0" fillId="0" borderId="0" xfId="0" applyNumberFormat="1"/>
    <xf numFmtId="0" fontId="0" fillId="7" borderId="1" xfId="0" applyFill="1" applyBorder="1" applyAlignment="1">
      <alignment horizontal="centerContinuous" wrapText="1"/>
    </xf>
    <xf numFmtId="9" fontId="0" fillId="7" borderId="1" xfId="0" applyNumberFormat="1" applyFill="1" applyBorder="1"/>
    <xf numFmtId="9" fontId="0" fillId="0" borderId="0" xfId="0" applyNumberFormat="1"/>
    <xf numFmtId="0" fontId="0" fillId="0" borderId="13" xfId="0" applyBorder="1"/>
    <xf numFmtId="0" fontId="0" fillId="0" borderId="14" xfId="0" applyBorder="1"/>
    <xf numFmtId="0" fontId="0" fillId="7" borderId="15" xfId="0" applyFill="1" applyBorder="1"/>
    <xf numFmtId="0" fontId="0" fillId="0" borderId="16" xfId="0" applyBorder="1"/>
    <xf numFmtId="0" fontId="0" fillId="0" borderId="17" xfId="0" applyBorder="1"/>
    <xf numFmtId="0" fontId="0" fillId="0" borderId="18" xfId="0" applyBorder="1"/>
    <xf numFmtId="0" fontId="0" fillId="7" borderId="5" xfId="0" applyFill="1" applyBorder="1"/>
    <xf numFmtId="8" fontId="0" fillId="7" borderId="1" xfId="0" applyNumberFormat="1" applyFill="1" applyBorder="1"/>
    <xf numFmtId="0" fontId="14" fillId="11" borderId="1" xfId="0" applyFont="1" applyFill="1" applyBorder="1"/>
    <xf numFmtId="0" fontId="0" fillId="11" borderId="1" xfId="0" applyFill="1" applyBorder="1"/>
    <xf numFmtId="0" fontId="15" fillId="11" borderId="1" xfId="0" applyFont="1" applyFill="1" applyBorder="1"/>
    <xf numFmtId="173" fontId="10" fillId="0" borderId="1" xfId="3" applyNumberFormat="1" applyFont="1" applyBorder="1"/>
    <xf numFmtId="169" fontId="10" fillId="0" borderId="1" xfId="14" applyNumberFormat="1" applyFont="1" applyBorder="1"/>
    <xf numFmtId="0" fontId="2" fillId="9" borderId="1" xfId="12" applyFill="1" applyBorder="1"/>
    <xf numFmtId="0" fontId="2" fillId="9" borderId="1" xfId="12" applyFill="1" applyBorder="1" applyAlignment="1">
      <alignment horizontal="centerContinuous" wrapText="1"/>
    </xf>
    <xf numFmtId="0" fontId="2" fillId="0" borderId="0" xfId="12"/>
    <xf numFmtId="0" fontId="13" fillId="12" borderId="1" xfId="12" applyFont="1" applyFill="1" applyBorder="1"/>
    <xf numFmtId="0" fontId="13" fillId="13" borderId="5" xfId="12" applyFont="1" applyFill="1" applyBorder="1" applyAlignment="1">
      <alignment horizontal="centerContinuous" wrapText="1"/>
    </xf>
    <xf numFmtId="0" fontId="13" fillId="13" borderId="1" xfId="12" applyFont="1" applyFill="1" applyBorder="1" applyAlignment="1">
      <alignment horizontal="centerContinuous" wrapText="1"/>
    </xf>
    <xf numFmtId="0" fontId="2" fillId="0" borderId="1" xfId="12" applyBorder="1"/>
    <xf numFmtId="4" fontId="10" fillId="0" borderId="1" xfId="7" applyNumberFormat="1" applyFont="1" applyBorder="1"/>
    <xf numFmtId="9" fontId="2" fillId="0" borderId="1" xfId="12" applyNumberFormat="1" applyBorder="1"/>
    <xf numFmtId="0" fontId="10" fillId="0" borderId="1" xfId="7" applyNumberFormat="1" applyFont="1" applyBorder="1"/>
    <xf numFmtId="4" fontId="2" fillId="7" borderId="1" xfId="12" applyNumberFormat="1" applyFill="1" applyBorder="1"/>
    <xf numFmtId="0" fontId="13" fillId="13" borderId="5" xfId="12" applyFont="1" applyFill="1" applyBorder="1" applyAlignment="1">
      <alignment horizontal="center"/>
    </xf>
    <xf numFmtId="0" fontId="13" fillId="13" borderId="1" xfId="12" applyFont="1" applyFill="1" applyBorder="1" applyAlignment="1">
      <alignment horizontal="center"/>
    </xf>
    <xf numFmtId="4" fontId="2" fillId="0" borderId="1" xfId="12" applyNumberFormat="1" applyBorder="1"/>
    <xf numFmtId="0" fontId="13" fillId="10" borderId="0" xfId="12" applyFont="1" applyFill="1"/>
    <xf numFmtId="0" fontId="2" fillId="14" borderId="1" xfId="12" applyFill="1" applyBorder="1"/>
    <xf numFmtId="14" fontId="2" fillId="15" borderId="12" xfId="12" applyNumberFormat="1" applyFill="1" applyBorder="1"/>
    <xf numFmtId="0" fontId="2" fillId="15" borderId="12" xfId="12" applyFill="1" applyBorder="1"/>
    <xf numFmtId="4" fontId="2" fillId="15" borderId="12" xfId="5" applyNumberFormat="1" applyFont="1" applyFill="1" applyBorder="1"/>
    <xf numFmtId="4" fontId="10" fillId="0" borderId="12" xfId="5" applyNumberFormat="1" applyFont="1" applyBorder="1"/>
    <xf numFmtId="4" fontId="2" fillId="16" borderId="1" xfId="5" applyNumberFormat="1" applyFont="1" applyFill="1" applyBorder="1"/>
    <xf numFmtId="14" fontId="2" fillId="15" borderId="1" xfId="12" applyNumberFormat="1" applyFill="1" applyBorder="1"/>
    <xf numFmtId="0" fontId="2" fillId="15" borderId="1" xfId="12" applyFill="1" applyBorder="1"/>
    <xf numFmtId="4" fontId="2" fillId="15" borderId="1" xfId="5" applyNumberFormat="1" applyFont="1" applyFill="1" applyBorder="1"/>
    <xf numFmtId="4" fontId="10" fillId="0" borderId="1" xfId="5" applyNumberFormat="1" applyFont="1" applyBorder="1"/>
    <xf numFmtId="175" fontId="10" fillId="0" borderId="0" xfId="5" applyNumberFormat="1" applyFont="1"/>
    <xf numFmtId="14" fontId="2" fillId="14" borderId="1" xfId="12" applyNumberFormat="1" applyFill="1" applyBorder="1"/>
    <xf numFmtId="175" fontId="2" fillId="14" borderId="1" xfId="5" applyNumberFormat="1" applyFont="1" applyFill="1" applyBorder="1"/>
    <xf numFmtId="14" fontId="2" fillId="0" borderId="1" xfId="12" applyNumberFormat="1" applyBorder="1"/>
    <xf numFmtId="169" fontId="0" fillId="0" borderId="1" xfId="0" applyNumberFormat="1" applyBorder="1"/>
    <xf numFmtId="0" fontId="16" fillId="0" borderId="1" xfId="0" applyFont="1" applyBorder="1"/>
    <xf numFmtId="0" fontId="13" fillId="8" borderId="1" xfId="0" applyFont="1" applyFill="1" applyBorder="1" applyAlignment="1">
      <alignment horizontal="centerContinuous" wrapText="1"/>
    </xf>
    <xf numFmtId="0" fontId="11" fillId="8" borderId="1" xfId="0" applyFont="1" applyFill="1" applyBorder="1" applyAlignment="1">
      <alignment horizontal="centerContinuous" wrapText="1"/>
    </xf>
    <xf numFmtId="0" fontId="0" fillId="0" borderId="3" xfId="0" applyBorder="1"/>
    <xf numFmtId="4" fontId="10" fillId="7" borderId="1" xfId="3" applyNumberFormat="1" applyFont="1" applyFill="1" applyBorder="1"/>
    <xf numFmtId="10" fontId="0" fillId="7" borderId="1" xfId="0" applyNumberFormat="1" applyFill="1" applyBorder="1"/>
    <xf numFmtId="0" fontId="2" fillId="0" borderId="1" xfId="0" applyFont="1" applyBorder="1"/>
    <xf numFmtId="0" fontId="13" fillId="17" borderId="1" xfId="0" applyFont="1" applyFill="1" applyBorder="1"/>
    <xf numFmtId="0" fontId="0" fillId="18" borderId="6" xfId="0" applyFill="1" applyBorder="1"/>
    <xf numFmtId="0" fontId="0" fillId="18" borderId="9" xfId="0" applyFill="1" applyBorder="1"/>
    <xf numFmtId="0" fontId="0" fillId="18" borderId="12" xfId="0" applyFill="1" applyBorder="1"/>
    <xf numFmtId="0" fontId="0" fillId="19" borderId="6" xfId="0" applyFill="1" applyBorder="1"/>
    <xf numFmtId="0" fontId="0" fillId="19" borderId="9" xfId="0" applyFill="1" applyBorder="1"/>
    <xf numFmtId="0" fontId="0" fillId="19" borderId="12" xfId="0" applyFill="1" applyBorder="1"/>
    <xf numFmtId="0" fontId="0" fillId="20" borderId="6" xfId="0" applyFill="1" applyBorder="1"/>
    <xf numFmtId="0" fontId="0" fillId="20" borderId="12" xfId="0" applyFill="1" applyBorder="1"/>
    <xf numFmtId="171" fontId="0" fillId="7" borderId="1" xfId="0" applyNumberFormat="1" applyFill="1" applyBorder="1"/>
    <xf numFmtId="4" fontId="0" fillId="0" borderId="0" xfId="0" applyNumberFormat="1"/>
    <xf numFmtId="4" fontId="0" fillId="7" borderId="5" xfId="0" applyNumberFormat="1" applyFill="1" applyBorder="1"/>
    <xf numFmtId="0" fontId="0" fillId="7" borderId="1" xfId="0" applyFill="1" applyBorder="1" applyAlignment="1">
      <alignment wrapText="1"/>
    </xf>
    <xf numFmtId="0" fontId="0" fillId="0" borderId="4" xfId="0" applyBorder="1"/>
    <xf numFmtId="0" fontId="0" fillId="0" borderId="5" xfId="0" applyBorder="1"/>
    <xf numFmtId="0" fontId="11" fillId="8" borderId="0" xfId="0" applyFont="1" applyFill="1" applyAlignment="1">
      <alignment horizontal="centerContinuous" wrapText="1"/>
    </xf>
    <xf numFmtId="0" fontId="0" fillId="0" borderId="3" xfId="0" applyBorder="1" applyAlignment="1">
      <alignment vertical="center"/>
    </xf>
    <xf numFmtId="0" fontId="0" fillId="0" borderId="3" xfId="0" applyBorder="1" applyAlignment="1">
      <alignment horizontal="left" vertical="center" indent="1"/>
    </xf>
    <xf numFmtId="0" fontId="0" fillId="0" borderId="3" xfId="0" applyBorder="1" applyAlignment="1">
      <alignment horizontal="left" vertical="center" indent="2"/>
    </xf>
    <xf numFmtId="174" fontId="0" fillId="7" borderId="1" xfId="0" applyNumberFormat="1" applyFill="1" applyBorder="1"/>
    <xf numFmtId="164" fontId="0" fillId="7" borderId="1" xfId="0" applyNumberFormat="1" applyFill="1" applyBorder="1"/>
    <xf numFmtId="172" fontId="10" fillId="7" borderId="1" xfId="3" applyNumberFormat="1" applyFont="1" applyFill="1" applyBorder="1"/>
    <xf numFmtId="173" fontId="0" fillId="0" borderId="0" xfId="0" applyNumberFormat="1"/>
    <xf numFmtId="173" fontId="0" fillId="7" borderId="1" xfId="0" applyNumberFormat="1" applyFill="1" applyBorder="1"/>
    <xf numFmtId="176" fontId="10" fillId="7" borderId="1" xfId="6" applyNumberFormat="1" applyFont="1" applyFill="1" applyBorder="1"/>
    <xf numFmtId="9" fontId="2" fillId="0" borderId="0" xfId="12" applyNumberFormat="1"/>
    <xf numFmtId="8" fontId="0" fillId="0" borderId="0" xfId="0" applyNumberFormat="1"/>
    <xf numFmtId="169" fontId="0" fillId="7" borderId="1" xfId="0" applyNumberFormat="1" applyFill="1" applyBorder="1"/>
    <xf numFmtId="177" fontId="10" fillId="7" borderId="1" xfId="13" applyNumberFormat="1" applyFont="1" applyFill="1" applyBorder="1"/>
    <xf numFmtId="177" fontId="0" fillId="7" borderId="1" xfId="13" applyNumberFormat="1" applyFont="1" applyFill="1" applyBorder="1"/>
    <xf numFmtId="0" fontId="2" fillId="7" borderId="1" xfId="12" applyFill="1" applyBorder="1"/>
    <xf numFmtId="0" fontId="20" fillId="8" borderId="1" xfId="12" applyFont="1" applyFill="1" applyBorder="1"/>
    <xf numFmtId="0" fontId="2" fillId="7" borderId="6" xfId="12" applyFill="1" applyBorder="1"/>
    <xf numFmtId="0" fontId="2" fillId="18" borderId="8" xfId="12" applyFill="1" applyBorder="1"/>
    <xf numFmtId="171" fontId="0" fillId="7" borderId="5" xfId="0" applyNumberFormat="1" applyFill="1" applyBorder="1"/>
    <xf numFmtId="178" fontId="0" fillId="7" borderId="5" xfId="0" applyNumberFormat="1" applyFill="1" applyBorder="1"/>
    <xf numFmtId="0" fontId="0" fillId="0" borderId="0" xfId="0" applyAlignment="1">
      <alignment vertical="center"/>
    </xf>
  </cellXfs>
  <cellStyles count="21">
    <cellStyle name="blue" xfId="1" xr:uid="{D0E85361-98CC-46CE-93F6-BFD627A34A63}"/>
    <cellStyle name="bluecenteraccrossselection" xfId="2" xr:uid="{1B120106-0F3B-415D-9B8A-540C66C69CB5}"/>
    <cellStyle name="Comma" xfId="3" builtinId="3"/>
    <cellStyle name="Comma 2" xfId="4" xr:uid="{9B7CD5A6-8399-4814-BDB2-85B1167799A0}"/>
    <cellStyle name="Comma 3" xfId="5" xr:uid="{FF3D71C6-F3DA-44FF-A36D-E8468C7ECA82}"/>
    <cellStyle name="Currency" xfId="6" builtinId="4"/>
    <cellStyle name="Currency 2" xfId="7" xr:uid="{F287C264-2ACD-4149-BCB5-F116BE4878FF}"/>
    <cellStyle name="Currency Round to thousands" xfId="8" xr:uid="{291D1492-0521-4136-A923-93E2090A384C}"/>
    <cellStyle name="Four-Digit Year" xfId="9" xr:uid="{CBA57B60-05E1-430A-AA73-5A8D53A4184D}"/>
    <cellStyle name="Normal" xfId="0" builtinId="0"/>
    <cellStyle name="Normal 2" xfId="10" xr:uid="{CF491EA4-68CB-4128-A4A3-171701B0CB6D}"/>
    <cellStyle name="Normal 2 2" xfId="11" xr:uid="{A5BD4C61-43B4-4704-A77A-C7D31467B3F3}"/>
    <cellStyle name="Normal 3" xfId="12" xr:uid="{97AB7588-3751-40D9-8E7E-C8EB276451FF}"/>
    <cellStyle name="Percent" xfId="13" builtinId="5"/>
    <cellStyle name="Percent 2" xfId="14" xr:uid="{6F41E89C-7CF4-4079-9FFF-B77886EB29AD}"/>
    <cellStyle name="Percent 3" xfId="15" xr:uid="{6EC1E9AD-2C23-4F11-A9AB-4C69861449E0}"/>
    <cellStyle name="Rad" xfId="16" xr:uid="{47F9EDD7-2356-4719-A4C1-1969B9DA2325}"/>
    <cellStyle name="redcenteraccrossselection" xfId="17" xr:uid="{8D14BA58-0B27-4306-AF32-5B60AC1814A4}"/>
    <cellStyle name="Wrap Text" xfId="18" xr:uid="{65D181FC-E2E4-4EBC-92EB-FDF44649E9D6}"/>
    <cellStyle name="Yellow" xfId="19" xr:uid="{21951795-44DA-4808-A880-20ACBAE90220}"/>
    <cellStyle name="yellowcenteraccrossselection" xfId="20" xr:uid="{391EEAC2-BEAE-4353-86A6-62F9A4B213F7}"/>
  </cellStyles>
  <dxfs count="2">
    <dxf>
      <font>
        <color auto="1"/>
      </font>
      <fill>
        <patternFill>
          <bgColor rgb="FF00FF00"/>
        </patternFill>
      </fill>
    </dxf>
    <dxf>
      <font>
        <color auto="1"/>
      </font>
      <fill>
        <patternFill>
          <bgColor rgb="FF00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tx>
            <c:strRef>
              <c:f>'Ex(3)'!$D$16</c:f>
              <c:strCache>
                <c:ptCount val="1"/>
                <c:pt idx="0">
                  <c:v> + NPV: Accept</c:v>
                </c:pt>
              </c:strCache>
            </c:strRef>
          </c:tx>
          <c:spPr>
            <a:solidFill>
              <a:srgbClr val="00FF00"/>
            </a:solidFill>
          </c:spPr>
          <c:cat>
            <c:numRef>
              <c:f>'Ex(3)'!$C$17:$C$48</c:f>
              <c:numCache>
                <c:formatCode>0%</c:formatCode>
                <c:ptCount val="32"/>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pt idx="16">
                  <c:v>0.21</c:v>
                </c:pt>
                <c:pt idx="17">
                  <c:v>0.22</c:v>
                </c:pt>
                <c:pt idx="18">
                  <c:v>0.23</c:v>
                </c:pt>
                <c:pt idx="19">
                  <c:v>0.24</c:v>
                </c:pt>
                <c:pt idx="20">
                  <c:v>0.25</c:v>
                </c:pt>
                <c:pt idx="21">
                  <c:v>0.26</c:v>
                </c:pt>
                <c:pt idx="22">
                  <c:v>0.27</c:v>
                </c:pt>
                <c:pt idx="23">
                  <c:v>0.28000000000000003</c:v>
                </c:pt>
                <c:pt idx="24">
                  <c:v>0.28999999999999998</c:v>
                </c:pt>
                <c:pt idx="25">
                  <c:v>0.3</c:v>
                </c:pt>
                <c:pt idx="26">
                  <c:v>0.31</c:v>
                </c:pt>
                <c:pt idx="27">
                  <c:v>0.32</c:v>
                </c:pt>
                <c:pt idx="28">
                  <c:v>0.33</c:v>
                </c:pt>
                <c:pt idx="29">
                  <c:v>0.34</c:v>
                </c:pt>
                <c:pt idx="30">
                  <c:v>0.35</c:v>
                </c:pt>
                <c:pt idx="31">
                  <c:v>0.36</c:v>
                </c:pt>
              </c:numCache>
            </c:numRef>
          </c:cat>
          <c:val>
            <c:numRef>
              <c:f>'Ex(3)'!$D$17:$D$48</c:f>
              <c:numCache>
                <c:formatCode>#,##0</c:formatCode>
                <c:ptCount val="32"/>
              </c:numCache>
            </c:numRef>
          </c:val>
          <c:extLst>
            <c:ext xmlns:c16="http://schemas.microsoft.com/office/drawing/2014/chart" uri="{C3380CC4-5D6E-409C-BE32-E72D297353CC}">
              <c16:uniqueId val="{00000000-895F-4E35-BE08-336A98DC3C0E}"/>
            </c:ext>
          </c:extLst>
        </c:ser>
        <c:ser>
          <c:idx val="0"/>
          <c:order val="1"/>
          <c:tx>
            <c:strRef>
              <c:f>'Ex(3)'!$E$16</c:f>
              <c:strCache>
                <c:ptCount val="1"/>
                <c:pt idx="0">
                  <c:v> -NPV: Reject</c:v>
                </c:pt>
              </c:strCache>
            </c:strRef>
          </c:tx>
          <c:spPr>
            <a:solidFill>
              <a:srgbClr val="FF0000"/>
            </a:solidFill>
            <a:ln w="25400">
              <a:noFill/>
            </a:ln>
          </c:spPr>
          <c:cat>
            <c:numRef>
              <c:f>'Ex(3)'!$C$17:$C$48</c:f>
              <c:numCache>
                <c:formatCode>0%</c:formatCode>
                <c:ptCount val="32"/>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pt idx="16">
                  <c:v>0.21</c:v>
                </c:pt>
                <c:pt idx="17">
                  <c:v>0.22</c:v>
                </c:pt>
                <c:pt idx="18">
                  <c:v>0.23</c:v>
                </c:pt>
                <c:pt idx="19">
                  <c:v>0.24</c:v>
                </c:pt>
                <c:pt idx="20">
                  <c:v>0.25</c:v>
                </c:pt>
                <c:pt idx="21">
                  <c:v>0.26</c:v>
                </c:pt>
                <c:pt idx="22">
                  <c:v>0.27</c:v>
                </c:pt>
                <c:pt idx="23">
                  <c:v>0.28000000000000003</c:v>
                </c:pt>
                <c:pt idx="24">
                  <c:v>0.28999999999999998</c:v>
                </c:pt>
                <c:pt idx="25">
                  <c:v>0.3</c:v>
                </c:pt>
                <c:pt idx="26">
                  <c:v>0.31</c:v>
                </c:pt>
                <c:pt idx="27">
                  <c:v>0.32</c:v>
                </c:pt>
                <c:pt idx="28">
                  <c:v>0.33</c:v>
                </c:pt>
                <c:pt idx="29">
                  <c:v>0.34</c:v>
                </c:pt>
                <c:pt idx="30">
                  <c:v>0.35</c:v>
                </c:pt>
                <c:pt idx="31">
                  <c:v>0.36</c:v>
                </c:pt>
              </c:numCache>
            </c:numRef>
          </c:cat>
          <c:val>
            <c:numRef>
              <c:f>'Ex(3)'!$E$17:$E$48</c:f>
              <c:numCache>
                <c:formatCode>#,##0</c:formatCode>
                <c:ptCount val="32"/>
              </c:numCache>
            </c:numRef>
          </c:val>
          <c:extLst>
            <c:ext xmlns:c16="http://schemas.microsoft.com/office/drawing/2014/chart" uri="{C3380CC4-5D6E-409C-BE32-E72D297353CC}">
              <c16:uniqueId val="{00000001-895F-4E35-BE08-336A98DC3C0E}"/>
            </c:ext>
          </c:extLst>
        </c:ser>
        <c:dLbls>
          <c:showLegendKey val="0"/>
          <c:showVal val="0"/>
          <c:showCatName val="0"/>
          <c:showSerName val="0"/>
          <c:showPercent val="0"/>
          <c:showBubbleSize val="0"/>
        </c:dLbls>
        <c:axId val="856657743"/>
        <c:axId val="1"/>
      </c:areaChart>
      <c:catAx>
        <c:axId val="856657743"/>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RRR (Discount)</a:t>
                </a:r>
              </a:p>
            </c:rich>
          </c:tx>
          <c:overlay val="0"/>
        </c:title>
        <c:numFmt formatCode="0%"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NPV</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6657743"/>
        <c:crosses val="autoZero"/>
        <c:crossBetween val="midCat"/>
      </c:valAx>
    </c:plotArea>
    <c:legend>
      <c:legendPos val="r"/>
      <c:layout>
        <c:manualLayout>
          <c:xMode val="edge"/>
          <c:yMode val="edge"/>
          <c:x val="0.22723941923388988"/>
          <c:y val="3.576860437530837E-2"/>
          <c:w val="0.53383228645421754"/>
          <c:h val="9.687330351646016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'Ex(3an)'!$D$16</c:f>
              <c:strCache>
                <c:ptCount val="1"/>
                <c:pt idx="0">
                  <c:v> + NPV: Accept</c:v>
                </c:pt>
              </c:strCache>
            </c:strRef>
          </c:tx>
          <c:spPr>
            <a:ln w="25400">
              <a:noFill/>
            </a:ln>
          </c:spPr>
          <c:cat>
            <c:numRef>
              <c:f>'Ex(3an)'!$C$17:$C$48</c:f>
              <c:numCache>
                <c:formatCode>0%</c:formatCode>
                <c:ptCount val="32"/>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pt idx="16">
                  <c:v>0.21</c:v>
                </c:pt>
                <c:pt idx="17">
                  <c:v>0.22</c:v>
                </c:pt>
                <c:pt idx="18">
                  <c:v>0.23</c:v>
                </c:pt>
                <c:pt idx="19">
                  <c:v>0.24</c:v>
                </c:pt>
                <c:pt idx="20">
                  <c:v>0.25</c:v>
                </c:pt>
                <c:pt idx="21">
                  <c:v>0.26</c:v>
                </c:pt>
                <c:pt idx="22">
                  <c:v>0.27</c:v>
                </c:pt>
                <c:pt idx="23">
                  <c:v>0.28000000000000003</c:v>
                </c:pt>
                <c:pt idx="24">
                  <c:v>0.28999999999999998</c:v>
                </c:pt>
                <c:pt idx="25">
                  <c:v>0.3</c:v>
                </c:pt>
                <c:pt idx="26">
                  <c:v>0.31</c:v>
                </c:pt>
                <c:pt idx="27">
                  <c:v>0.32</c:v>
                </c:pt>
                <c:pt idx="28">
                  <c:v>0.33</c:v>
                </c:pt>
                <c:pt idx="29">
                  <c:v>0.34</c:v>
                </c:pt>
                <c:pt idx="30">
                  <c:v>0.35</c:v>
                </c:pt>
                <c:pt idx="31">
                  <c:v>0.36</c:v>
                </c:pt>
              </c:numCache>
            </c:numRef>
          </c:cat>
          <c:val>
            <c:numRef>
              <c:f>'Ex(3an)'!$D$17:$D$48</c:f>
              <c:numCache>
                <c:formatCode>#,##0</c:formatCode>
                <c:ptCount val="32"/>
                <c:pt idx="0">
                  <c:v>29576.04133688171</c:v>
                </c:pt>
                <c:pt idx="1">
                  <c:v>27069.756225230274</c:v>
                </c:pt>
                <c:pt idx="2">
                  <c:v>24646.570385498271</c:v>
                </c:pt>
                <c:pt idx="3">
                  <c:v>22302.772782623812</c:v>
                </c:pt>
                <c:pt idx="4">
                  <c:v>20034.856231003811</c:v>
                </c:pt>
                <c:pt idx="5">
                  <c:v>17839.504256415647</c:v>
                </c:pt>
                <c:pt idx="6">
                  <c:v>15713.578922994857</c:v>
                </c:pt>
                <c:pt idx="7">
                  <c:v>13654.109546059655</c:v>
                </c:pt>
                <c:pt idx="8">
                  <c:v>11658.282218732289</c:v>
                </c:pt>
                <c:pt idx="9">
                  <c:v>9723.4300867627899</c:v>
                </c:pt>
                <c:pt idx="10">
                  <c:v>7847.0243117870123</c:v>
                </c:pt>
                <c:pt idx="11">
                  <c:v>6026.6656685103371</c:v>
                </c:pt>
                <c:pt idx="12">
                  <c:v>4260.076726068437</c:v>
                </c:pt>
                <c:pt idx="13">
                  <c:v>2545.0945681173471</c:v>
                </c:pt>
                <c:pt idx="14">
                  <c:v>879.66401010652771</c:v>
                </c:pt>
                <c:pt idx="15">
                  <c:v>-738.16872427983617</c:v>
                </c:pt>
                <c:pt idx="16">
                  <c:v>-2310.2619023204606</c:v>
                </c:pt>
                <c:pt idx="17">
                  <c:v>-3838.3837889908027</c:v>
                </c:pt>
                <c:pt idx="18">
                  <c:v>-5324.2177904837154</c:v>
                </c:pt>
                <c:pt idx="19">
                  <c:v>-6769.3672613623639</c:v>
                </c:pt>
                <c:pt idx="20">
                  <c:v>-8175.3600000000006</c:v>
                </c:pt>
                <c:pt idx="21">
                  <c:v>-9543.6524549660826</c:v>
                </c:pt>
                <c:pt idx="22">
                  <c:v>-10875.633663199813</c:v>
                </c:pt>
                <c:pt idx="23">
                  <c:v>-12172.628939151764</c:v>
                </c:pt>
                <c:pt idx="24">
                  <c:v>-13435.903332559654</c:v>
                </c:pt>
                <c:pt idx="25">
                  <c:v>-14666.66487113951</c:v>
                </c:pt>
                <c:pt idx="26">
                  <c:v>-15866.067603207237</c:v>
                </c:pt>
                <c:pt idx="27">
                  <c:v>-17035.214454087632</c:v>
                </c:pt>
                <c:pt idx="28">
                  <c:v>-18175.159909106194</c:v>
                </c:pt>
                <c:pt idx="29">
                  <c:v>-19286.912534987772</c:v>
                </c:pt>
                <c:pt idx="30">
                  <c:v>-20371.437350594046</c:v>
                </c:pt>
                <c:pt idx="31">
                  <c:v>-21429.658057114197</c:v>
                </c:pt>
              </c:numCache>
            </c:numRef>
          </c:val>
          <c:extLst>
            <c:ext xmlns:c16="http://schemas.microsoft.com/office/drawing/2014/chart" uri="{C3380CC4-5D6E-409C-BE32-E72D297353CC}">
              <c16:uniqueId val="{00000000-BE7A-4FB3-B4DC-E9F4DF3F3C94}"/>
            </c:ext>
          </c:extLst>
        </c:ser>
        <c:ser>
          <c:idx val="1"/>
          <c:order val="1"/>
          <c:tx>
            <c:strRef>
              <c:f>'Ex(3an)'!$E$16</c:f>
              <c:strCache>
                <c:ptCount val="1"/>
                <c:pt idx="0">
                  <c:v> -NPV: Reject</c:v>
                </c:pt>
              </c:strCache>
            </c:strRef>
          </c:tx>
          <c:spPr>
            <a:ln w="25400">
              <a:noFill/>
            </a:ln>
          </c:spPr>
          <c:cat>
            <c:numRef>
              <c:f>'Ex(3an)'!$C$17:$C$48</c:f>
              <c:numCache>
                <c:formatCode>0%</c:formatCode>
                <c:ptCount val="32"/>
                <c:pt idx="0">
                  <c:v>0.05</c:v>
                </c:pt>
                <c:pt idx="1">
                  <c:v>0.06</c:v>
                </c:pt>
                <c:pt idx="2">
                  <c:v>7.0000000000000007E-2</c:v>
                </c:pt>
                <c:pt idx="3">
                  <c:v>0.08</c:v>
                </c:pt>
                <c:pt idx="4">
                  <c:v>0.09</c:v>
                </c:pt>
                <c:pt idx="5">
                  <c:v>0.1</c:v>
                </c:pt>
                <c:pt idx="6">
                  <c:v>0.11</c:v>
                </c:pt>
                <c:pt idx="7">
                  <c:v>0.12</c:v>
                </c:pt>
                <c:pt idx="8">
                  <c:v>0.13</c:v>
                </c:pt>
                <c:pt idx="9">
                  <c:v>0.14000000000000001</c:v>
                </c:pt>
                <c:pt idx="10">
                  <c:v>0.15</c:v>
                </c:pt>
                <c:pt idx="11">
                  <c:v>0.16</c:v>
                </c:pt>
                <c:pt idx="12">
                  <c:v>0.17</c:v>
                </c:pt>
                <c:pt idx="13">
                  <c:v>0.18</c:v>
                </c:pt>
                <c:pt idx="14">
                  <c:v>0.19</c:v>
                </c:pt>
                <c:pt idx="15">
                  <c:v>0.2</c:v>
                </c:pt>
                <c:pt idx="16">
                  <c:v>0.21</c:v>
                </c:pt>
                <c:pt idx="17">
                  <c:v>0.22</c:v>
                </c:pt>
                <c:pt idx="18">
                  <c:v>0.23</c:v>
                </c:pt>
                <c:pt idx="19">
                  <c:v>0.24</c:v>
                </c:pt>
                <c:pt idx="20">
                  <c:v>0.25</c:v>
                </c:pt>
                <c:pt idx="21">
                  <c:v>0.26</c:v>
                </c:pt>
                <c:pt idx="22">
                  <c:v>0.27</c:v>
                </c:pt>
                <c:pt idx="23">
                  <c:v>0.28000000000000003</c:v>
                </c:pt>
                <c:pt idx="24">
                  <c:v>0.28999999999999998</c:v>
                </c:pt>
                <c:pt idx="25">
                  <c:v>0.3</c:v>
                </c:pt>
                <c:pt idx="26">
                  <c:v>0.31</c:v>
                </c:pt>
                <c:pt idx="27">
                  <c:v>0.32</c:v>
                </c:pt>
                <c:pt idx="28">
                  <c:v>0.33</c:v>
                </c:pt>
                <c:pt idx="29">
                  <c:v>0.34</c:v>
                </c:pt>
                <c:pt idx="30">
                  <c:v>0.35</c:v>
                </c:pt>
                <c:pt idx="31">
                  <c:v>0.36</c:v>
                </c:pt>
              </c:numCache>
            </c:numRef>
          </c:cat>
          <c:val>
            <c:numRef>
              <c:f>'Ex(3an)'!$E$17:$E$48</c:f>
              <c:numCache>
                <c:formatCode>#,##0</c:formatCode>
                <c:ptCount val="32"/>
                <c:pt idx="0">
                  <c:v>29576.04133688171</c:v>
                </c:pt>
                <c:pt idx="1">
                  <c:v>27069.756225230274</c:v>
                </c:pt>
                <c:pt idx="2">
                  <c:v>24646.570385498271</c:v>
                </c:pt>
                <c:pt idx="3">
                  <c:v>22302.772782623812</c:v>
                </c:pt>
                <c:pt idx="4">
                  <c:v>20034.856231003811</c:v>
                </c:pt>
                <c:pt idx="5">
                  <c:v>17839.504256415647</c:v>
                </c:pt>
                <c:pt idx="6">
                  <c:v>15713.578922994857</c:v>
                </c:pt>
                <c:pt idx="7">
                  <c:v>13654.109546059655</c:v>
                </c:pt>
                <c:pt idx="8">
                  <c:v>11658.282218732289</c:v>
                </c:pt>
                <c:pt idx="9">
                  <c:v>9723.4300867627899</c:v>
                </c:pt>
                <c:pt idx="10">
                  <c:v>7847.0243117870123</c:v>
                </c:pt>
                <c:pt idx="11">
                  <c:v>6026.6656685103371</c:v>
                </c:pt>
                <c:pt idx="12">
                  <c:v>4260.076726068437</c:v>
                </c:pt>
                <c:pt idx="13">
                  <c:v>2545.0945681173471</c:v>
                </c:pt>
                <c:pt idx="14">
                  <c:v>879.66401010652771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BE7A-4FB3-B4DC-E9F4DF3F3C94}"/>
            </c:ext>
          </c:extLst>
        </c:ser>
        <c:dLbls>
          <c:showLegendKey val="0"/>
          <c:showVal val="0"/>
          <c:showCatName val="0"/>
          <c:showSerName val="0"/>
          <c:showPercent val="0"/>
          <c:showBubbleSize val="0"/>
        </c:dLbls>
        <c:axId val="856661103"/>
        <c:axId val="1"/>
      </c:areaChart>
      <c:catAx>
        <c:axId val="856661103"/>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cs typeface="Calibri"/>
                  </a:rPr>
                  <a:t>Discount Rate</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cs typeface="Calibri"/>
                  </a:rPr>
                  <a:t>Market Rate</a:t>
                </a:r>
              </a:p>
              <a:p>
                <a:pPr>
                  <a:defRPr sz="1100" b="0" i="0" u="none" strike="noStrike" baseline="0">
                    <a:solidFill>
                      <a:srgbClr val="000000"/>
                    </a:solidFill>
                    <a:latin typeface="Calibri"/>
                    <a:ea typeface="Calibri"/>
                    <a:cs typeface="Calibri"/>
                  </a:defRPr>
                </a:pPr>
                <a:r>
                  <a:rPr lang="en-US" sz="1000" b="1" i="0" u="none" strike="noStrike" baseline="0">
                    <a:solidFill>
                      <a:srgbClr val="000000"/>
                    </a:solidFill>
                    <a:latin typeface="Calibri"/>
                    <a:cs typeface="Calibri"/>
                  </a:rPr>
                  <a:t>Required Rate Return (RRR)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3"/>
        <c:noMultiLvlLbl val="0"/>
      </c:catAx>
      <c:valAx>
        <c:axId val="1"/>
        <c:scaling>
          <c:orientation val="minMax"/>
        </c:scaling>
        <c:delete val="0"/>
        <c:axPos val="l"/>
        <c:title>
          <c:tx>
            <c:strRef>
              <c:f>'Ex(3an)'!$C$12</c:f>
              <c:strCache>
                <c:ptCount val="1"/>
                <c:pt idx="0">
                  <c:v>NPV</c:v>
                </c:pt>
              </c:strCache>
            </c:strRef>
          </c:tx>
          <c:overlay val="0"/>
          <c:txPr>
            <a:bodyPr/>
            <a:lstStyle/>
            <a:p>
              <a:pPr>
                <a:defRPr sz="1000" b="1" i="0" u="none" strike="noStrike" baseline="0">
                  <a:solidFill>
                    <a:srgbClr val="000000"/>
                  </a:solidFill>
                  <a:latin typeface="Calibri"/>
                  <a:ea typeface="Calibri"/>
                  <a:cs typeface="Calibri"/>
                </a:defRPr>
              </a:pPr>
              <a:endParaRPr lang="en-US"/>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6661103"/>
        <c:crosses val="autoZero"/>
        <c:crossBetween val="midCat"/>
      </c:valAx>
    </c:plotArea>
    <c:legend>
      <c:legendPos val="r"/>
      <c:layout>
        <c:manualLayout>
          <c:xMode val="edge"/>
          <c:yMode val="edge"/>
          <c:x val="0.26875866891424577"/>
          <c:y val="3.0121460228972614E-2"/>
          <c:w val="0.44723664801233665"/>
          <c:h val="7.7311747921029711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5292054797878"/>
          <c:y val="0.11581020672127799"/>
          <c:w val="0.77405936811438458"/>
          <c:h val="0.66990401415961331"/>
        </c:manualLayout>
      </c:layout>
      <c:areaChart>
        <c:grouping val="standard"/>
        <c:varyColors val="0"/>
        <c:ser>
          <c:idx val="0"/>
          <c:order val="0"/>
          <c:tx>
            <c:strRef>
              <c:f>'Ex(7an)'!$B$12</c:f>
              <c:strCache>
                <c:ptCount val="1"/>
                <c:pt idx="0">
                  <c:v> + NPV</c:v>
                </c:pt>
              </c:strCache>
            </c:strRef>
          </c:tx>
          <c:spPr>
            <a:solidFill>
              <a:srgbClr val="92D050"/>
            </a:solidFill>
            <a:ln w="25400">
              <a:noFill/>
            </a:ln>
          </c:spPr>
          <c:cat>
            <c:numRef>
              <c:f>'Ex(7an)'!$A$13:$A$44</c:f>
              <c:numCache>
                <c:formatCode>0%</c:formatCode>
                <c:ptCount val="32"/>
                <c:pt idx="0" formatCode="General">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0.1649926641122641</c:v>
                </c:pt>
                <c:pt idx="18">
                  <c:v>0.17</c:v>
                </c:pt>
                <c:pt idx="19">
                  <c:v>0.18</c:v>
                </c:pt>
                <c:pt idx="20">
                  <c:v>0.19</c:v>
                </c:pt>
                <c:pt idx="21">
                  <c:v>0.2</c:v>
                </c:pt>
                <c:pt idx="22">
                  <c:v>0.21</c:v>
                </c:pt>
                <c:pt idx="23">
                  <c:v>0.22</c:v>
                </c:pt>
                <c:pt idx="24">
                  <c:v>0.23</c:v>
                </c:pt>
                <c:pt idx="25">
                  <c:v>0.24</c:v>
                </c:pt>
                <c:pt idx="26">
                  <c:v>0.25</c:v>
                </c:pt>
                <c:pt idx="27">
                  <c:v>0.26</c:v>
                </c:pt>
                <c:pt idx="28">
                  <c:v>0.27</c:v>
                </c:pt>
                <c:pt idx="29">
                  <c:v>0.28000000000000003</c:v>
                </c:pt>
                <c:pt idx="30">
                  <c:v>0.28999999999999998</c:v>
                </c:pt>
                <c:pt idx="31">
                  <c:v>0.3</c:v>
                </c:pt>
              </c:numCache>
            </c:numRef>
          </c:cat>
          <c:val>
            <c:numRef>
              <c:f>'Ex(7an)'!$B$13:$B$44</c:f>
              <c:numCache>
                <c:formatCode>#,##0.00</c:formatCode>
                <c:ptCount val="32"/>
                <c:pt idx="0" formatCode="General">
                  <c:v>60000</c:v>
                </c:pt>
                <c:pt idx="1">
                  <c:v>55379.777366031863</c:v>
                </c:pt>
                <c:pt idx="2">
                  <c:v>50914.354207657685</c:v>
                </c:pt>
                <c:pt idx="3">
                  <c:v>46596.890165613178</c:v>
                </c:pt>
                <c:pt idx="4">
                  <c:v>42420.914883932623</c:v>
                </c:pt>
                <c:pt idx="5">
                  <c:v>38380.304502753454</c:v>
                </c:pt>
                <c:pt idx="6">
                  <c:v>34469.259858809586</c:v>
                </c:pt>
                <c:pt idx="7">
                  <c:v>30682.286254441686</c:v>
                </c:pt>
                <c:pt idx="8">
                  <c:v>27014.174668495631</c:v>
                </c:pt>
                <c:pt idx="9">
                  <c:v>23459.984293787973</c:v>
                </c:pt>
                <c:pt idx="10">
                  <c:v>20015.026296018012</c:v>
                </c:pt>
                <c:pt idx="11">
                  <c:v>16674.848698223388</c:v>
                </c:pt>
                <c:pt idx="12">
                  <c:v>13435.222303206974</c:v>
                </c:pt>
                <c:pt idx="13">
                  <c:v>10292.1275739017</c:v>
                </c:pt>
                <c:pt idx="14">
                  <c:v>7241.7423984707566</c:v>
                </c:pt>
                <c:pt idx="15">
                  <c:v>4280.4306731322722</c:v>
                </c:pt>
                <c:pt idx="16">
                  <c:v>1404.7316413137305</c:v>
                </c:pt>
                <c:pt idx="17">
                  <c:v>0</c:v>
                </c:pt>
                <c:pt idx="18">
                  <c:v>-1388.6500671510294</c:v>
                </c:pt>
                <c:pt idx="19">
                  <c:v>-4102.8537484357948</c:v>
                </c:pt>
                <c:pt idx="20">
                  <c:v>-6740.871336176584</c:v>
                </c:pt>
                <c:pt idx="21">
                  <c:v>-9305.5555555555329</c:v>
                </c:pt>
                <c:pt idx="22">
                  <c:v>-11799.627560100955</c:v>
                </c:pt>
                <c:pt idx="23">
                  <c:v>-14225.68408809547</c:v>
                </c:pt>
                <c:pt idx="24">
                  <c:v>-16586.20417257119</c:v>
                </c:pt>
                <c:pt idx="25">
                  <c:v>-18883.555436205555</c:v>
                </c:pt>
                <c:pt idx="26">
                  <c:v>-21120</c:v>
                </c:pt>
                <c:pt idx="27">
                  <c:v>-23297.700032393914</c:v>
                </c:pt>
                <c:pt idx="28">
                  <c:v>-25418.722963430191</c:v>
                </c:pt>
                <c:pt idx="29">
                  <c:v>-27485.04638671875</c:v>
                </c:pt>
                <c:pt idx="30">
                  <c:v>-29498.562670233092</c:v>
                </c:pt>
                <c:pt idx="31">
                  <c:v>-31461.08329540283</c:v>
                </c:pt>
              </c:numCache>
            </c:numRef>
          </c:val>
          <c:extLst>
            <c:ext xmlns:c16="http://schemas.microsoft.com/office/drawing/2014/chart" uri="{C3380CC4-5D6E-409C-BE32-E72D297353CC}">
              <c16:uniqueId val="{00000000-CBBC-4D3B-9E48-5249A23FA0CC}"/>
            </c:ext>
          </c:extLst>
        </c:ser>
        <c:ser>
          <c:idx val="2"/>
          <c:order val="1"/>
          <c:tx>
            <c:strRef>
              <c:f>'Ex(7an)'!$D$12</c:f>
              <c:strCache>
                <c:ptCount val="1"/>
                <c:pt idx="0">
                  <c:v> - NPV</c:v>
                </c:pt>
              </c:strCache>
            </c:strRef>
          </c:tx>
          <c:spPr>
            <a:solidFill>
              <a:srgbClr val="FF0000"/>
            </a:solidFill>
            <a:ln w="25400">
              <a:noFill/>
            </a:ln>
          </c:spPr>
          <c:cat>
            <c:numRef>
              <c:f>'Ex(7an)'!$A$13:$A$44</c:f>
              <c:numCache>
                <c:formatCode>0%</c:formatCode>
                <c:ptCount val="32"/>
                <c:pt idx="0" formatCode="General">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0.1649926641122641</c:v>
                </c:pt>
                <c:pt idx="18">
                  <c:v>0.17</c:v>
                </c:pt>
                <c:pt idx="19">
                  <c:v>0.18</c:v>
                </c:pt>
                <c:pt idx="20">
                  <c:v>0.19</c:v>
                </c:pt>
                <c:pt idx="21">
                  <c:v>0.2</c:v>
                </c:pt>
                <c:pt idx="22">
                  <c:v>0.21</c:v>
                </c:pt>
                <c:pt idx="23">
                  <c:v>0.22</c:v>
                </c:pt>
                <c:pt idx="24">
                  <c:v>0.23</c:v>
                </c:pt>
                <c:pt idx="25">
                  <c:v>0.24</c:v>
                </c:pt>
                <c:pt idx="26">
                  <c:v>0.25</c:v>
                </c:pt>
                <c:pt idx="27">
                  <c:v>0.26</c:v>
                </c:pt>
                <c:pt idx="28">
                  <c:v>0.27</c:v>
                </c:pt>
                <c:pt idx="29">
                  <c:v>0.28000000000000003</c:v>
                </c:pt>
                <c:pt idx="30">
                  <c:v>0.28999999999999998</c:v>
                </c:pt>
                <c:pt idx="31">
                  <c:v>0.3</c:v>
                </c:pt>
              </c:numCache>
            </c:numRef>
          </c:cat>
          <c:val>
            <c:numRef>
              <c:f>'Ex(7an)'!$D$13:$D$44</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-1388.6500671510294</c:v>
                </c:pt>
                <c:pt idx="19">
                  <c:v>-4102.8537484357948</c:v>
                </c:pt>
                <c:pt idx="20">
                  <c:v>-6740.871336176584</c:v>
                </c:pt>
                <c:pt idx="21">
                  <c:v>-9305.5555555555329</c:v>
                </c:pt>
                <c:pt idx="22">
                  <c:v>-11799.627560100955</c:v>
                </c:pt>
                <c:pt idx="23">
                  <c:v>-14225.68408809547</c:v>
                </c:pt>
                <c:pt idx="24">
                  <c:v>-16586.20417257119</c:v>
                </c:pt>
                <c:pt idx="25">
                  <c:v>-18883.555436205555</c:v>
                </c:pt>
                <c:pt idx="26">
                  <c:v>-21120</c:v>
                </c:pt>
                <c:pt idx="27">
                  <c:v>-23297.700032393914</c:v>
                </c:pt>
                <c:pt idx="28">
                  <c:v>-25418.722963430191</c:v>
                </c:pt>
                <c:pt idx="29">
                  <c:v>-27485.04638671875</c:v>
                </c:pt>
                <c:pt idx="30">
                  <c:v>-29498.562670233092</c:v>
                </c:pt>
                <c:pt idx="31">
                  <c:v>-31461.08329540283</c:v>
                </c:pt>
              </c:numCache>
            </c:numRef>
          </c:val>
          <c:extLst>
            <c:ext xmlns:c16="http://schemas.microsoft.com/office/drawing/2014/chart" uri="{C3380CC4-5D6E-409C-BE32-E72D297353CC}">
              <c16:uniqueId val="{00000001-CBBC-4D3B-9E48-5249A23FA0CC}"/>
            </c:ext>
          </c:extLst>
        </c:ser>
        <c:dLbls>
          <c:showLegendKey val="0"/>
          <c:showVal val="0"/>
          <c:showCatName val="0"/>
          <c:showSerName val="0"/>
          <c:showPercent val="0"/>
          <c:showBubbleSize val="0"/>
        </c:dLbls>
        <c:axId val="856655343"/>
        <c:axId val="1"/>
      </c:areaChart>
      <c:scatterChart>
        <c:scatterStyle val="smoothMarker"/>
        <c:varyColors val="0"/>
        <c:ser>
          <c:idx val="1"/>
          <c:order val="2"/>
          <c:tx>
            <c:v>NPVLine</c:v>
          </c:tx>
          <c:spPr>
            <a:ln>
              <a:noFill/>
            </a:ln>
          </c:spPr>
          <c:marker>
            <c:symbol val="none"/>
          </c:marker>
          <c:trendline>
            <c:trendlineType val="poly"/>
            <c:order val="2"/>
            <c:dispRSqr val="0"/>
            <c:dispEq val="1"/>
            <c:trendlineLbl>
              <c:layout>
                <c:manualLayout>
                  <c:x val="-0.34664107611548556"/>
                  <c:y val="0.23839949615283168"/>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'Ex(7an)'!$A$13:$A$44</c:f>
              <c:numCache>
                <c:formatCode>0%</c:formatCode>
                <c:ptCount val="32"/>
                <c:pt idx="0" formatCode="General">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0.1649926641122641</c:v>
                </c:pt>
                <c:pt idx="18">
                  <c:v>0.17</c:v>
                </c:pt>
                <c:pt idx="19">
                  <c:v>0.18</c:v>
                </c:pt>
                <c:pt idx="20">
                  <c:v>0.19</c:v>
                </c:pt>
                <c:pt idx="21">
                  <c:v>0.2</c:v>
                </c:pt>
                <c:pt idx="22">
                  <c:v>0.21</c:v>
                </c:pt>
                <c:pt idx="23">
                  <c:v>0.22</c:v>
                </c:pt>
                <c:pt idx="24">
                  <c:v>0.23</c:v>
                </c:pt>
                <c:pt idx="25">
                  <c:v>0.24</c:v>
                </c:pt>
                <c:pt idx="26">
                  <c:v>0.25</c:v>
                </c:pt>
                <c:pt idx="27">
                  <c:v>0.26</c:v>
                </c:pt>
                <c:pt idx="28">
                  <c:v>0.27</c:v>
                </c:pt>
                <c:pt idx="29">
                  <c:v>0.28000000000000003</c:v>
                </c:pt>
                <c:pt idx="30">
                  <c:v>0.28999999999999998</c:v>
                </c:pt>
                <c:pt idx="31">
                  <c:v>0.3</c:v>
                </c:pt>
              </c:numCache>
            </c:numRef>
          </c:xVal>
          <c:yVal>
            <c:numRef>
              <c:f>'Ex(7an)'!$B$13:$B$44</c:f>
              <c:numCache>
                <c:formatCode>#,##0.00</c:formatCode>
                <c:ptCount val="32"/>
                <c:pt idx="0" formatCode="General">
                  <c:v>60000</c:v>
                </c:pt>
                <c:pt idx="1">
                  <c:v>55379.777366031863</c:v>
                </c:pt>
                <c:pt idx="2">
                  <c:v>50914.354207657685</c:v>
                </c:pt>
                <c:pt idx="3">
                  <c:v>46596.890165613178</c:v>
                </c:pt>
                <c:pt idx="4">
                  <c:v>42420.914883932623</c:v>
                </c:pt>
                <c:pt idx="5">
                  <c:v>38380.304502753454</c:v>
                </c:pt>
                <c:pt idx="6">
                  <c:v>34469.259858809586</c:v>
                </c:pt>
                <c:pt idx="7">
                  <c:v>30682.286254441686</c:v>
                </c:pt>
                <c:pt idx="8">
                  <c:v>27014.174668495631</c:v>
                </c:pt>
                <c:pt idx="9">
                  <c:v>23459.984293787973</c:v>
                </c:pt>
                <c:pt idx="10">
                  <c:v>20015.026296018012</c:v>
                </c:pt>
                <c:pt idx="11">
                  <c:v>16674.848698223388</c:v>
                </c:pt>
                <c:pt idx="12">
                  <c:v>13435.222303206974</c:v>
                </c:pt>
                <c:pt idx="13">
                  <c:v>10292.1275739017</c:v>
                </c:pt>
                <c:pt idx="14">
                  <c:v>7241.7423984707566</c:v>
                </c:pt>
                <c:pt idx="15">
                  <c:v>4280.4306731322722</c:v>
                </c:pt>
                <c:pt idx="16">
                  <c:v>1404.7316413137305</c:v>
                </c:pt>
                <c:pt idx="17">
                  <c:v>0</c:v>
                </c:pt>
                <c:pt idx="18">
                  <c:v>-1388.6500671510294</c:v>
                </c:pt>
                <c:pt idx="19">
                  <c:v>-4102.8537484357948</c:v>
                </c:pt>
                <c:pt idx="20">
                  <c:v>-6740.871336176584</c:v>
                </c:pt>
                <c:pt idx="21">
                  <c:v>-9305.5555555555329</c:v>
                </c:pt>
                <c:pt idx="22">
                  <c:v>-11799.627560100955</c:v>
                </c:pt>
                <c:pt idx="23">
                  <c:v>-14225.68408809547</c:v>
                </c:pt>
                <c:pt idx="24">
                  <c:v>-16586.20417257119</c:v>
                </c:pt>
                <c:pt idx="25">
                  <c:v>-18883.555436205555</c:v>
                </c:pt>
                <c:pt idx="26">
                  <c:v>-21120</c:v>
                </c:pt>
                <c:pt idx="27">
                  <c:v>-23297.700032393914</c:v>
                </c:pt>
                <c:pt idx="28">
                  <c:v>-25418.722963430191</c:v>
                </c:pt>
                <c:pt idx="29">
                  <c:v>-27485.04638671875</c:v>
                </c:pt>
                <c:pt idx="30">
                  <c:v>-29498.562670233092</c:v>
                </c:pt>
                <c:pt idx="31">
                  <c:v>-31461.08329540283</c:v>
                </c:pt>
              </c:numCache>
            </c:numRef>
          </c:yVal>
          <c:smooth val="1"/>
          <c:extLst>
            <c:ext xmlns:c16="http://schemas.microsoft.com/office/drawing/2014/chart" uri="{C3380CC4-5D6E-409C-BE32-E72D297353CC}">
              <c16:uniqueId val="{00000003-CBBC-4D3B-9E48-5249A23FA0CC}"/>
            </c:ext>
          </c:extLst>
        </c:ser>
        <c:dLbls>
          <c:showLegendKey val="0"/>
          <c:showVal val="0"/>
          <c:showCatName val="0"/>
          <c:showSerName val="0"/>
          <c:showPercent val="0"/>
          <c:showBubbleSize val="0"/>
        </c:dLbls>
        <c:axId val="3"/>
        <c:axId val="4"/>
      </c:scatterChart>
      <c:catAx>
        <c:axId val="856655343"/>
        <c:scaling>
          <c:orientation val="minMax"/>
        </c:scaling>
        <c:delete val="0"/>
        <c:axPos val="b"/>
        <c:title>
          <c:tx>
            <c:strRef>
              <c:f>'Ex(7an)'!$A$12</c:f>
              <c:strCache>
                <c:ptCount val="1"/>
                <c:pt idx="0">
                  <c:v>Discount Rate
Market Rate
Required Rate Return (RRR)</c:v>
                </c:pt>
              </c:strCache>
            </c:strRef>
          </c:tx>
          <c:overlay val="0"/>
          <c:txPr>
            <a:bodyPr/>
            <a:lstStyle/>
            <a:p>
              <a:pPr>
                <a:defRPr sz="1000" b="1" i="0" u="none" strike="noStrike" baseline="0">
                  <a:solidFill>
                    <a:srgbClr val="000000"/>
                  </a:solidFill>
                  <a:latin typeface="Calibri"/>
                  <a:ea typeface="Calibri"/>
                  <a:cs typeface="Calibri"/>
                </a:defRPr>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NPV = Value Of Asset/Liability</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6655343"/>
        <c:crosses val="autoZero"/>
        <c:crossBetween val="between"/>
      </c:valAx>
      <c:valAx>
        <c:axId val="3"/>
        <c:scaling>
          <c:orientation val="minMax"/>
        </c:scaling>
        <c:delete val="1"/>
        <c:axPos val="t"/>
        <c:numFmt formatCode="General" sourceLinked="1"/>
        <c:majorTickMark val="out"/>
        <c:minorTickMark val="none"/>
        <c:tickLblPos val="nextTo"/>
        <c:crossAx val="4"/>
        <c:crosses val="max"/>
        <c:crossBetween val="midCat"/>
      </c:valAx>
      <c:valAx>
        <c:axId val="4"/>
        <c:scaling>
          <c:orientation val="minMax"/>
        </c:scaling>
        <c:delete val="1"/>
        <c:axPos val="r"/>
        <c:numFmt formatCode="General" sourceLinked="1"/>
        <c:majorTickMark val="out"/>
        <c:minorTickMark val="none"/>
        <c:tickLblPos val="nextTo"/>
        <c:crossAx val="3"/>
        <c:crosses val="max"/>
        <c:crossBetween val="midCat"/>
      </c:valAx>
    </c:plotArea>
    <c:legend>
      <c:legendPos val="t"/>
      <c:legendEntry>
        <c:idx val="2"/>
        <c:delete val="1"/>
      </c:legendEntry>
      <c:legendEntry>
        <c:idx val="3"/>
        <c:delete val="1"/>
      </c:legendEntry>
      <c:overlay val="1"/>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25036875481926"/>
          <c:y val="3.64741641337386E-2"/>
          <c:w val="0.65208466000297038"/>
          <c:h val="0.86322188449848025"/>
        </c:manualLayout>
      </c:layout>
      <c:areaChart>
        <c:grouping val="standard"/>
        <c:varyColors val="0"/>
        <c:ser>
          <c:idx val="1"/>
          <c:order val="0"/>
          <c:tx>
            <c:strRef>
              <c:f>'NPV P'!$B$9</c:f>
              <c:strCache>
                <c:ptCount val="1"/>
                <c:pt idx="0">
                  <c:v> + NPV</c:v>
                </c:pt>
              </c:strCache>
            </c:strRef>
          </c:tx>
          <c:spPr>
            <a:solidFill>
              <a:schemeClr val="accent3">
                <a:lumMod val="50000"/>
              </a:schemeClr>
            </a:solidFill>
          </c:spPr>
          <c:cat>
            <c:numRef>
              <c:f>'NPV P'!$A$10:$A$19</c:f>
              <c:numCache>
                <c:formatCode>0.0%</c:formatCode>
                <c:ptCount val="10"/>
                <c:pt idx="0">
                  <c:v>0.14000000000000001</c:v>
                </c:pt>
                <c:pt idx="1">
                  <c:v>0.14500000000000002</c:v>
                </c:pt>
                <c:pt idx="2">
                  <c:v>0.15000000000000002</c:v>
                </c:pt>
                <c:pt idx="3">
                  <c:v>0.15500000000000003</c:v>
                </c:pt>
                <c:pt idx="4">
                  <c:v>0.16000000000000003</c:v>
                </c:pt>
                <c:pt idx="5">
                  <c:v>0.16500000000000004</c:v>
                </c:pt>
                <c:pt idx="6">
                  <c:v>0.17000000000000004</c:v>
                </c:pt>
                <c:pt idx="7">
                  <c:v>0.17500000000000004</c:v>
                </c:pt>
                <c:pt idx="8">
                  <c:v>0.18000000000000005</c:v>
                </c:pt>
                <c:pt idx="9">
                  <c:v>0.18500000000000005</c:v>
                </c:pt>
              </c:numCache>
            </c:numRef>
          </c:cat>
          <c:val>
            <c:numRef>
              <c:f>'NPV P'!$B$10:$B$19</c:f>
              <c:numCache>
                <c:formatCode>#,##0.00</c:formatCode>
                <c:ptCount val="10"/>
                <c:pt idx="0" formatCode="General">
                  <c:v>7241.7423984707566</c:v>
                </c:pt>
                <c:pt idx="1">
                  <c:v>5750.1726415104349</c:v>
                </c:pt>
                <c:pt idx="2">
                  <c:v>4280.4306731322722</c:v>
                </c:pt>
                <c:pt idx="3">
                  <c:v>2832.0892952365393</c:v>
                </c:pt>
                <c:pt idx="4">
                  <c:v>1404.7316413136723</c:v>
                </c:pt>
                <c:pt idx="5">
                  <c:v>-2.0491192542540375</c:v>
                </c:pt>
                <c:pt idx="6">
                  <c:v>-1388.6500671510294</c:v>
                </c:pt>
                <c:pt idx="7">
                  <c:v>-2755.4588097050146</c:v>
                </c:pt>
                <c:pt idx="8">
                  <c:v>-4102.853748435853</c:v>
                </c:pt>
                <c:pt idx="9">
                  <c:v>-5431.2043379034149</c:v>
                </c:pt>
              </c:numCache>
            </c:numRef>
          </c:val>
          <c:extLst>
            <c:ext xmlns:c16="http://schemas.microsoft.com/office/drawing/2014/chart" uri="{C3380CC4-5D6E-409C-BE32-E72D297353CC}">
              <c16:uniqueId val="{00000000-B921-4181-893E-6E5F6F8C2076}"/>
            </c:ext>
          </c:extLst>
        </c:ser>
        <c:ser>
          <c:idx val="2"/>
          <c:order val="1"/>
          <c:tx>
            <c:strRef>
              <c:f>'NPV P'!$C$9</c:f>
              <c:strCache>
                <c:ptCount val="1"/>
                <c:pt idx="0">
                  <c:v> - NPV</c:v>
                </c:pt>
              </c:strCache>
            </c:strRef>
          </c:tx>
          <c:spPr>
            <a:solidFill>
              <a:srgbClr val="FF0000"/>
            </a:solidFill>
            <a:ln w="25400">
              <a:noFill/>
            </a:ln>
          </c:spPr>
          <c:cat>
            <c:numRef>
              <c:f>'NPV P'!$A$10:$A$19</c:f>
              <c:numCache>
                <c:formatCode>0.0%</c:formatCode>
                <c:ptCount val="10"/>
                <c:pt idx="0">
                  <c:v>0.14000000000000001</c:v>
                </c:pt>
                <c:pt idx="1">
                  <c:v>0.14500000000000002</c:v>
                </c:pt>
                <c:pt idx="2">
                  <c:v>0.15000000000000002</c:v>
                </c:pt>
                <c:pt idx="3">
                  <c:v>0.15500000000000003</c:v>
                </c:pt>
                <c:pt idx="4">
                  <c:v>0.16000000000000003</c:v>
                </c:pt>
                <c:pt idx="5">
                  <c:v>0.16500000000000004</c:v>
                </c:pt>
                <c:pt idx="6">
                  <c:v>0.17000000000000004</c:v>
                </c:pt>
                <c:pt idx="7">
                  <c:v>0.17500000000000004</c:v>
                </c:pt>
                <c:pt idx="8">
                  <c:v>0.18000000000000005</c:v>
                </c:pt>
                <c:pt idx="9">
                  <c:v>0.18500000000000005</c:v>
                </c:pt>
              </c:numCache>
            </c:numRef>
          </c:cat>
          <c:val>
            <c:numRef>
              <c:f>'NPV P'!$C$10:$C$19</c:f>
              <c:numCache>
                <c:formatCode>#,##0.00</c:formatCode>
                <c:ptCount val="10"/>
                <c:pt idx="0">
                  <c:v>0</c:v>
                </c:pt>
                <c:pt idx="1">
                  <c:v>0</c:v>
                </c:pt>
                <c:pt idx="2">
                  <c:v>0</c:v>
                </c:pt>
                <c:pt idx="3">
                  <c:v>0</c:v>
                </c:pt>
                <c:pt idx="4">
                  <c:v>0</c:v>
                </c:pt>
                <c:pt idx="5">
                  <c:v>-2.0491192542540375</c:v>
                </c:pt>
                <c:pt idx="6">
                  <c:v>-1388.6500671510294</c:v>
                </c:pt>
                <c:pt idx="7">
                  <c:v>-2755.4588097050146</c:v>
                </c:pt>
                <c:pt idx="8">
                  <c:v>-4102.853748435853</c:v>
                </c:pt>
                <c:pt idx="9">
                  <c:v>-5431.2043379034149</c:v>
                </c:pt>
              </c:numCache>
            </c:numRef>
          </c:val>
          <c:extLst>
            <c:ext xmlns:c16="http://schemas.microsoft.com/office/drawing/2014/chart" uri="{C3380CC4-5D6E-409C-BE32-E72D297353CC}">
              <c16:uniqueId val="{00000001-B921-4181-893E-6E5F6F8C2076}"/>
            </c:ext>
          </c:extLst>
        </c:ser>
        <c:dLbls>
          <c:showLegendKey val="0"/>
          <c:showVal val="0"/>
          <c:showCatName val="0"/>
          <c:showSerName val="0"/>
          <c:showPercent val="0"/>
          <c:showBubbleSize val="0"/>
        </c:dLbls>
        <c:axId val="859494863"/>
        <c:axId val="1"/>
      </c:areaChart>
      <c:catAx>
        <c:axId val="859494863"/>
        <c:scaling>
          <c:orientation val="minMax"/>
        </c:scaling>
        <c:delete val="0"/>
        <c:axPos val="b"/>
        <c:title>
          <c:tx>
            <c:strRef>
              <c:f>'NPV P'!$A$9</c:f>
              <c:strCache>
                <c:ptCount val="1"/>
                <c:pt idx="0">
                  <c:v>RRR (Discount)</c:v>
                </c:pt>
              </c:strCache>
            </c:strRef>
          </c:tx>
          <c:overlay val="0"/>
          <c:txPr>
            <a:bodyPr/>
            <a:lstStyle/>
            <a:p>
              <a:pPr>
                <a:defRPr sz="1000" b="1" i="0" u="none" strike="noStrike" baseline="0">
                  <a:solidFill>
                    <a:srgbClr val="000000"/>
                  </a:solidFill>
                  <a:latin typeface="Calibri"/>
                  <a:ea typeface="Calibri"/>
                  <a:cs typeface="Calibri"/>
                </a:defRPr>
              </a:pPr>
              <a:endParaRPr lang="en-US"/>
            </a:p>
          </c:txPr>
        </c:title>
        <c:numFmt formatCode="0.0%"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NPV</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9494863"/>
        <c:crosses val="autoZero"/>
        <c:crossBetween val="midCat"/>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'EX(8an)'!$A$1</c:f>
          <c:strCache>
            <c:ptCount val="1"/>
            <c:pt idx="0">
              <c:v>NPV Non-conventional Cash Flows</c:v>
            </c:pt>
          </c:strCache>
        </c:strRef>
      </c:tx>
      <c:layout>
        <c:manualLayout>
          <c:xMode val="edge"/>
          <c:yMode val="edge"/>
          <c:x val="0.31575405054910177"/>
          <c:y val="2.1523891519586742E-2"/>
        </c:manualLayout>
      </c:layout>
      <c:overlay val="0"/>
    </c:title>
    <c:autoTitleDeleted val="0"/>
    <c:plotArea>
      <c:layout>
        <c:manualLayout>
          <c:layoutTarget val="inner"/>
          <c:xMode val="edge"/>
          <c:yMode val="edge"/>
          <c:x val="0.2282494952203247"/>
          <c:y val="0.10457187793411317"/>
          <c:w val="0.72442588726513568"/>
          <c:h val="0.85000276693609034"/>
        </c:manualLayout>
      </c:layout>
      <c:scatterChart>
        <c:scatterStyle val="smoothMarker"/>
        <c:varyColors val="0"/>
        <c:ser>
          <c:idx val="0"/>
          <c:order val="0"/>
          <c:tx>
            <c:strRef>
              <c:f>'EX(8an)'!$B$11</c:f>
              <c:strCache>
                <c:ptCount val="1"/>
                <c:pt idx="0">
                  <c:v>NPV</c:v>
                </c:pt>
              </c:strCache>
            </c:strRef>
          </c:tx>
          <c:marker>
            <c:symbol val="none"/>
          </c:marker>
          <c:xVal>
            <c:numRef>
              <c:f>'EX(8an)'!$A$12:$A$72</c:f>
              <c:numCache>
                <c:formatCode>0%</c:formatCode>
                <c:ptCount val="61"/>
                <c:pt idx="0">
                  <c:v>0.1</c:v>
                </c:pt>
                <c:pt idx="1">
                  <c:v>0.11</c:v>
                </c:pt>
                <c:pt idx="2">
                  <c:v>0.12</c:v>
                </c:pt>
                <c:pt idx="3">
                  <c:v>0.13</c:v>
                </c:pt>
                <c:pt idx="4">
                  <c:v>0.14000000000000001</c:v>
                </c:pt>
                <c:pt idx="5">
                  <c:v>0.15</c:v>
                </c:pt>
                <c:pt idx="6">
                  <c:v>0.16</c:v>
                </c:pt>
                <c:pt idx="7">
                  <c:v>0.17</c:v>
                </c:pt>
                <c:pt idx="8">
                  <c:v>0.18</c:v>
                </c:pt>
                <c:pt idx="9">
                  <c:v>0.19</c:v>
                </c:pt>
                <c:pt idx="10">
                  <c:v>0.2</c:v>
                </c:pt>
                <c:pt idx="11">
                  <c:v>0.21</c:v>
                </c:pt>
                <c:pt idx="12">
                  <c:v>0.22</c:v>
                </c:pt>
                <c:pt idx="13">
                  <c:v>0.23</c:v>
                </c:pt>
                <c:pt idx="14">
                  <c:v>0.24</c:v>
                </c:pt>
                <c:pt idx="15">
                  <c:v>0.25</c:v>
                </c:pt>
                <c:pt idx="16">
                  <c:v>0.26</c:v>
                </c:pt>
                <c:pt idx="17">
                  <c:v>0.27</c:v>
                </c:pt>
                <c:pt idx="18">
                  <c:v>0.28000000000000003</c:v>
                </c:pt>
                <c:pt idx="19">
                  <c:v>0.28999999999999998</c:v>
                </c:pt>
                <c:pt idx="20">
                  <c:v>0.3</c:v>
                </c:pt>
                <c:pt idx="21">
                  <c:v>0.31</c:v>
                </c:pt>
                <c:pt idx="22">
                  <c:v>0.32</c:v>
                </c:pt>
                <c:pt idx="23">
                  <c:v>0.33</c:v>
                </c:pt>
                <c:pt idx="24">
                  <c:v>0.34</c:v>
                </c:pt>
                <c:pt idx="25">
                  <c:v>0.35</c:v>
                </c:pt>
                <c:pt idx="26">
                  <c:v>0.36</c:v>
                </c:pt>
                <c:pt idx="27">
                  <c:v>0.37</c:v>
                </c:pt>
                <c:pt idx="28">
                  <c:v>0.38</c:v>
                </c:pt>
                <c:pt idx="29">
                  <c:v>0.39</c:v>
                </c:pt>
                <c:pt idx="30">
                  <c:v>0.4</c:v>
                </c:pt>
                <c:pt idx="31">
                  <c:v>0.41</c:v>
                </c:pt>
                <c:pt idx="32">
                  <c:v>0.42</c:v>
                </c:pt>
                <c:pt idx="33">
                  <c:v>0.43</c:v>
                </c:pt>
                <c:pt idx="34">
                  <c:v>0.44</c:v>
                </c:pt>
                <c:pt idx="35">
                  <c:v>0.45</c:v>
                </c:pt>
                <c:pt idx="36">
                  <c:v>0.46</c:v>
                </c:pt>
                <c:pt idx="37">
                  <c:v>0.47</c:v>
                </c:pt>
                <c:pt idx="38">
                  <c:v>0.48</c:v>
                </c:pt>
                <c:pt idx="39">
                  <c:v>0.49</c:v>
                </c:pt>
                <c:pt idx="40">
                  <c:v>0.5</c:v>
                </c:pt>
                <c:pt idx="41">
                  <c:v>0.51</c:v>
                </c:pt>
                <c:pt idx="42">
                  <c:v>0.52</c:v>
                </c:pt>
                <c:pt idx="43">
                  <c:v>0.53</c:v>
                </c:pt>
                <c:pt idx="44">
                  <c:v>0.54</c:v>
                </c:pt>
                <c:pt idx="45">
                  <c:v>0.55000000000000004</c:v>
                </c:pt>
                <c:pt idx="46">
                  <c:v>0.56000000000000005</c:v>
                </c:pt>
                <c:pt idx="47">
                  <c:v>0.56999999999999995</c:v>
                </c:pt>
                <c:pt idx="48">
                  <c:v>0.57999999999999996</c:v>
                </c:pt>
                <c:pt idx="49">
                  <c:v>0.59</c:v>
                </c:pt>
                <c:pt idx="50">
                  <c:v>0.6</c:v>
                </c:pt>
                <c:pt idx="51">
                  <c:v>0.61</c:v>
                </c:pt>
                <c:pt idx="52">
                  <c:v>0.62</c:v>
                </c:pt>
                <c:pt idx="53">
                  <c:v>0.63</c:v>
                </c:pt>
                <c:pt idx="54">
                  <c:v>0.64</c:v>
                </c:pt>
                <c:pt idx="55">
                  <c:v>0.65</c:v>
                </c:pt>
                <c:pt idx="56">
                  <c:v>0.66</c:v>
                </c:pt>
                <c:pt idx="57">
                  <c:v>0.67</c:v>
                </c:pt>
                <c:pt idx="58">
                  <c:v>0.68</c:v>
                </c:pt>
                <c:pt idx="59">
                  <c:v>0.69</c:v>
                </c:pt>
                <c:pt idx="60">
                  <c:v>0.7</c:v>
                </c:pt>
              </c:numCache>
            </c:numRef>
          </c:xVal>
          <c:yVal>
            <c:numRef>
              <c:f>'EX(8an)'!$B$12:$B$72</c:f>
              <c:numCache>
                <c:formatCode>"$"#,##0.00_);[Red]\("$"#,##0.00\)</c:formatCode>
                <c:ptCount val="61"/>
                <c:pt idx="0">
                  <c:v>-709.5041322314064</c:v>
                </c:pt>
                <c:pt idx="1">
                  <c:v>-496.26653680707386</c:v>
                </c:pt>
                <c:pt idx="2">
                  <c:v>-300.22321428571013</c:v>
                </c:pt>
                <c:pt idx="3">
                  <c:v>-120.56543190540106</c:v>
                </c:pt>
                <c:pt idx="4">
                  <c:v>43.474915358572616</c:v>
                </c:pt>
                <c:pt idx="5">
                  <c:v>192.62759924386046</c:v>
                </c:pt>
                <c:pt idx="6">
                  <c:v>327.586206896558</c:v>
                </c:pt>
                <c:pt idx="7">
                  <c:v>449.01015413835557</c:v>
                </c:pt>
                <c:pt idx="8">
                  <c:v>557.52657282390282</c:v>
                </c:pt>
                <c:pt idx="9">
                  <c:v>653.73208106772654</c:v>
                </c:pt>
                <c:pt idx="10">
                  <c:v>738.19444444444525</c:v>
                </c:pt>
                <c:pt idx="11">
                  <c:v>811.45413564646879</c:v>
                </c:pt>
                <c:pt idx="12">
                  <c:v>874.02579951626103</c:v>
                </c:pt>
                <c:pt idx="13">
                  <c:v>926.39962984995509</c:v>
                </c:pt>
                <c:pt idx="14">
                  <c:v>969.04266389177792</c:v>
                </c:pt>
                <c:pt idx="15">
                  <c:v>1002.4000000000015</c:v>
                </c:pt>
                <c:pt idx="16">
                  <c:v>1026.8959435626093</c:v>
                </c:pt>
                <c:pt idx="17">
                  <c:v>1042.9350858701728</c:v>
                </c:pt>
                <c:pt idx="18">
                  <c:v>1050.9033203125</c:v>
                </c:pt>
                <c:pt idx="19">
                  <c:v>1051.1687999519272</c:v>
                </c:pt>
                <c:pt idx="20">
                  <c:v>1044.0828402366824</c:v>
                </c:pt>
                <c:pt idx="21">
                  <c:v>1029.9807703513798</c:v>
                </c:pt>
                <c:pt idx="22">
                  <c:v>1009.1827364554629</c:v>
                </c:pt>
                <c:pt idx="23">
                  <c:v>981.99445983378973</c:v>
                </c:pt>
                <c:pt idx="24">
                  <c:v>948.70795277344587</c:v>
                </c:pt>
                <c:pt idx="25">
                  <c:v>909.60219478737417</c:v>
                </c:pt>
                <c:pt idx="26">
                  <c:v>864.94377162629826</c:v>
                </c:pt>
                <c:pt idx="27">
                  <c:v>814.98747935424763</c:v>
                </c:pt>
                <c:pt idx="28">
                  <c:v>759.97689561016159</c:v>
                </c:pt>
                <c:pt idx="29">
                  <c:v>700.1449200351999</c:v>
                </c:pt>
                <c:pt idx="30">
                  <c:v>635.71428571428987</c:v>
                </c:pt>
                <c:pt idx="31">
                  <c:v>566.89804335798544</c:v>
                </c:pt>
                <c:pt idx="32">
                  <c:v>493.90001983733237</c:v>
                </c:pt>
                <c:pt idx="33">
                  <c:v>416.91525257959438</c:v>
                </c:pt>
                <c:pt idx="34">
                  <c:v>336.13040123457176</c:v>
                </c:pt>
                <c:pt idx="35">
                  <c:v>251.72413793103624</c:v>
                </c:pt>
                <c:pt idx="36">
                  <c:v>163.86751735785219</c:v>
                </c:pt>
                <c:pt idx="37">
                  <c:v>72.724327826370427</c:v>
                </c:pt>
                <c:pt idx="38">
                  <c:v>-21.5485756026319</c:v>
                </c:pt>
                <c:pt idx="39">
                  <c:v>-118.80095491194515</c:v>
                </c:pt>
                <c:pt idx="40">
                  <c:v>-218.88888888888323</c:v>
                </c:pt>
                <c:pt idx="41">
                  <c:v>-321.674487961056</c:v>
                </c:pt>
                <c:pt idx="42">
                  <c:v>-427.02562326870247</c:v>
                </c:pt>
                <c:pt idx="43">
                  <c:v>-534.81566918706812</c:v>
                </c:pt>
                <c:pt idx="44">
                  <c:v>-644.92325855962554</c:v>
                </c:pt>
                <c:pt idx="45">
                  <c:v>-757.23204994796833</c:v>
                </c:pt>
                <c:pt idx="46">
                  <c:v>-871.63050624589232</c:v>
                </c:pt>
                <c:pt idx="47">
                  <c:v>-988.01168404398049</c:v>
                </c:pt>
                <c:pt idx="48">
                  <c:v>-1106.2730331677667</c:v>
                </c:pt>
                <c:pt idx="49">
                  <c:v>-1226.316205846284</c:v>
                </c:pt>
                <c:pt idx="50">
                  <c:v>-1348.046875</c:v>
                </c:pt>
                <c:pt idx="51">
                  <c:v>-1471.3745611666236</c:v>
                </c:pt>
                <c:pt idx="52">
                  <c:v>-1596.2124676116437</c:v>
                </c:pt>
                <c:pt idx="53">
                  <c:v>-1722.4773231962026</c:v>
                </c:pt>
                <c:pt idx="54">
                  <c:v>-1850.0892325996392</c:v>
                </c:pt>
                <c:pt idx="55">
                  <c:v>-1978.9715335169894</c:v>
                </c:pt>
                <c:pt idx="56">
                  <c:v>-2109.0506604732291</c:v>
                </c:pt>
                <c:pt idx="57">
                  <c:v>-2240.2560149162746</c:v>
                </c:pt>
                <c:pt idx="58">
                  <c:v>-2372.5198412698446</c:v>
                </c:pt>
                <c:pt idx="59">
                  <c:v>-2505.7771086446519</c:v>
                </c:pt>
                <c:pt idx="60">
                  <c:v>-2639.9653979238719</c:v>
                </c:pt>
              </c:numCache>
            </c:numRef>
          </c:yVal>
          <c:smooth val="1"/>
          <c:extLst>
            <c:ext xmlns:c16="http://schemas.microsoft.com/office/drawing/2014/chart" uri="{C3380CC4-5D6E-409C-BE32-E72D297353CC}">
              <c16:uniqueId val="{00000000-F778-4DFF-886F-AFCCFCAD0FFD}"/>
            </c:ext>
          </c:extLst>
        </c:ser>
        <c:dLbls>
          <c:showLegendKey val="0"/>
          <c:showVal val="0"/>
          <c:showCatName val="0"/>
          <c:showSerName val="0"/>
          <c:showPercent val="0"/>
          <c:showBubbleSize val="0"/>
        </c:dLbls>
        <c:axId val="856646223"/>
        <c:axId val="1"/>
      </c:scatterChart>
      <c:valAx>
        <c:axId val="856646223"/>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RRR (Discount)</a:t>
                </a:r>
              </a:p>
            </c:rich>
          </c:tx>
          <c:layout>
            <c:manualLayout>
              <c:xMode val="edge"/>
              <c:yMode val="edge"/>
              <c:x val="0.44607749257194135"/>
              <c:y val="0.55142040736083187"/>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title>
          <c:tx>
            <c:strRef>
              <c:f>'EX(8an)'!$B$11</c:f>
              <c:strCache>
                <c:ptCount val="1"/>
                <c:pt idx="0">
                  <c:v>NPV</c:v>
                </c:pt>
              </c:strCache>
            </c:strRef>
          </c:tx>
          <c:layout>
            <c:manualLayout>
              <c:xMode val="edge"/>
              <c:yMode val="edge"/>
              <c:x val="2.5471975836237986E-2"/>
              <c:y val="0.33624555540114098"/>
            </c:manualLayout>
          </c:layout>
          <c:overlay val="0"/>
          <c:txPr>
            <a:bodyPr/>
            <a:lstStyle/>
            <a:p>
              <a:pPr>
                <a:defRPr sz="1000" b="1" i="0" u="none" strike="noStrike" baseline="0">
                  <a:solidFill>
                    <a:srgbClr val="000000"/>
                  </a:solidFill>
                  <a:latin typeface="Calibri"/>
                  <a:ea typeface="Calibri"/>
                  <a:cs typeface="Calibri"/>
                </a:defRPr>
              </a:pPr>
              <a:endParaRPr lang="en-US"/>
            </a:p>
          </c:txPr>
        </c:title>
        <c:numFmt formatCode="&quot;$&quot;#,##0.00_);[Red]\(&quot;$&quot;#,##0.0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856646223"/>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'Ex(9an)'!$A$1</c:f>
          <c:strCache>
            <c:ptCount val="1"/>
            <c:pt idx="0">
              <c:v>NPV for Mutually Exclusive Projects (Investements)</c:v>
            </c:pt>
          </c:strCache>
        </c:strRef>
      </c:tx>
      <c:overlay val="0"/>
    </c:title>
    <c:autoTitleDeleted val="0"/>
    <c:plotArea>
      <c:layout>
        <c:manualLayout>
          <c:layoutTarget val="inner"/>
          <c:xMode val="edge"/>
          <c:yMode val="edge"/>
          <c:x val="0.22854761896043818"/>
          <c:y val="0.17933082713454312"/>
          <c:w val="0.56066006100220489"/>
          <c:h val="0.69733424845166136"/>
        </c:manualLayout>
      </c:layout>
      <c:scatterChart>
        <c:scatterStyle val="smoothMarker"/>
        <c:varyColors val="0"/>
        <c:ser>
          <c:idx val="0"/>
          <c:order val="0"/>
          <c:tx>
            <c:strRef>
              <c:f>'Ex(9an)'!$B$13</c:f>
              <c:strCache>
                <c:ptCount val="1"/>
                <c:pt idx="0">
                  <c:v>NPV A</c:v>
                </c:pt>
              </c:strCache>
            </c:strRef>
          </c:tx>
          <c:marker>
            <c:symbol val="none"/>
          </c:marker>
          <c:xVal>
            <c:numRef>
              <c:f>'Ex(9an)'!$A$14:$A$28</c:f>
              <c:numCache>
                <c:formatCode>0.00%</c:formatCode>
                <c:ptCount val="15"/>
                <c:pt idx="0" formatCode="0%">
                  <c:v>0</c:v>
                </c:pt>
                <c:pt idx="1">
                  <c:v>2.5000000000000001E-2</c:v>
                </c:pt>
                <c:pt idx="2" formatCode="0%">
                  <c:v>0.05</c:v>
                </c:pt>
                <c:pt idx="3">
                  <c:v>7.4999999999999997E-2</c:v>
                </c:pt>
                <c:pt idx="4" formatCode="0%">
                  <c:v>0.1</c:v>
                </c:pt>
                <c:pt idx="5">
                  <c:v>0.125</c:v>
                </c:pt>
                <c:pt idx="6" formatCode="0%">
                  <c:v>0.15</c:v>
                </c:pt>
                <c:pt idx="7">
                  <c:v>0.17499999999999999</c:v>
                </c:pt>
                <c:pt idx="8" formatCode="0%">
                  <c:v>0.2</c:v>
                </c:pt>
                <c:pt idx="9">
                  <c:v>0.22500000000000001</c:v>
                </c:pt>
                <c:pt idx="10" formatCode="0%">
                  <c:v>0.25</c:v>
                </c:pt>
                <c:pt idx="11" formatCode="0%">
                  <c:v>0.27500000000000002</c:v>
                </c:pt>
                <c:pt idx="12">
                  <c:v>0.3</c:v>
                </c:pt>
                <c:pt idx="13" formatCode="0%">
                  <c:v>0.32500000000000001</c:v>
                </c:pt>
                <c:pt idx="14">
                  <c:v>0.35</c:v>
                </c:pt>
              </c:numCache>
            </c:numRef>
          </c:xVal>
          <c:yVal>
            <c:numRef>
              <c:f>'Ex(9an)'!$B$14:$B$28</c:f>
              <c:numCache>
                <c:formatCode>"$"#,##0.00_);[Red]\("$"#,##0.00\)</c:formatCode>
                <c:ptCount val="15"/>
                <c:pt idx="0">
                  <c:v>3050</c:v>
                </c:pt>
                <c:pt idx="1">
                  <c:v>2570.7533298109784</c:v>
                </c:pt>
                <c:pt idx="2">
                  <c:v>2134.3190337359429</c:v>
                </c:pt>
                <c:pt idx="3">
                  <c:v>1735.7472692911933</c:v>
                </c:pt>
                <c:pt idx="4">
                  <c:v>1370.773854244927</c:v>
                </c:pt>
                <c:pt idx="5">
                  <c:v>1035.7110196616377</c:v>
                </c:pt>
                <c:pt idx="6">
                  <c:v>727.35767811007008</c:v>
                </c:pt>
                <c:pt idx="7">
                  <c:v>442.92536745742109</c:v>
                </c:pt>
                <c:pt idx="8">
                  <c:v>179.97685185185219</c:v>
                </c:pt>
                <c:pt idx="9">
                  <c:v>-63.625006309845958</c:v>
                </c:pt>
                <c:pt idx="10">
                  <c:v>-289.76000000000022</c:v>
                </c:pt>
                <c:pt idx="11">
                  <c:v>-500.08647193187517</c:v>
                </c:pt>
                <c:pt idx="12">
                  <c:v>-696.07156612163544</c:v>
                </c:pt>
                <c:pt idx="13">
                  <c:v>-879.01681785939218</c:v>
                </c:pt>
                <c:pt idx="14">
                  <c:v>-1050.0798771641639</c:v>
                </c:pt>
              </c:numCache>
            </c:numRef>
          </c:yVal>
          <c:smooth val="1"/>
          <c:extLst>
            <c:ext xmlns:c16="http://schemas.microsoft.com/office/drawing/2014/chart" uri="{C3380CC4-5D6E-409C-BE32-E72D297353CC}">
              <c16:uniqueId val="{00000000-326D-46A3-B780-30CB70DC502A}"/>
            </c:ext>
          </c:extLst>
        </c:ser>
        <c:ser>
          <c:idx val="1"/>
          <c:order val="1"/>
          <c:tx>
            <c:strRef>
              <c:f>'Ex(9an)'!$C$13</c:f>
              <c:strCache>
                <c:ptCount val="1"/>
                <c:pt idx="0">
                  <c:v>NPV B</c:v>
                </c:pt>
              </c:strCache>
            </c:strRef>
          </c:tx>
          <c:marker>
            <c:symbol val="none"/>
          </c:marker>
          <c:xVal>
            <c:numRef>
              <c:f>'Ex(9an)'!$A$14:$A$28</c:f>
              <c:numCache>
                <c:formatCode>0.00%</c:formatCode>
                <c:ptCount val="15"/>
                <c:pt idx="0" formatCode="0%">
                  <c:v>0</c:v>
                </c:pt>
                <c:pt idx="1">
                  <c:v>2.5000000000000001E-2</c:v>
                </c:pt>
                <c:pt idx="2" formatCode="0%">
                  <c:v>0.05</c:v>
                </c:pt>
                <c:pt idx="3">
                  <c:v>7.4999999999999997E-2</c:v>
                </c:pt>
                <c:pt idx="4" formatCode="0%">
                  <c:v>0.1</c:v>
                </c:pt>
                <c:pt idx="5">
                  <c:v>0.125</c:v>
                </c:pt>
                <c:pt idx="6" formatCode="0%">
                  <c:v>0.15</c:v>
                </c:pt>
                <c:pt idx="7">
                  <c:v>0.17499999999999999</c:v>
                </c:pt>
                <c:pt idx="8" formatCode="0%">
                  <c:v>0.2</c:v>
                </c:pt>
                <c:pt idx="9">
                  <c:v>0.22500000000000001</c:v>
                </c:pt>
                <c:pt idx="10" formatCode="0%">
                  <c:v>0.25</c:v>
                </c:pt>
                <c:pt idx="11" formatCode="0%">
                  <c:v>0.27500000000000002</c:v>
                </c:pt>
                <c:pt idx="12">
                  <c:v>0.3</c:v>
                </c:pt>
                <c:pt idx="13" formatCode="0%">
                  <c:v>0.32500000000000001</c:v>
                </c:pt>
                <c:pt idx="14">
                  <c:v>0.35</c:v>
                </c:pt>
              </c:numCache>
            </c:numRef>
          </c:xVal>
          <c:yVal>
            <c:numRef>
              <c:f>'Ex(9an)'!$C$14:$C$28</c:f>
              <c:numCache>
                <c:formatCode>"$"#,##0.00_);[Red]\("$"#,##0.00\)</c:formatCode>
                <c:ptCount val="15"/>
                <c:pt idx="0">
                  <c:v>3550</c:v>
                </c:pt>
                <c:pt idx="1">
                  <c:v>2938.6627177599257</c:v>
                </c:pt>
                <c:pt idx="2">
                  <c:v>2386.744720563961</c:v>
                </c:pt>
                <c:pt idx="3">
                  <c:v>1887.0307163242333</c:v>
                </c:pt>
                <c:pt idx="4">
                  <c:v>1433.337886756367</c:v>
                </c:pt>
                <c:pt idx="5">
                  <c:v>1020.3475080018288</c:v>
                </c:pt>
                <c:pt idx="6">
                  <c:v>643.46718315043381</c:v>
                </c:pt>
                <c:pt idx="7">
                  <c:v>298.71758010410758</c:v>
                </c:pt>
                <c:pt idx="8">
                  <c:v>-17.361111111110404</c:v>
                </c:pt>
                <c:pt idx="9">
                  <c:v>-307.78677355905347</c:v>
                </c:pt>
                <c:pt idx="10">
                  <c:v>-575.19999999999982</c:v>
                </c:pt>
                <c:pt idx="11">
                  <c:v>-821.91815143408076</c:v>
                </c:pt>
                <c:pt idx="12">
                  <c:v>-1049.9807429711855</c:v>
                </c:pt>
                <c:pt idx="13">
                  <c:v>-1261.1876893183062</c:v>
                </c:pt>
                <c:pt idx="14">
                  <c:v>-1457.1316477275941</c:v>
                </c:pt>
              </c:numCache>
            </c:numRef>
          </c:yVal>
          <c:smooth val="1"/>
          <c:extLst>
            <c:ext xmlns:c16="http://schemas.microsoft.com/office/drawing/2014/chart" uri="{C3380CC4-5D6E-409C-BE32-E72D297353CC}">
              <c16:uniqueId val="{00000001-326D-46A3-B780-30CB70DC502A}"/>
            </c:ext>
          </c:extLst>
        </c:ser>
        <c:dLbls>
          <c:showLegendKey val="0"/>
          <c:showVal val="0"/>
          <c:showCatName val="0"/>
          <c:showSerName val="0"/>
          <c:showPercent val="0"/>
          <c:showBubbleSize val="0"/>
        </c:dLbls>
        <c:axId val="859006223"/>
        <c:axId val="1"/>
      </c:scatterChart>
      <c:valAx>
        <c:axId val="859006223"/>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RRR (Discount)</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NPV</a:t>
                </a:r>
              </a:p>
            </c:rich>
          </c:tx>
          <c:overlay val="0"/>
        </c:title>
        <c:numFmt formatCode="&quot;$&quot;#,##0.00_);[Red]\(&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9006223"/>
        <c:crosses val="autoZero"/>
        <c:crossBetween val="midCat"/>
      </c:valAx>
    </c:plotArea>
    <c:legend>
      <c:legendPos val="r"/>
      <c:layout>
        <c:manualLayout>
          <c:xMode val="edge"/>
          <c:yMode val="edge"/>
          <c:x val="0.37390870949600702"/>
          <c:y val="0.2001311159008233"/>
          <c:w val="0.31609360296959221"/>
          <c:h val="7.3448627410843473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2</xdr:col>
      <xdr:colOff>742950</xdr:colOff>
      <xdr:row>0</xdr:row>
      <xdr:rowOff>0</xdr:rowOff>
    </xdr:from>
    <xdr:to>
      <xdr:col>8</xdr:col>
      <xdr:colOff>136525</xdr:colOff>
      <xdr:row>18</xdr:row>
      <xdr:rowOff>171450</xdr:rowOff>
    </xdr:to>
    <xdr:pic>
      <xdr:nvPicPr>
        <xdr:cNvPr id="59517" name="Picture 3">
          <a:extLst>
            <a:ext uri="{FF2B5EF4-FFF2-40B4-BE49-F238E27FC236}">
              <a16:creationId xmlns:a16="http://schemas.microsoft.com/office/drawing/2014/main" id="{339BCEF6-2AEF-C73A-73B9-A800C6E3F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75" y="0"/>
          <a:ext cx="5441950" cy="408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9</xdr:col>
      <xdr:colOff>31750</xdr:colOff>
      <xdr:row>18</xdr:row>
      <xdr:rowOff>171450</xdr:rowOff>
    </xdr:to>
    <xdr:pic>
      <xdr:nvPicPr>
        <xdr:cNvPr id="63612" name="Picture 2">
          <a:extLst>
            <a:ext uri="{FF2B5EF4-FFF2-40B4-BE49-F238E27FC236}">
              <a16:creationId xmlns:a16="http://schemas.microsoft.com/office/drawing/2014/main" id="{50E00FF3-2F6F-9CB2-127A-13970FBF7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6375" y="0"/>
          <a:ext cx="5426075" cy="408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511175</xdr:colOff>
      <xdr:row>1</xdr:row>
      <xdr:rowOff>31750</xdr:rowOff>
    </xdr:from>
    <xdr:to>
      <xdr:col>9</xdr:col>
      <xdr:colOff>266700</xdr:colOff>
      <xdr:row>12</xdr:row>
      <xdr:rowOff>101600</xdr:rowOff>
    </xdr:to>
    <xdr:graphicFrame macro="">
      <xdr:nvGraphicFramePr>
        <xdr:cNvPr id="1276" name="Chart 3">
          <a:extLst>
            <a:ext uri="{FF2B5EF4-FFF2-40B4-BE49-F238E27FC236}">
              <a16:creationId xmlns:a16="http://schemas.microsoft.com/office/drawing/2014/main" id="{6921719C-6F32-9A37-F919-16FAB2DA4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158750</xdr:colOff>
      <xdr:row>15</xdr:row>
      <xdr:rowOff>0</xdr:rowOff>
    </xdr:from>
    <xdr:to>
      <xdr:col>12</xdr:col>
      <xdr:colOff>463550</xdr:colOff>
      <xdr:row>31</xdr:row>
      <xdr:rowOff>165100</xdr:rowOff>
    </xdr:to>
    <xdr:grpSp>
      <xdr:nvGrpSpPr>
        <xdr:cNvPr id="200125" name="Group 1">
          <a:extLst>
            <a:ext uri="{FF2B5EF4-FFF2-40B4-BE49-F238E27FC236}">
              <a16:creationId xmlns:a16="http://schemas.microsoft.com/office/drawing/2014/main" id="{19DA3919-AF47-B4A5-9CAC-0099CB15CBFB}"/>
            </a:ext>
          </a:extLst>
        </xdr:cNvPr>
        <xdr:cNvGrpSpPr>
          <a:grpSpLocks/>
        </xdr:cNvGrpSpPr>
      </xdr:nvGrpSpPr>
      <xdr:grpSpPr bwMode="auto">
        <a:xfrm>
          <a:off x="5100955" y="2762250"/>
          <a:ext cx="4724400" cy="3112135"/>
          <a:chOff x="5105400" y="2926080"/>
          <a:chExt cx="4572000" cy="2743200"/>
        </a:xfrm>
      </xdr:grpSpPr>
      <xdr:graphicFrame macro="">
        <xdr:nvGraphicFramePr>
          <xdr:cNvPr id="200126" name="Chart 3">
            <a:extLst>
              <a:ext uri="{FF2B5EF4-FFF2-40B4-BE49-F238E27FC236}">
                <a16:creationId xmlns:a16="http://schemas.microsoft.com/office/drawing/2014/main" id="{8754A0B6-15C1-429E-9A1D-28AB89053368}"/>
              </a:ext>
            </a:extLst>
          </xdr:cNvPr>
          <xdr:cNvGraphicFramePr>
            <a:graphicFrameLocks/>
          </xdr:cNvGraphicFramePr>
        </xdr:nvGraphicFramePr>
        <xdr:xfrm>
          <a:off x="5105400" y="2926080"/>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3550CB1B-E6B8-D940-2E0A-FD3F23066172}"/>
              </a:ext>
            </a:extLst>
          </xdr:cNvPr>
          <xdr:cNvSpPr/>
        </xdr:nvSpPr>
        <xdr:spPr>
          <a:xfrm>
            <a:off x="6546850" y="3446627"/>
            <a:ext cx="2886075" cy="22584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Hurdle Rate (IRR) is rate that makes NPV</a:t>
            </a:r>
            <a:r>
              <a:rPr lang="en-US" sz="1100" baseline="0">
                <a:solidFill>
                  <a:sysClr val="windowText" lastClr="000000"/>
                </a:solidFill>
              </a:rPr>
              <a:t> = 0</a:t>
            </a:r>
            <a:r>
              <a:rPr lang="en-US" sz="1100">
                <a:solidFill>
                  <a:sysClr val="windowText" lastClr="000000"/>
                </a:solidFill>
              </a:rPr>
              <a:t> </a:t>
            </a:r>
          </a:p>
        </xdr:txBody>
      </xdr:sp>
      <xdr:cxnSp macro="">
        <xdr:nvCxnSpPr>
          <xdr:cNvPr id="5" name="Straight Arrow Connector 4">
            <a:extLst>
              <a:ext uri="{FF2B5EF4-FFF2-40B4-BE49-F238E27FC236}">
                <a16:creationId xmlns:a16="http://schemas.microsoft.com/office/drawing/2014/main" id="{9BB2EC5A-A4BA-C8D6-4B04-CF1091B2C083}"/>
              </a:ext>
            </a:extLst>
          </xdr:cNvPr>
          <xdr:cNvCxnSpPr>
            <a:stCxn id="4" idx="2"/>
          </xdr:cNvCxnSpPr>
        </xdr:nvCxnSpPr>
        <xdr:spPr>
          <a:xfrm flipH="1">
            <a:off x="7108825" y="3672473"/>
            <a:ext cx="885825" cy="493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248383</xdr:colOff>
      <xdr:row>6</xdr:row>
      <xdr:rowOff>157481</xdr:rowOff>
    </xdr:from>
    <xdr:to>
      <xdr:col>4</xdr:col>
      <xdr:colOff>537507</xdr:colOff>
      <xdr:row>9</xdr:row>
      <xdr:rowOff>46838</xdr:rowOff>
    </xdr:to>
    <xdr:sp macro="" textlink="">
      <xdr:nvSpPr>
        <xdr:cNvPr id="2" name="Rectangle 1">
          <a:extLst>
            <a:ext uri="{FF2B5EF4-FFF2-40B4-BE49-F238E27FC236}">
              <a16:creationId xmlns:a16="http://schemas.microsoft.com/office/drawing/2014/main" id="{175BC6B2-E90E-748A-13AA-4D3626D4965D}"/>
            </a:ext>
          </a:extLst>
        </xdr:cNvPr>
        <xdr:cNvSpPr/>
      </xdr:nvSpPr>
      <xdr:spPr>
        <a:xfrm>
          <a:off x="4589585" y="1494693"/>
          <a:ext cx="896815" cy="43961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Cash Still To Recover</a:t>
          </a:r>
        </a:p>
      </xdr:txBody>
    </xdr:sp>
    <xdr:clientData/>
  </xdr:twoCellAnchor>
  <xdr:twoCellAnchor>
    <xdr:from>
      <xdr:col>4</xdr:col>
      <xdr:colOff>486508</xdr:colOff>
      <xdr:row>11</xdr:row>
      <xdr:rowOff>175846</xdr:rowOff>
    </xdr:from>
    <xdr:to>
      <xdr:col>5</xdr:col>
      <xdr:colOff>108438</xdr:colOff>
      <xdr:row>12</xdr:row>
      <xdr:rowOff>152402</xdr:rowOff>
    </xdr:to>
    <xdr:cxnSp macro="">
      <xdr:nvCxnSpPr>
        <xdr:cNvPr id="4" name="Straight Arrow Connector 3">
          <a:extLst>
            <a:ext uri="{FF2B5EF4-FFF2-40B4-BE49-F238E27FC236}">
              <a16:creationId xmlns:a16="http://schemas.microsoft.com/office/drawing/2014/main" id="{9F36CEC8-8FF2-59CB-4CA8-A7B368F5033B}"/>
            </a:ext>
          </a:extLst>
        </xdr:cNvPr>
        <xdr:cNvCxnSpPr>
          <a:stCxn id="8" idx="0"/>
        </xdr:cNvCxnSpPr>
      </xdr:nvCxnSpPr>
      <xdr:spPr>
        <a:xfrm flipH="1" flipV="1">
          <a:off x="5427785" y="2426677"/>
          <a:ext cx="231530" cy="1582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580291</xdr:colOff>
      <xdr:row>12</xdr:row>
      <xdr:rowOff>152402</xdr:rowOff>
    </xdr:from>
    <xdr:to>
      <xdr:col>6</xdr:col>
      <xdr:colOff>246184</xdr:colOff>
      <xdr:row>14</xdr:row>
      <xdr:rowOff>87924</xdr:rowOff>
    </xdr:to>
    <xdr:sp macro="" textlink="">
      <xdr:nvSpPr>
        <xdr:cNvPr id="8" name="Rectangle 7">
          <a:extLst>
            <a:ext uri="{FF2B5EF4-FFF2-40B4-BE49-F238E27FC236}">
              <a16:creationId xmlns:a16="http://schemas.microsoft.com/office/drawing/2014/main" id="{96EDCAB3-53BE-42E8-7862-5E4C7A01C44C}"/>
            </a:ext>
          </a:extLst>
        </xdr:cNvPr>
        <xdr:cNvSpPr/>
      </xdr:nvSpPr>
      <xdr:spPr>
        <a:xfrm>
          <a:off x="4911968" y="2584940"/>
          <a:ext cx="1494693" cy="29893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Total Cash For Year</a:t>
          </a:r>
        </a:p>
      </xdr:txBody>
    </xdr:sp>
    <xdr:clientData/>
  </xdr:twoCellAnchor>
  <xdr:twoCellAnchor>
    <xdr:from>
      <xdr:col>3</xdr:col>
      <xdr:colOff>461303</xdr:colOff>
      <xdr:row>9</xdr:row>
      <xdr:rowOff>46894</xdr:rowOff>
    </xdr:from>
    <xdr:to>
      <xdr:col>4</xdr:col>
      <xdr:colOff>79659</xdr:colOff>
      <xdr:row>11</xdr:row>
      <xdr:rowOff>15719</xdr:rowOff>
    </xdr:to>
    <xdr:cxnSp macro="">
      <xdr:nvCxnSpPr>
        <xdr:cNvPr id="11" name="Straight Arrow Connector 10">
          <a:extLst>
            <a:ext uri="{FF2B5EF4-FFF2-40B4-BE49-F238E27FC236}">
              <a16:creationId xmlns:a16="http://schemas.microsoft.com/office/drawing/2014/main" id="{4ECA7015-1A1E-8321-9B09-FECDFC5E57AC}"/>
            </a:ext>
          </a:extLst>
        </xdr:cNvPr>
        <xdr:cNvCxnSpPr>
          <a:stCxn id="2" idx="2"/>
        </xdr:cNvCxnSpPr>
      </xdr:nvCxnSpPr>
      <xdr:spPr>
        <a:xfrm flipH="1">
          <a:off x="4800600" y="1934309"/>
          <a:ext cx="237393" cy="3399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248383</xdr:colOff>
      <xdr:row>6</xdr:row>
      <xdr:rowOff>157481</xdr:rowOff>
    </xdr:from>
    <xdr:to>
      <xdr:col>4</xdr:col>
      <xdr:colOff>537507</xdr:colOff>
      <xdr:row>9</xdr:row>
      <xdr:rowOff>46838</xdr:rowOff>
    </xdr:to>
    <xdr:sp macro="" textlink="">
      <xdr:nvSpPr>
        <xdr:cNvPr id="11" name="Rectangle 10">
          <a:extLst>
            <a:ext uri="{FF2B5EF4-FFF2-40B4-BE49-F238E27FC236}">
              <a16:creationId xmlns:a16="http://schemas.microsoft.com/office/drawing/2014/main" id="{61143B3B-55E0-45B0-9ACA-EC4950F28D67}"/>
            </a:ext>
          </a:extLst>
        </xdr:cNvPr>
        <xdr:cNvSpPr/>
      </xdr:nvSpPr>
      <xdr:spPr>
        <a:xfrm>
          <a:off x="3601183" y="1498601"/>
          <a:ext cx="898724" cy="43799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Cash Still To Recover</a:t>
          </a:r>
        </a:p>
      </xdr:txBody>
    </xdr:sp>
    <xdr:clientData/>
  </xdr:twoCellAnchor>
  <xdr:twoCellAnchor>
    <xdr:from>
      <xdr:col>4</xdr:col>
      <xdr:colOff>541020</xdr:colOff>
      <xdr:row>11</xdr:row>
      <xdr:rowOff>358140</xdr:rowOff>
    </xdr:from>
    <xdr:to>
      <xdr:col>5</xdr:col>
      <xdr:colOff>108438</xdr:colOff>
      <xdr:row>12</xdr:row>
      <xdr:rowOff>152402</xdr:rowOff>
    </xdr:to>
    <xdr:cxnSp macro="">
      <xdr:nvCxnSpPr>
        <xdr:cNvPr id="12" name="Straight Arrow Connector 11">
          <a:extLst>
            <a:ext uri="{FF2B5EF4-FFF2-40B4-BE49-F238E27FC236}">
              <a16:creationId xmlns:a16="http://schemas.microsoft.com/office/drawing/2014/main" id="{9A020652-AD7E-4997-B1A7-E2276FEE4F4F}"/>
            </a:ext>
          </a:extLst>
        </xdr:cNvPr>
        <xdr:cNvCxnSpPr>
          <a:stCxn id="13" idx="0"/>
        </xdr:cNvCxnSpPr>
      </xdr:nvCxnSpPr>
      <xdr:spPr>
        <a:xfrm flipH="1" flipV="1">
          <a:off x="5478780" y="2613660"/>
          <a:ext cx="177018" cy="1600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580291</xdr:colOff>
      <xdr:row>12</xdr:row>
      <xdr:rowOff>152402</xdr:rowOff>
    </xdr:from>
    <xdr:to>
      <xdr:col>6</xdr:col>
      <xdr:colOff>246184</xdr:colOff>
      <xdr:row>14</xdr:row>
      <xdr:rowOff>87924</xdr:rowOff>
    </xdr:to>
    <xdr:sp macro="" textlink="">
      <xdr:nvSpPr>
        <xdr:cNvPr id="13" name="Rectangle 12">
          <a:extLst>
            <a:ext uri="{FF2B5EF4-FFF2-40B4-BE49-F238E27FC236}">
              <a16:creationId xmlns:a16="http://schemas.microsoft.com/office/drawing/2014/main" id="{5ACF26DA-338A-4004-BEF4-2EFA25078DAF}"/>
            </a:ext>
          </a:extLst>
        </xdr:cNvPr>
        <xdr:cNvSpPr/>
      </xdr:nvSpPr>
      <xdr:spPr>
        <a:xfrm>
          <a:off x="3933091" y="2590802"/>
          <a:ext cx="1494693" cy="30128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Total Cash For Year</a:t>
          </a:r>
        </a:p>
      </xdr:txBody>
    </xdr:sp>
    <xdr:clientData/>
  </xdr:twoCellAnchor>
  <xdr:twoCellAnchor>
    <xdr:from>
      <xdr:col>3</xdr:col>
      <xdr:colOff>480060</xdr:colOff>
      <xdr:row>9</xdr:row>
      <xdr:rowOff>46838</xdr:rowOff>
    </xdr:from>
    <xdr:to>
      <xdr:col>4</xdr:col>
      <xdr:colOff>88145</xdr:colOff>
      <xdr:row>11</xdr:row>
      <xdr:rowOff>175260</xdr:rowOff>
    </xdr:to>
    <xdr:cxnSp macro="">
      <xdr:nvCxnSpPr>
        <xdr:cNvPr id="14" name="Straight Arrow Connector 13">
          <a:extLst>
            <a:ext uri="{FF2B5EF4-FFF2-40B4-BE49-F238E27FC236}">
              <a16:creationId xmlns:a16="http://schemas.microsoft.com/office/drawing/2014/main" id="{B542A2C8-7E4E-449D-9CE3-B38C63DD3A68}"/>
            </a:ext>
          </a:extLst>
        </xdr:cNvPr>
        <xdr:cNvCxnSpPr>
          <a:stCxn id="11" idx="2"/>
        </xdr:cNvCxnSpPr>
      </xdr:nvCxnSpPr>
      <xdr:spPr>
        <a:xfrm flipH="1">
          <a:off x="4808220" y="1936598"/>
          <a:ext cx="217685" cy="4941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0</xdr:colOff>
      <xdr:row>13</xdr:row>
      <xdr:rowOff>546100</xdr:rowOff>
    </xdr:to>
    <xdr:pic>
      <xdr:nvPicPr>
        <xdr:cNvPr id="83105" name="Picture 1">
          <a:extLst>
            <a:ext uri="{FF2B5EF4-FFF2-40B4-BE49-F238E27FC236}">
              <a16:creationId xmlns:a16="http://schemas.microsoft.com/office/drawing/2014/main" id="{6534474F-2DE5-66E8-54A8-C80FD91FA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3175" y="0"/>
          <a:ext cx="36576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15</xdr:row>
      <xdr:rowOff>0</xdr:rowOff>
    </xdr:from>
    <xdr:to>
      <xdr:col>12</xdr:col>
      <xdr:colOff>0</xdr:colOff>
      <xdr:row>30</xdr:row>
      <xdr:rowOff>123825</xdr:rowOff>
    </xdr:to>
    <xdr:pic>
      <xdr:nvPicPr>
        <xdr:cNvPr id="83106" name="Picture 2">
          <a:extLst>
            <a:ext uri="{FF2B5EF4-FFF2-40B4-BE49-F238E27FC236}">
              <a16:creationId xmlns:a16="http://schemas.microsoft.com/office/drawing/2014/main" id="{3DF6623E-DC6A-3FB9-7DD2-C2EC65B413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3175" y="2882900"/>
          <a:ext cx="36576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15</xdr:row>
      <xdr:rowOff>0</xdr:rowOff>
    </xdr:to>
    <xdr:pic>
      <xdr:nvPicPr>
        <xdr:cNvPr id="415116" name="Picture 1">
          <a:extLst>
            <a:ext uri="{FF2B5EF4-FFF2-40B4-BE49-F238E27FC236}">
              <a16:creationId xmlns:a16="http://schemas.microsoft.com/office/drawing/2014/main" id="{ED4EFD3E-4827-A502-7188-CC577E6E0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xdr:row>
      <xdr:rowOff>0</xdr:rowOff>
    </xdr:from>
    <xdr:to>
      <xdr:col>6</xdr:col>
      <xdr:colOff>0</xdr:colOff>
      <xdr:row>30</xdr:row>
      <xdr:rowOff>0</xdr:rowOff>
    </xdr:to>
    <xdr:pic>
      <xdr:nvPicPr>
        <xdr:cNvPr id="415117" name="Picture 2">
          <a:extLst>
            <a:ext uri="{FF2B5EF4-FFF2-40B4-BE49-F238E27FC236}">
              <a16:creationId xmlns:a16="http://schemas.microsoft.com/office/drawing/2014/main" id="{3BAC7C48-5D31-EFFC-EA61-89B78E5E94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09875"/>
          <a:ext cx="36576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6</xdr:col>
      <xdr:colOff>0</xdr:colOff>
      <xdr:row>45</xdr:row>
      <xdr:rowOff>0</xdr:rowOff>
    </xdr:to>
    <xdr:pic>
      <xdr:nvPicPr>
        <xdr:cNvPr id="415118" name="Picture 3">
          <a:extLst>
            <a:ext uri="{FF2B5EF4-FFF2-40B4-BE49-F238E27FC236}">
              <a16:creationId xmlns:a16="http://schemas.microsoft.com/office/drawing/2014/main" id="{0631C75F-0EB9-BF60-E471-60FA78E558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19750"/>
          <a:ext cx="36576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6</xdr:col>
      <xdr:colOff>0</xdr:colOff>
      <xdr:row>60</xdr:row>
      <xdr:rowOff>0</xdr:rowOff>
    </xdr:to>
    <xdr:pic>
      <xdr:nvPicPr>
        <xdr:cNvPr id="415119" name="Picture 4">
          <a:extLst>
            <a:ext uri="{FF2B5EF4-FFF2-40B4-BE49-F238E27FC236}">
              <a16:creationId xmlns:a16="http://schemas.microsoft.com/office/drawing/2014/main" id="{D80B8D4E-652B-C6E9-E648-A5CF284065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429625"/>
          <a:ext cx="36576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6</xdr:col>
      <xdr:colOff>0</xdr:colOff>
      <xdr:row>75</xdr:row>
      <xdr:rowOff>0</xdr:rowOff>
    </xdr:to>
    <xdr:pic>
      <xdr:nvPicPr>
        <xdr:cNvPr id="415120" name="Picture 5">
          <a:extLst>
            <a:ext uri="{FF2B5EF4-FFF2-40B4-BE49-F238E27FC236}">
              <a16:creationId xmlns:a16="http://schemas.microsoft.com/office/drawing/2014/main" id="{24F0DF97-EE5B-234D-A55E-E803A96CBC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1239500"/>
          <a:ext cx="36576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412750</xdr:colOff>
      <xdr:row>0</xdr:row>
      <xdr:rowOff>0</xdr:rowOff>
    </xdr:from>
    <xdr:to>
      <xdr:col>19</xdr:col>
      <xdr:colOff>412750</xdr:colOff>
      <xdr:row>17</xdr:row>
      <xdr:rowOff>38100</xdr:rowOff>
    </xdr:to>
    <xdr:pic>
      <xdr:nvPicPr>
        <xdr:cNvPr id="142474" name="Picture 5">
          <a:extLst>
            <a:ext uri="{FF2B5EF4-FFF2-40B4-BE49-F238E27FC236}">
              <a16:creationId xmlns:a16="http://schemas.microsoft.com/office/drawing/2014/main" id="{3C34EFBC-4F6F-BD3F-129A-1129D7B66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0"/>
          <a:ext cx="5495925" cy="331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174625</xdr:colOff>
      <xdr:row>1</xdr:row>
      <xdr:rowOff>171450</xdr:rowOff>
    </xdr:from>
    <xdr:to>
      <xdr:col>11</xdr:col>
      <xdr:colOff>479425</xdr:colOff>
      <xdr:row>13</xdr:row>
      <xdr:rowOff>123825</xdr:rowOff>
    </xdr:to>
    <xdr:grpSp>
      <xdr:nvGrpSpPr>
        <xdr:cNvPr id="101911" name="Group 1">
          <a:extLst>
            <a:ext uri="{FF2B5EF4-FFF2-40B4-BE49-F238E27FC236}">
              <a16:creationId xmlns:a16="http://schemas.microsoft.com/office/drawing/2014/main" id="{6D8D04AE-63E4-21A3-7932-9810679DC890}"/>
            </a:ext>
          </a:extLst>
        </xdr:cNvPr>
        <xdr:cNvGrpSpPr>
          <a:grpSpLocks/>
        </xdr:cNvGrpSpPr>
      </xdr:nvGrpSpPr>
      <xdr:grpSpPr bwMode="auto">
        <a:xfrm>
          <a:off x="4333240" y="354965"/>
          <a:ext cx="4572000" cy="2577465"/>
          <a:chOff x="3794760" y="342900"/>
          <a:chExt cx="4572000" cy="2750820"/>
        </a:xfrm>
      </xdr:grpSpPr>
      <xdr:graphicFrame macro="">
        <xdr:nvGraphicFramePr>
          <xdr:cNvPr id="101912" name="Chart 4">
            <a:extLst>
              <a:ext uri="{FF2B5EF4-FFF2-40B4-BE49-F238E27FC236}">
                <a16:creationId xmlns:a16="http://schemas.microsoft.com/office/drawing/2014/main" id="{0EE9B1DF-C56D-0D75-A57F-4BD314C9000B}"/>
              </a:ext>
            </a:extLst>
          </xdr:cNvPr>
          <xdr:cNvGraphicFramePr>
            <a:graphicFrameLocks/>
          </xdr:cNvGraphicFramePr>
        </xdr:nvGraphicFramePr>
        <xdr:xfrm>
          <a:off x="3794760" y="342900"/>
          <a:ext cx="4572000" cy="275082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3" name="Straight Arrow Connector 12">
            <a:extLst>
              <a:ext uri="{FF2B5EF4-FFF2-40B4-BE49-F238E27FC236}">
                <a16:creationId xmlns:a16="http://schemas.microsoft.com/office/drawing/2014/main" id="{D8FB2E87-E303-CEF6-7ADB-C6919097D561}"/>
              </a:ext>
            </a:extLst>
          </xdr:cNvPr>
          <xdr:cNvCxnSpPr/>
        </xdr:nvCxnSpPr>
        <xdr:spPr bwMode="auto">
          <a:xfrm flipH="1">
            <a:off x="6605130" y="759505"/>
            <a:ext cx="25347" cy="10108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C$12">
        <xdr:nvSpPr>
          <xdr:cNvPr id="11" name="Rectangle 10">
            <a:extLst>
              <a:ext uri="{FF2B5EF4-FFF2-40B4-BE49-F238E27FC236}">
                <a16:creationId xmlns:a16="http://schemas.microsoft.com/office/drawing/2014/main" id="{668BEF95-7685-FC30-6375-B0EE151670CA}"/>
              </a:ext>
            </a:extLst>
          </xdr:cNvPr>
          <xdr:cNvSpPr/>
        </xdr:nvSpPr>
        <xdr:spPr bwMode="auto">
          <a:xfrm>
            <a:off x="5799153" y="730716"/>
            <a:ext cx="1720441" cy="25731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FF616B75-1AC2-49A2-A0D1-BC7346A47A80}" type="TxLink">
              <a:rPr lang="en-US" sz="1100">
                <a:solidFill>
                  <a:sysClr val="windowText" lastClr="000000"/>
                </a:solidFill>
              </a:rPr>
              <a:pPr algn="l"/>
              <a:t>16.50% = IRR ==&gt; (NPV = 0)</a:t>
            </a:fld>
            <a:endParaRPr lang="en-US" sz="1100">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234950</xdr:colOff>
      <xdr:row>0</xdr:row>
      <xdr:rowOff>171450</xdr:rowOff>
    </xdr:from>
    <xdr:to>
      <xdr:col>10</xdr:col>
      <xdr:colOff>539750</xdr:colOff>
      <xdr:row>16</xdr:row>
      <xdr:rowOff>101600</xdr:rowOff>
    </xdr:to>
    <xdr:graphicFrame macro="">
      <xdr:nvGraphicFramePr>
        <xdr:cNvPr id="179316" name="Chart 1">
          <a:extLst>
            <a:ext uri="{FF2B5EF4-FFF2-40B4-BE49-F238E27FC236}">
              <a16:creationId xmlns:a16="http://schemas.microsoft.com/office/drawing/2014/main" id="{D9E16C4F-7AC8-E8CA-8C78-313C60D96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381000</xdr:colOff>
      <xdr:row>7</xdr:row>
      <xdr:rowOff>7620</xdr:rowOff>
    </xdr:from>
    <xdr:to>
      <xdr:col>9</xdr:col>
      <xdr:colOff>263525</xdr:colOff>
      <xdr:row>23</xdr:row>
      <xdr:rowOff>31750</xdr:rowOff>
    </xdr:to>
    <xdr:graphicFrame macro="">
      <xdr:nvGraphicFramePr>
        <xdr:cNvPr id="273508" name="Chart 1">
          <a:extLst>
            <a:ext uri="{FF2B5EF4-FFF2-40B4-BE49-F238E27FC236}">
              <a16:creationId xmlns:a16="http://schemas.microsoft.com/office/drawing/2014/main" id="{29B8169E-61BB-5A77-091A-19C191CCC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0.24575</cdr:x>
      <cdr:y>0.15079</cdr:y>
    </cdr:from>
    <cdr:to>
      <cdr:x>0.84132</cdr:x>
      <cdr:y>0.37946</cdr:y>
    </cdr:to>
    <cdr:grpSp>
      <cdr:nvGrpSpPr>
        <cdr:cNvPr id="16" name="Group 15">
          <a:extLst xmlns:a="http://schemas.openxmlformats.org/drawingml/2006/main">
            <a:ext uri="{FF2B5EF4-FFF2-40B4-BE49-F238E27FC236}">
              <a16:creationId xmlns:a16="http://schemas.microsoft.com/office/drawing/2014/main" id="{62326428-DECD-1B99-C0CB-831CDA2D9809}"/>
            </a:ext>
          </a:extLst>
        </cdr:cNvPr>
        <cdr:cNvGrpSpPr/>
      </cdr:nvGrpSpPr>
      <cdr:grpSpPr>
        <a:xfrm xmlns:a="http://schemas.openxmlformats.org/drawingml/2006/main">
          <a:off x="1122789" y="448309"/>
          <a:ext cx="2721055" cy="679852"/>
          <a:chOff x="1177527" y="411924"/>
          <a:chExt cx="2660721" cy="625085"/>
        </a:xfrm>
      </cdr:grpSpPr>
      <cdr:cxnSp macro="">
        <cdr:nvCxnSpPr>
          <cdr:cNvPr id="10" name="Straight Arrow Connector 9">
            <a:extLst xmlns:a="http://schemas.openxmlformats.org/drawingml/2006/main">
              <a:ext uri="{FF2B5EF4-FFF2-40B4-BE49-F238E27FC236}">
                <a16:creationId xmlns:a16="http://schemas.microsoft.com/office/drawing/2014/main" id="{2D42E99E-172E-90E6-AAE1-ECC5FC08E345}"/>
              </a:ext>
            </a:extLst>
          </cdr:cNvPr>
          <cdr:cNvCxnSpPr/>
        </cdr:nvCxnSpPr>
        <cdr:spPr>
          <a:xfrm xmlns:a="http://schemas.openxmlformats.org/drawingml/2006/main">
            <a:off x="1450367" y="756458"/>
            <a:ext cx="170665" cy="27999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 name="Straight Arrow Connector 13">
            <a:extLst xmlns:a="http://schemas.openxmlformats.org/drawingml/2006/main">
              <a:ext uri="{FF2B5EF4-FFF2-40B4-BE49-F238E27FC236}">
                <a16:creationId xmlns:a16="http://schemas.microsoft.com/office/drawing/2014/main" id="{F121E7C3-4D95-4AC9-3E0C-FF1B97C0D118}"/>
              </a:ext>
            </a:extLst>
          </cdr:cNvPr>
          <cdr:cNvCxnSpPr/>
        </cdr:nvCxnSpPr>
        <cdr:spPr>
          <a:xfrm xmlns:a="http://schemas.openxmlformats.org/drawingml/2006/main" flipH="1">
            <a:off x="3063240" y="756659"/>
            <a:ext cx="408439" cy="28035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EX(8an)'!$C$50">
        <cdr:nvSpPr>
          <cdr:cNvPr id="3" name="Rectangle 2"/>
          <cdr:cNvSpPr/>
        </cdr:nvSpPr>
        <cdr:spPr bwMode="auto">
          <a:xfrm xmlns:a="http://schemas.openxmlformats.org/drawingml/2006/main">
            <a:off x="3239228" y="454046"/>
            <a:ext cx="599020" cy="465000"/>
          </a:xfrm>
          <a:prstGeom xmlns:a="http://schemas.openxmlformats.org/drawingml/2006/main" prst="rect">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fld id="{A0D9FEB5-2119-4FFC-8BB4-266ABFFE84E0}" type="TxLink">
              <a:rPr lang="en-US">
                <a:solidFill>
                  <a:sysClr val="windowText" lastClr="000000"/>
                </a:solidFill>
              </a:rPr>
              <a:pPr/>
              <a:t>Is IRR 48%?</a:t>
            </a:fld>
            <a:endParaRPr lang="en-US">
              <a:solidFill>
                <a:sysClr val="windowText" lastClr="000000"/>
              </a:solidFill>
            </a:endParaRPr>
          </a:p>
        </cdr:txBody>
      </cdr:sp>
      <cdr:sp macro="" textlink="'EX(8an)'!$C$16">
        <cdr:nvSpPr>
          <cdr:cNvPr id="2" name="Rectangle 1"/>
          <cdr:cNvSpPr/>
        </cdr:nvSpPr>
        <cdr:spPr bwMode="auto">
          <a:xfrm xmlns:a="http://schemas.openxmlformats.org/drawingml/2006/main">
            <a:off x="1177527" y="411924"/>
            <a:ext cx="530777" cy="457500"/>
          </a:xfrm>
          <a:prstGeom xmlns:a="http://schemas.openxmlformats.org/drawingml/2006/main" prst="rect">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fld id="{1CF9DC31-321F-4F59-B5A1-8AABB35D2CAA}" type="TxLink">
              <a:rPr lang="en-US">
                <a:solidFill>
                  <a:schemeClr val="tx1"/>
                </a:solidFill>
              </a:rPr>
              <a:pPr/>
              <a:t>Is IRR 14%?</a:t>
            </a:fld>
            <a:endParaRPr lang="en-US">
              <a:solidFill>
                <a:schemeClr val="tx1"/>
              </a:solidFill>
            </a:endParaRPr>
          </a:p>
        </cdr:txBody>
      </cdr:sp>
    </cdr:grpSp>
  </cdr:relSizeAnchor>
</c:userShapes>
</file>

<file path=xl/drawings/drawing14.xml><?xml version="1.0" encoding="utf-8"?>
<xdr:wsDr xmlns:xdr="http://schemas.openxmlformats.org/drawingml/2006/spreadsheetDrawing" xmlns:a="http://schemas.openxmlformats.org/drawingml/2006/main">
  <xdr:twoCellAnchor>
    <xdr:from>
      <xdr:col>6</xdr:col>
      <xdr:colOff>261284</xdr:colOff>
      <xdr:row>7</xdr:row>
      <xdr:rowOff>95437</xdr:rowOff>
    </xdr:from>
    <xdr:to>
      <xdr:col>13</xdr:col>
      <xdr:colOff>278279</xdr:colOff>
      <xdr:row>21</xdr:row>
      <xdr:rowOff>95437</xdr:rowOff>
    </xdr:to>
    <xdr:graphicFrame macro="">
      <xdr:nvGraphicFramePr>
        <xdr:cNvPr id="1215499" name="Chart 1">
          <a:extLst>
            <a:ext uri="{FF2B5EF4-FFF2-40B4-BE49-F238E27FC236}">
              <a16:creationId xmlns:a16="http://schemas.microsoft.com/office/drawing/2014/main" id="{5B4A43D5-9FE4-54DC-5C47-5DEDDAB8A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419832</xdr:colOff>
      <xdr:row>5</xdr:row>
      <xdr:rowOff>79375</xdr:rowOff>
    </xdr:from>
    <xdr:to>
      <xdr:col>6</xdr:col>
      <xdr:colOff>432174</xdr:colOff>
      <xdr:row>11</xdr:row>
      <xdr:rowOff>152397</xdr:rowOff>
    </xdr:to>
    <xdr:sp macro="" textlink="">
      <xdr:nvSpPr>
        <xdr:cNvPr id="2" name="Rectangle 1">
          <a:extLst>
            <a:ext uri="{FF2B5EF4-FFF2-40B4-BE49-F238E27FC236}">
              <a16:creationId xmlns:a16="http://schemas.microsoft.com/office/drawing/2014/main" id="{283D554C-6E4D-32FD-B79A-B47EB78F8C14}"/>
            </a:ext>
          </a:extLst>
        </xdr:cNvPr>
        <xdr:cNvSpPr>
          <a:spLocks noGrp="1" noChangeArrowheads="1"/>
        </xdr:cNvSpPr>
      </xdr:nvSpPr>
      <xdr:spPr bwMode="auto">
        <a:xfrm>
          <a:off x="3171092" y="1055077"/>
          <a:ext cx="4189412" cy="1717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lr>
              <a:srgbClr val="000099"/>
            </a:buClr>
            <a:buSzPct val="75000"/>
            <a:buFont typeface="Wingdings" pitchFamily="2" charset="2"/>
            <a:buChar char="n"/>
            <a:defRPr sz="2800">
              <a:solidFill>
                <a:schemeClr val="tx1"/>
              </a:solidFill>
              <a:latin typeface="+mn-lt"/>
              <a:ea typeface="+mn-ea"/>
              <a:cs typeface="+mn-cs"/>
            </a:defRPr>
          </a:lvl1pPr>
          <a:lvl2pPr marL="742950" indent="-285750" algn="l" rtl="0" eaLnBrk="0" fontAlgn="base" hangingPunct="0">
            <a:spcBef>
              <a:spcPct val="20000"/>
            </a:spcBef>
            <a:spcAft>
              <a:spcPct val="0"/>
            </a:spcAft>
            <a:buClr>
              <a:srgbClr val="0000FF"/>
            </a:buClr>
            <a:buSzPct val="75000"/>
            <a:buFont typeface="Wingdings" pitchFamily="2" charset="2"/>
            <a:buChar char="n"/>
            <a:defRPr sz="2400">
              <a:solidFill>
                <a:schemeClr val="tx1"/>
              </a:solidFill>
              <a:latin typeface="+mn-lt"/>
            </a:defRPr>
          </a:lvl2pPr>
          <a:lvl3pPr marL="1143000" indent="-228600" algn="l" rtl="0" eaLnBrk="0" fontAlgn="base" hangingPunct="0">
            <a:spcBef>
              <a:spcPct val="20000"/>
            </a:spcBef>
            <a:spcAft>
              <a:spcPct val="0"/>
            </a:spcAft>
            <a:buClr>
              <a:srgbClr val="3366FF"/>
            </a:buClr>
            <a:buSzPct val="65000"/>
            <a:buFont typeface="Wingdings" pitchFamily="2" charset="2"/>
            <a:buChar char="n"/>
            <a:defRPr sz="2000">
              <a:solidFill>
                <a:schemeClr val="tx1"/>
              </a:solidFill>
              <a:latin typeface="+mn-lt"/>
            </a:defRPr>
          </a:lvl3pPr>
          <a:lvl4pPr marL="1600200" indent="-228600" algn="l" rtl="0" eaLnBrk="0" fontAlgn="base" hangingPunct="0">
            <a:spcBef>
              <a:spcPct val="20000"/>
            </a:spcBef>
            <a:spcAft>
              <a:spcPct val="0"/>
            </a:spcAft>
            <a:buClr>
              <a:srgbClr val="6699FF"/>
            </a:buClr>
            <a:buFont typeface="Wingdings" pitchFamily="2" charset="2"/>
            <a:buChar char="§"/>
            <a:defRPr sz="1800">
              <a:solidFill>
                <a:schemeClr val="tx1"/>
              </a:solidFill>
              <a:latin typeface="+mn-lt"/>
            </a:defRPr>
          </a:lvl4pPr>
          <a:lvl5pPr marL="2057400" indent="-228600" algn="l" rtl="0" eaLnBrk="0" fontAlgn="base" hangingPunct="0">
            <a:spcBef>
              <a:spcPct val="20000"/>
            </a:spcBef>
            <a:spcAft>
              <a:spcPct val="0"/>
            </a:spcAft>
            <a:buClr>
              <a:srgbClr val="99CCFF"/>
            </a:buClr>
            <a:buSzPct val="80000"/>
            <a:buFont typeface="Wingdings" pitchFamily="2" charset="2"/>
            <a:buChar char="§"/>
            <a:defRPr sz="1800">
              <a:solidFill>
                <a:schemeClr val="tx1"/>
              </a:solidFill>
              <a:latin typeface="+mn-lt"/>
            </a:defRPr>
          </a:lvl5pPr>
          <a:lvl6pPr marL="25146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6pPr>
          <a:lvl7pPr marL="29718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7pPr>
          <a:lvl8pPr marL="34290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8pPr>
          <a:lvl9pPr marL="38862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9pPr>
        </a:lstStyle>
        <a:p>
          <a:pPr eaLnBrk="1" hangingPunct="1"/>
          <a:r>
            <a:rPr lang="en-US" sz="1500"/>
            <a:t>Disadvantages</a:t>
          </a:r>
        </a:p>
        <a:p>
          <a:pPr lvl="1" eaLnBrk="1" hangingPunct="1"/>
          <a:r>
            <a:rPr lang="en-US" sz="1500"/>
            <a:t>May lead to incorrect decisions in comparisons of mutually exclusive investments</a:t>
          </a:r>
        </a:p>
        <a:p>
          <a:pPr lvl="1" eaLnBrk="1" hangingPunct="1"/>
          <a:r>
            <a:rPr lang="en-US" sz="1500"/>
            <a:t>Scale is not revealed</a:t>
          </a:r>
        </a:p>
        <a:p>
          <a:pPr lvl="1" eaLnBrk="1" hangingPunct="1"/>
          <a:r>
            <a:rPr lang="en-US" sz="1500"/>
            <a:t>10/5 = 1000/500</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416657</xdr:colOff>
      <xdr:row>5</xdr:row>
      <xdr:rowOff>79375</xdr:rowOff>
    </xdr:from>
    <xdr:to>
      <xdr:col>6</xdr:col>
      <xdr:colOff>432168</xdr:colOff>
      <xdr:row>11</xdr:row>
      <xdr:rowOff>152399</xdr:rowOff>
    </xdr:to>
    <xdr:sp macro="" textlink="">
      <xdr:nvSpPr>
        <xdr:cNvPr id="2" name="Rectangle 1">
          <a:extLst>
            <a:ext uri="{FF2B5EF4-FFF2-40B4-BE49-F238E27FC236}">
              <a16:creationId xmlns:a16="http://schemas.microsoft.com/office/drawing/2014/main" id="{BDD1C691-D3E1-FD9E-F19A-CE28C375324E}"/>
            </a:ext>
          </a:extLst>
        </xdr:cNvPr>
        <xdr:cNvSpPr>
          <a:spLocks noGrp="1" noChangeArrowheads="1"/>
        </xdr:cNvSpPr>
      </xdr:nvSpPr>
      <xdr:spPr bwMode="auto">
        <a:xfrm>
          <a:off x="3168747" y="1051560"/>
          <a:ext cx="4189999" cy="1722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lr>
              <a:srgbClr val="000099"/>
            </a:buClr>
            <a:buSzPct val="75000"/>
            <a:buFont typeface="Wingdings" pitchFamily="2" charset="2"/>
            <a:buChar char="n"/>
            <a:defRPr sz="2800">
              <a:solidFill>
                <a:schemeClr val="tx1"/>
              </a:solidFill>
              <a:latin typeface="+mn-lt"/>
              <a:ea typeface="+mn-ea"/>
              <a:cs typeface="+mn-cs"/>
            </a:defRPr>
          </a:lvl1pPr>
          <a:lvl2pPr marL="742950" indent="-285750" algn="l" rtl="0" eaLnBrk="0" fontAlgn="base" hangingPunct="0">
            <a:spcBef>
              <a:spcPct val="20000"/>
            </a:spcBef>
            <a:spcAft>
              <a:spcPct val="0"/>
            </a:spcAft>
            <a:buClr>
              <a:srgbClr val="0000FF"/>
            </a:buClr>
            <a:buSzPct val="75000"/>
            <a:buFont typeface="Wingdings" pitchFamily="2" charset="2"/>
            <a:buChar char="n"/>
            <a:defRPr sz="2400">
              <a:solidFill>
                <a:schemeClr val="tx1"/>
              </a:solidFill>
              <a:latin typeface="+mn-lt"/>
            </a:defRPr>
          </a:lvl2pPr>
          <a:lvl3pPr marL="1143000" indent="-228600" algn="l" rtl="0" eaLnBrk="0" fontAlgn="base" hangingPunct="0">
            <a:spcBef>
              <a:spcPct val="20000"/>
            </a:spcBef>
            <a:spcAft>
              <a:spcPct val="0"/>
            </a:spcAft>
            <a:buClr>
              <a:srgbClr val="3366FF"/>
            </a:buClr>
            <a:buSzPct val="65000"/>
            <a:buFont typeface="Wingdings" pitchFamily="2" charset="2"/>
            <a:buChar char="n"/>
            <a:defRPr sz="2000">
              <a:solidFill>
                <a:schemeClr val="tx1"/>
              </a:solidFill>
              <a:latin typeface="+mn-lt"/>
            </a:defRPr>
          </a:lvl3pPr>
          <a:lvl4pPr marL="1600200" indent="-228600" algn="l" rtl="0" eaLnBrk="0" fontAlgn="base" hangingPunct="0">
            <a:spcBef>
              <a:spcPct val="20000"/>
            </a:spcBef>
            <a:spcAft>
              <a:spcPct val="0"/>
            </a:spcAft>
            <a:buClr>
              <a:srgbClr val="6699FF"/>
            </a:buClr>
            <a:buFont typeface="Wingdings" pitchFamily="2" charset="2"/>
            <a:buChar char="§"/>
            <a:defRPr sz="1800">
              <a:solidFill>
                <a:schemeClr val="tx1"/>
              </a:solidFill>
              <a:latin typeface="+mn-lt"/>
            </a:defRPr>
          </a:lvl4pPr>
          <a:lvl5pPr marL="2057400" indent="-228600" algn="l" rtl="0" eaLnBrk="0" fontAlgn="base" hangingPunct="0">
            <a:spcBef>
              <a:spcPct val="20000"/>
            </a:spcBef>
            <a:spcAft>
              <a:spcPct val="0"/>
            </a:spcAft>
            <a:buClr>
              <a:srgbClr val="99CCFF"/>
            </a:buClr>
            <a:buSzPct val="80000"/>
            <a:buFont typeface="Wingdings" pitchFamily="2" charset="2"/>
            <a:buChar char="§"/>
            <a:defRPr sz="1800">
              <a:solidFill>
                <a:schemeClr val="tx1"/>
              </a:solidFill>
              <a:latin typeface="+mn-lt"/>
            </a:defRPr>
          </a:lvl5pPr>
          <a:lvl6pPr marL="25146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6pPr>
          <a:lvl7pPr marL="29718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7pPr>
          <a:lvl8pPr marL="34290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8pPr>
          <a:lvl9pPr marL="3886200" indent="-228600" algn="l" rtl="0" fontAlgn="base">
            <a:spcBef>
              <a:spcPct val="20000"/>
            </a:spcBef>
            <a:spcAft>
              <a:spcPct val="0"/>
            </a:spcAft>
            <a:buClr>
              <a:srgbClr val="99CCFF"/>
            </a:buClr>
            <a:buSzPct val="80000"/>
            <a:buFont typeface="Wingdings" pitchFamily="2" charset="2"/>
            <a:buChar char="§"/>
            <a:defRPr sz="1800">
              <a:solidFill>
                <a:schemeClr val="tx1"/>
              </a:solidFill>
              <a:latin typeface="+mn-lt"/>
            </a:defRPr>
          </a:lvl9pPr>
        </a:lstStyle>
        <a:p>
          <a:pPr eaLnBrk="1" hangingPunct="1"/>
          <a:r>
            <a:rPr lang="en-US" sz="1500"/>
            <a:t>Disadvantages</a:t>
          </a:r>
        </a:p>
        <a:p>
          <a:pPr lvl="1" eaLnBrk="1" hangingPunct="1"/>
          <a:r>
            <a:rPr lang="en-US" sz="1500"/>
            <a:t>May lead to incorrect decisions in comparisons of mutually exclusive investments</a:t>
          </a:r>
        </a:p>
        <a:p>
          <a:pPr lvl="1" eaLnBrk="1" hangingPunct="1"/>
          <a:r>
            <a:rPr lang="en-US" sz="1500"/>
            <a:t>Scale is not revealed</a:t>
          </a:r>
        </a:p>
        <a:p>
          <a:pPr lvl="1" eaLnBrk="1" hangingPunct="1"/>
          <a:r>
            <a:rPr lang="en-US" sz="1500"/>
            <a:t>10/5 = 1000/500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FDB6-7DB2-43EB-AB6F-D59A1AAEA569}">
  <sheetPr>
    <tabColor rgb="FF0000FF"/>
  </sheetPr>
  <dimension ref="A1:F6"/>
  <sheetViews>
    <sheetView showGridLines="0" zoomScale="130" zoomScaleNormal="130" workbookViewId="0"/>
  </sheetViews>
  <sheetFormatPr defaultColWidth="8.88671875" defaultRowHeight="13.2" x14ac:dyDescent="0.25"/>
  <cols>
    <col min="1" max="1" width="4.44140625" style="1" bestFit="1" customWidth="1"/>
    <col min="2" max="2" width="10.6640625" style="1" bestFit="1" customWidth="1"/>
    <col min="3" max="3" width="12" style="1" bestFit="1" customWidth="1"/>
    <col min="4" max="4" width="9.109375" style="1" bestFit="1" customWidth="1"/>
    <col min="5" max="5" width="21.44140625" style="5" customWidth="1"/>
    <col min="6" max="6" width="10.109375" style="1" bestFit="1" customWidth="1"/>
    <col min="7" max="16384" width="8.88671875" style="1"/>
  </cols>
  <sheetData>
    <row r="1" spans="1:6" x14ac:dyDescent="0.25">
      <c r="A1" s="2" t="s">
        <v>1</v>
      </c>
      <c r="B1" s="4">
        <v>-160000</v>
      </c>
    </row>
    <row r="2" spans="1:6" x14ac:dyDescent="0.25">
      <c r="A2" s="2" t="s">
        <v>2</v>
      </c>
      <c r="B2" s="4">
        <v>60000</v>
      </c>
      <c r="C2" s="2" t="s">
        <v>21</v>
      </c>
      <c r="D2" s="4">
        <f t="array" ref="D2:D4">TRANSPOSE('EX(6)'!B4:D4)</f>
        <v>0</v>
      </c>
    </row>
    <row r="3" spans="1:6" x14ac:dyDescent="0.25">
      <c r="A3" s="2" t="s">
        <v>3</v>
      </c>
      <c r="B3" s="4">
        <v>70000</v>
      </c>
      <c r="C3" s="2" t="s">
        <v>22</v>
      </c>
      <c r="D3" s="4">
        <v>0</v>
      </c>
    </row>
    <row r="4" spans="1:6" x14ac:dyDescent="0.25">
      <c r="A4" s="2" t="s">
        <v>4</v>
      </c>
      <c r="B4" s="4">
        <v>90000</v>
      </c>
      <c r="C4" s="2" t="s">
        <v>23</v>
      </c>
      <c r="D4" s="4">
        <v>0</v>
      </c>
    </row>
    <row r="5" spans="1:6" ht="26.4" x14ac:dyDescent="0.25">
      <c r="E5" s="6" t="s">
        <v>24</v>
      </c>
      <c r="F5" s="3">
        <v>0.15</v>
      </c>
    </row>
    <row r="6" spans="1:6" x14ac:dyDescent="0.25">
      <c r="E6" s="6" t="s">
        <v>13</v>
      </c>
      <c r="F6" s="4">
        <f>'EX(6)'!B16</f>
        <v>0</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3443-0617-4DDD-BBA0-7859359713DB}">
  <sheetPr>
    <tabColor rgb="FF0000FF"/>
  </sheetPr>
  <dimension ref="A1:E19"/>
  <sheetViews>
    <sheetView zoomScale="145" zoomScaleNormal="145" workbookViewId="0"/>
  </sheetViews>
  <sheetFormatPr defaultRowHeight="14.4" x14ac:dyDescent="0.3"/>
  <cols>
    <col min="2" max="2" width="37.21875" customWidth="1"/>
    <col min="3" max="3" width="12.33203125" bestFit="1" customWidth="1"/>
    <col min="4" max="4" width="2.88671875" customWidth="1"/>
    <col min="5" max="5" width="21.6640625" customWidth="1"/>
    <col min="6" max="6" width="12.6640625" bestFit="1" customWidth="1"/>
    <col min="7" max="7" width="16.44140625" bestFit="1" customWidth="1"/>
    <col min="8" max="8" width="10.5546875" bestFit="1" customWidth="1"/>
  </cols>
  <sheetData>
    <row r="1" spans="1:5" x14ac:dyDescent="0.3">
      <c r="A1" s="125" t="s">
        <v>202</v>
      </c>
      <c r="B1" s="125"/>
      <c r="C1" s="125"/>
      <c r="D1" s="125"/>
      <c r="E1" s="125"/>
    </row>
    <row r="2" spans="1:5" x14ac:dyDescent="0.3">
      <c r="B2" s="126" t="s">
        <v>203</v>
      </c>
      <c r="C2" s="123"/>
      <c r="D2" s="123"/>
      <c r="E2" s="124"/>
    </row>
    <row r="3" spans="1:5" x14ac:dyDescent="0.3">
      <c r="B3" s="127" t="s">
        <v>204</v>
      </c>
      <c r="C3" s="123"/>
      <c r="D3" s="123"/>
      <c r="E3" s="124"/>
    </row>
    <row r="4" spans="1:5" x14ac:dyDescent="0.3">
      <c r="B4" s="128" t="s">
        <v>205</v>
      </c>
      <c r="C4" s="123"/>
      <c r="D4" s="123"/>
      <c r="E4" s="124"/>
    </row>
    <row r="5" spans="1:5" x14ac:dyDescent="0.3">
      <c r="B5" s="128" t="s">
        <v>206</v>
      </c>
      <c r="C5" s="123"/>
      <c r="D5" s="123"/>
      <c r="E5" s="124"/>
    </row>
    <row r="6" spans="1:5" x14ac:dyDescent="0.3">
      <c r="B6" s="127" t="s">
        <v>207</v>
      </c>
      <c r="C6" s="123"/>
      <c r="D6" s="123"/>
      <c r="E6" s="124"/>
    </row>
    <row r="7" spans="1:5" x14ac:dyDescent="0.3">
      <c r="A7" s="125" t="s">
        <v>208</v>
      </c>
      <c r="B7" s="125"/>
      <c r="C7" s="125"/>
      <c r="D7" s="125"/>
      <c r="E7" s="125"/>
    </row>
    <row r="8" spans="1:5" x14ac:dyDescent="0.3">
      <c r="B8" s="126" t="s">
        <v>209</v>
      </c>
      <c r="C8" s="123"/>
      <c r="D8" s="123"/>
      <c r="E8" s="124"/>
    </row>
    <row r="9" spans="1:5" x14ac:dyDescent="0.3">
      <c r="B9" s="126" t="s">
        <v>210</v>
      </c>
      <c r="C9" s="123"/>
      <c r="D9" s="123"/>
      <c r="E9" s="124"/>
    </row>
    <row r="10" spans="1:5" x14ac:dyDescent="0.3">
      <c r="B10" s="126" t="s">
        <v>211</v>
      </c>
      <c r="C10" s="123"/>
      <c r="D10" s="123"/>
      <c r="E10" s="124"/>
    </row>
    <row r="11" spans="1:5" x14ac:dyDescent="0.3">
      <c r="A11" s="125" t="s">
        <v>201</v>
      </c>
      <c r="B11" s="125"/>
      <c r="C11" s="125"/>
      <c r="D11" s="125"/>
      <c r="E11" s="125"/>
    </row>
    <row r="12" spans="1:5" ht="28.8" x14ac:dyDescent="0.3">
      <c r="B12" s="28" t="s">
        <v>194</v>
      </c>
      <c r="C12" s="106" t="s">
        <v>193</v>
      </c>
      <c r="D12" s="123"/>
      <c r="E12" s="124"/>
    </row>
    <row r="13" spans="1:5" ht="57.6" x14ac:dyDescent="0.3">
      <c r="B13" s="28" t="s">
        <v>196</v>
      </c>
      <c r="C13" s="106" t="s">
        <v>195</v>
      </c>
      <c r="D13" s="123"/>
      <c r="E13" s="124"/>
    </row>
    <row r="15" spans="1:5" x14ac:dyDescent="0.3">
      <c r="A15" s="125" t="s">
        <v>197</v>
      </c>
      <c r="B15" s="125"/>
      <c r="C15" s="125"/>
      <c r="D15" s="125"/>
      <c r="E15" s="125"/>
    </row>
    <row r="16" spans="1:5" x14ac:dyDescent="0.3">
      <c r="A16" s="7">
        <v>1</v>
      </c>
      <c r="B16" s="106" t="s">
        <v>198</v>
      </c>
      <c r="C16" s="123"/>
      <c r="D16" s="123"/>
      <c r="E16" s="124"/>
    </row>
    <row r="17" spans="1:5" x14ac:dyDescent="0.3">
      <c r="A17" s="7">
        <v>2</v>
      </c>
      <c r="B17" s="106" t="s">
        <v>199</v>
      </c>
      <c r="C17" s="123"/>
      <c r="D17" s="123"/>
      <c r="E17" s="124"/>
    </row>
    <row r="18" spans="1:5" x14ac:dyDescent="0.3">
      <c r="A18" s="7">
        <v>3</v>
      </c>
      <c r="B18" s="106" t="s">
        <v>200</v>
      </c>
      <c r="C18" s="123"/>
      <c r="D18" s="123"/>
      <c r="E18" s="124"/>
    </row>
    <row r="19" spans="1:5" x14ac:dyDescent="0.3">
      <c r="A19" s="7">
        <v>4</v>
      </c>
      <c r="B19" s="106" t="s">
        <v>212</v>
      </c>
      <c r="C19" s="123"/>
      <c r="D19" s="123"/>
      <c r="E19" s="1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54EF-4C66-4444-BF46-DE34D488D694}">
  <sheetPr>
    <tabColor rgb="FF0000FF"/>
  </sheetPr>
  <dimension ref="B1:F10"/>
  <sheetViews>
    <sheetView tabSelected="1" zoomScale="115" zoomScaleNormal="115" workbookViewId="0"/>
  </sheetViews>
  <sheetFormatPr defaultRowHeight="14.4" x14ac:dyDescent="0.3"/>
  <cols>
    <col min="2" max="2" width="37.21875" customWidth="1"/>
    <col min="3" max="3" width="12.33203125" bestFit="1" customWidth="1"/>
    <col min="4" max="4" width="2.88671875" customWidth="1"/>
    <col min="5" max="5" width="21.6640625" customWidth="1"/>
    <col min="6" max="6" width="12.6640625" bestFit="1" customWidth="1"/>
    <col min="7" max="7" width="16.44140625" bestFit="1" customWidth="1"/>
    <col min="8" max="8" width="10.5546875" bestFit="1" customWidth="1"/>
  </cols>
  <sheetData>
    <row r="1" spans="2:6" x14ac:dyDescent="0.3">
      <c r="B1" s="17" t="s">
        <v>113</v>
      </c>
      <c r="C1" s="7">
        <v>0.15</v>
      </c>
    </row>
    <row r="2" spans="2:6" x14ac:dyDescent="0.3">
      <c r="B2" s="17" t="s">
        <v>30</v>
      </c>
      <c r="C2" s="8">
        <v>-200000</v>
      </c>
      <c r="E2" s="18" t="s">
        <v>0</v>
      </c>
      <c r="F2" s="18" t="s">
        <v>32</v>
      </c>
    </row>
    <row r="3" spans="2:6" x14ac:dyDescent="0.3">
      <c r="B3" s="17" t="s">
        <v>27</v>
      </c>
      <c r="C3" s="8">
        <v>100000</v>
      </c>
      <c r="E3" s="7">
        <v>1</v>
      </c>
      <c r="F3" s="9"/>
    </row>
    <row r="4" spans="2:6" x14ac:dyDescent="0.3">
      <c r="B4" s="17" t="s">
        <v>28</v>
      </c>
      <c r="C4" s="8">
        <v>90000</v>
      </c>
      <c r="E4" s="7">
        <v>2</v>
      </c>
      <c r="F4" s="9"/>
    </row>
    <row r="5" spans="2:6" ht="15" thickBot="1" x14ac:dyDescent="0.35">
      <c r="B5" s="17" t="s">
        <v>29</v>
      </c>
      <c r="C5" s="8">
        <v>70000</v>
      </c>
      <c r="E5" s="10">
        <v>3</v>
      </c>
      <c r="F5" s="9"/>
    </row>
    <row r="6" spans="2:6" x14ac:dyDescent="0.3">
      <c r="E6" s="12" t="s">
        <v>31</v>
      </c>
      <c r="F6" s="13"/>
    </row>
    <row r="7" spans="2:6" x14ac:dyDescent="0.3">
      <c r="E7" s="30" t="str">
        <f>IF(F6&lt;&gt;"","Because (cost of asset "&amp;DOLLAR(-C2,0)&amp;") &lt;= (what we are willing to pay "&amp;DOLLAR(-F6,0)&amp;"), we will buy.","")</f>
        <v/>
      </c>
      <c r="F7" s="31"/>
    </row>
    <row r="8" spans="2:6" ht="15" thickBot="1" x14ac:dyDescent="0.35"/>
    <row r="9" spans="2:6" ht="29.4" thickBot="1" x14ac:dyDescent="0.35">
      <c r="E9" s="16" t="str">
        <f>"Value added by buying at "&amp;DOLLAR(-C2,0)&amp;" = NPV ="</f>
        <v>Value added by buying at $200,000 = NPV =</v>
      </c>
      <c r="F9" s="15"/>
    </row>
    <row r="10" spans="2:6" ht="15" thickTop="1"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2921-8606-46B0-BEA5-39CDB63E4730}">
  <sheetPr>
    <tabColor rgb="FFFF0000"/>
  </sheetPr>
  <dimension ref="A1:F10"/>
  <sheetViews>
    <sheetView zoomScale="115" zoomScaleNormal="115" workbookViewId="0"/>
  </sheetViews>
  <sheetFormatPr defaultRowHeight="14.4" x14ac:dyDescent="0.3"/>
  <cols>
    <col min="1" max="1" width="25.88671875" bestFit="1" customWidth="1"/>
    <col min="2" max="2" width="12.33203125" bestFit="1" customWidth="1"/>
    <col min="3" max="3" width="1.5546875" customWidth="1"/>
    <col min="4" max="4" width="20.109375" customWidth="1"/>
    <col min="5" max="5" width="12.6640625" bestFit="1" customWidth="1"/>
    <col min="6" max="6" width="16.44140625" bestFit="1" customWidth="1"/>
    <col min="7" max="7" width="10.5546875" bestFit="1" customWidth="1"/>
  </cols>
  <sheetData>
    <row r="1" spans="1:6" x14ac:dyDescent="0.3">
      <c r="A1" s="17" t="s">
        <v>113</v>
      </c>
      <c r="B1" s="7">
        <v>0.15</v>
      </c>
    </row>
    <row r="2" spans="1:6" x14ac:dyDescent="0.3">
      <c r="A2" s="17" t="s">
        <v>30</v>
      </c>
      <c r="B2" s="8">
        <v>-200000</v>
      </c>
      <c r="D2" s="18" t="s">
        <v>0</v>
      </c>
      <c r="E2" s="18" t="s">
        <v>32</v>
      </c>
    </row>
    <row r="3" spans="1:6" x14ac:dyDescent="0.3">
      <c r="A3" s="17" t="s">
        <v>27</v>
      </c>
      <c r="B3" s="8">
        <v>100000</v>
      </c>
      <c r="D3" s="7">
        <v>1</v>
      </c>
      <c r="E3" s="9">
        <f>PV($B$1,D3,,B3)</f>
        <v>-86956.521739130447</v>
      </c>
      <c r="F3" t="s">
        <v>33</v>
      </c>
    </row>
    <row r="4" spans="1:6" x14ac:dyDescent="0.3">
      <c r="A4" s="17" t="s">
        <v>28</v>
      </c>
      <c r="B4" s="8">
        <v>90000</v>
      </c>
      <c r="D4" s="7">
        <v>2</v>
      </c>
      <c r="E4" s="9">
        <f>PV($B$1,D4,,B4)</f>
        <v>-68052.930056710786</v>
      </c>
      <c r="F4" t="s">
        <v>34</v>
      </c>
    </row>
    <row r="5" spans="1:6" ht="15" thickBot="1" x14ac:dyDescent="0.35">
      <c r="A5" s="17" t="s">
        <v>29</v>
      </c>
      <c r="B5" s="8">
        <v>70000</v>
      </c>
      <c r="D5" s="10">
        <v>3</v>
      </c>
      <c r="E5" s="11">
        <f>PV($B$1,D5,,B5)</f>
        <v>-46026.136270239185</v>
      </c>
      <c r="F5" t="s">
        <v>35</v>
      </c>
    </row>
    <row r="6" spans="1:6" x14ac:dyDescent="0.3">
      <c r="D6" s="12" t="s">
        <v>31</v>
      </c>
      <c r="E6" s="13">
        <f>SUM(E3:E5)</f>
        <v>-201035.58806608041</v>
      </c>
      <c r="F6" t="s">
        <v>36</v>
      </c>
    </row>
    <row r="7" spans="1:6" x14ac:dyDescent="0.3">
      <c r="D7" s="19" t="str">
        <f>"Because (cost of asset "&amp;DOLLAR(-B2,0)&amp;") &lt;= (what we are willing to pay "&amp;DOLLAR(-E6,0)&amp;"), we will buy."</f>
        <v>Because (cost of asset $200,000) &lt;= (what we are willing to pay $201,036), we will buy.</v>
      </c>
      <c r="E7" s="20"/>
    </row>
    <row r="8" spans="1:6" ht="15" thickBot="1" x14ac:dyDescent="0.35"/>
    <row r="9" spans="1:6" ht="29.4" thickBot="1" x14ac:dyDescent="0.35">
      <c r="D9" s="16" t="str">
        <f>"Value added by buying at "&amp;DOLLAR(-B2,0)&amp;" = NPV ="</f>
        <v>Value added by buying at $200,000 = NPV =</v>
      </c>
      <c r="E9" s="15">
        <f>-E6+B2</f>
        <v>1035.5880660804105</v>
      </c>
      <c r="F9" t="s">
        <v>37</v>
      </c>
    </row>
    <row r="10" spans="1:6" ht="15" thickTop="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DD27-1C22-4347-AE0C-35B4D0ECE110}">
  <sheetPr>
    <tabColor rgb="FF0000FF"/>
  </sheetPr>
  <dimension ref="A1:B9"/>
  <sheetViews>
    <sheetView zoomScaleNormal="100" workbookViewId="0"/>
  </sheetViews>
  <sheetFormatPr defaultRowHeight="14.4" x14ac:dyDescent="0.3"/>
  <cols>
    <col min="1" max="1" width="24.88671875" customWidth="1"/>
    <col min="2" max="2" width="14.5546875" customWidth="1"/>
    <col min="3" max="3" width="18.109375" customWidth="1"/>
    <col min="4" max="4" width="20.109375" customWidth="1"/>
    <col min="5" max="5" width="12.6640625" bestFit="1" customWidth="1"/>
    <col min="6" max="6" width="16.44140625" bestFit="1" customWidth="1"/>
    <col min="7" max="7" width="10.5546875" bestFit="1" customWidth="1"/>
  </cols>
  <sheetData>
    <row r="1" spans="1:2" x14ac:dyDescent="0.3">
      <c r="A1" s="17" t="s">
        <v>114</v>
      </c>
      <c r="B1" s="7">
        <v>0.15</v>
      </c>
    </row>
    <row r="2" spans="1:2" x14ac:dyDescent="0.3">
      <c r="A2" s="17" t="s">
        <v>30</v>
      </c>
      <c r="B2" s="8">
        <v>-200000</v>
      </c>
    </row>
    <row r="3" spans="1:2" x14ac:dyDescent="0.3">
      <c r="A3" s="17" t="s">
        <v>27</v>
      </c>
      <c r="B3" s="8">
        <v>100000</v>
      </c>
    </row>
    <row r="4" spans="1:2" x14ac:dyDescent="0.3">
      <c r="A4" s="17" t="s">
        <v>28</v>
      </c>
      <c r="B4" s="8">
        <v>90000</v>
      </c>
    </row>
    <row r="5" spans="1:2" x14ac:dyDescent="0.3">
      <c r="A5" s="17" t="s">
        <v>29</v>
      </c>
      <c r="B5" s="8">
        <v>70000</v>
      </c>
    </row>
    <row r="6" spans="1:2" ht="28.8" x14ac:dyDescent="0.3">
      <c r="A6" s="29" t="s">
        <v>39</v>
      </c>
      <c r="B6" s="9"/>
    </row>
    <row r="8" spans="1:2" ht="31.2" x14ac:dyDescent="0.35">
      <c r="A8" s="24" t="s">
        <v>38</v>
      </c>
      <c r="B8" s="25"/>
    </row>
    <row r="9" spans="1:2" x14ac:dyDescent="0.3">
      <c r="A9" s="24" t="s">
        <v>26</v>
      </c>
      <c r="B9" s="2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763C-4D73-4094-B47A-58ACE08A6AAD}">
  <sheetPr>
    <tabColor rgb="FFFF0000"/>
  </sheetPr>
  <dimension ref="A1:C9"/>
  <sheetViews>
    <sheetView zoomScaleNormal="100" workbookViewId="0"/>
  </sheetViews>
  <sheetFormatPr defaultRowHeight="14.4" x14ac:dyDescent="0.3"/>
  <cols>
    <col min="1" max="1" width="24.88671875" customWidth="1"/>
    <col min="2" max="2" width="14.5546875" customWidth="1"/>
    <col min="3" max="3" width="18.109375" customWidth="1"/>
    <col min="4" max="4" width="20.109375" customWidth="1"/>
    <col min="5" max="5" width="12.6640625" bestFit="1" customWidth="1"/>
    <col min="6" max="6" width="16.44140625" bestFit="1" customWidth="1"/>
    <col min="7" max="7" width="10.5546875" bestFit="1" customWidth="1"/>
  </cols>
  <sheetData>
    <row r="1" spans="1:3" x14ac:dyDescent="0.3">
      <c r="A1" s="17" t="s">
        <v>114</v>
      </c>
      <c r="B1" s="7">
        <v>0.15</v>
      </c>
    </row>
    <row r="2" spans="1:3" x14ac:dyDescent="0.3">
      <c r="A2" s="17" t="s">
        <v>30</v>
      </c>
      <c r="B2" s="8">
        <v>-200000</v>
      </c>
    </row>
    <row r="3" spans="1:3" x14ac:dyDescent="0.3">
      <c r="A3" s="17" t="s">
        <v>27</v>
      </c>
      <c r="B3" s="8">
        <v>100000</v>
      </c>
    </row>
    <row r="4" spans="1:3" x14ac:dyDescent="0.3">
      <c r="A4" s="17" t="s">
        <v>28</v>
      </c>
      <c r="B4" s="8">
        <v>90000</v>
      </c>
    </row>
    <row r="5" spans="1:3" x14ac:dyDescent="0.3">
      <c r="A5" s="17" t="s">
        <v>29</v>
      </c>
      <c r="B5" s="8">
        <v>70000</v>
      </c>
    </row>
    <row r="6" spans="1:3" ht="28.8" x14ac:dyDescent="0.3">
      <c r="A6" s="29" t="s">
        <v>39</v>
      </c>
      <c r="B6" s="9">
        <f>NPV(B1,B3:B5)+B2</f>
        <v>1035.5880660804396</v>
      </c>
      <c r="C6" t="s">
        <v>40</v>
      </c>
    </row>
    <row r="8" spans="1:3" ht="31.2" x14ac:dyDescent="0.35">
      <c r="A8" s="24" t="s">
        <v>38</v>
      </c>
      <c r="B8" s="25"/>
    </row>
    <row r="9" spans="1:3" x14ac:dyDescent="0.3">
      <c r="A9" s="24" t="s">
        <v>26</v>
      </c>
      <c r="B9" s="25"/>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CCE6-A6A9-45CA-8A76-0A32B245A90F}">
  <sheetPr>
    <tabColor rgb="FF0000FF"/>
  </sheetPr>
  <dimension ref="A1:G48"/>
  <sheetViews>
    <sheetView zoomScale="85" zoomScaleNormal="85" workbookViewId="0"/>
  </sheetViews>
  <sheetFormatPr defaultRowHeight="14.4" x14ac:dyDescent="0.3"/>
  <cols>
    <col min="2" max="2" width="12.5546875" customWidth="1"/>
    <col min="3" max="3" width="20.109375" customWidth="1"/>
    <col min="4" max="4" width="15.5546875" customWidth="1"/>
    <col min="5" max="5" width="19" bestFit="1" customWidth="1"/>
  </cols>
  <sheetData>
    <row r="1" spans="1:7" x14ac:dyDescent="0.3">
      <c r="A1" s="34" t="s">
        <v>51</v>
      </c>
      <c r="B1" s="35"/>
      <c r="C1" s="35"/>
      <c r="D1" s="36"/>
    </row>
    <row r="3" spans="1:7" x14ac:dyDescent="0.3">
      <c r="A3" s="17" t="s">
        <v>47</v>
      </c>
      <c r="B3" s="17" t="s">
        <v>48</v>
      </c>
      <c r="C3" s="17" t="s">
        <v>49</v>
      </c>
      <c r="D3" s="17" t="s">
        <v>50</v>
      </c>
    </row>
    <row r="4" spans="1:7" x14ac:dyDescent="0.3">
      <c r="A4" s="7" t="s">
        <v>41</v>
      </c>
      <c r="B4" s="32">
        <v>-100000</v>
      </c>
      <c r="C4" s="32"/>
      <c r="D4" s="107"/>
      <c r="G4" s="37" t="s">
        <v>54</v>
      </c>
    </row>
    <row r="5" spans="1:7" x14ac:dyDescent="0.3">
      <c r="A5" s="7" t="s">
        <v>42</v>
      </c>
      <c r="B5" s="32">
        <v>-28000</v>
      </c>
      <c r="C5" s="32">
        <v>80000</v>
      </c>
      <c r="D5" s="107"/>
      <c r="G5" s="26"/>
    </row>
    <row r="6" spans="1:7" x14ac:dyDescent="0.3">
      <c r="A6" s="7" t="s">
        <v>43</v>
      </c>
      <c r="B6" s="32">
        <v>-16500</v>
      </c>
      <c r="C6" s="32">
        <v>60000</v>
      </c>
      <c r="D6" s="107"/>
      <c r="G6" s="26"/>
    </row>
    <row r="7" spans="1:7" x14ac:dyDescent="0.3">
      <c r="A7" s="7" t="s">
        <v>44</v>
      </c>
      <c r="B7" s="32">
        <v>-15000</v>
      </c>
      <c r="C7" s="32">
        <v>40000</v>
      </c>
      <c r="D7" s="107"/>
      <c r="G7" s="26"/>
    </row>
    <row r="8" spans="1:7" x14ac:dyDescent="0.3">
      <c r="A8" s="7" t="s">
        <v>45</v>
      </c>
      <c r="B8" s="32">
        <v>-10000</v>
      </c>
      <c r="C8" s="32">
        <v>35000</v>
      </c>
      <c r="D8" s="107"/>
      <c r="G8" s="26"/>
    </row>
    <row r="9" spans="1:7" x14ac:dyDescent="0.3">
      <c r="A9" s="7" t="s">
        <v>46</v>
      </c>
      <c r="B9" s="32">
        <v>-20000</v>
      </c>
      <c r="C9" s="32">
        <v>18000</v>
      </c>
      <c r="D9" s="107"/>
      <c r="G9" s="26"/>
    </row>
    <row r="11" spans="1:7" x14ac:dyDescent="0.3">
      <c r="A11" t="s">
        <v>109</v>
      </c>
      <c r="C11" s="7" t="s">
        <v>114</v>
      </c>
      <c r="D11" s="7">
        <v>0.2</v>
      </c>
    </row>
    <row r="12" spans="1:7" x14ac:dyDescent="0.3">
      <c r="C12" s="7" t="s">
        <v>6</v>
      </c>
      <c r="D12" s="33"/>
      <c r="G12" s="33"/>
    </row>
    <row r="13" spans="1:7" x14ac:dyDescent="0.3">
      <c r="C13" s="7" t="s">
        <v>52</v>
      </c>
      <c r="D13" s="7" t="s">
        <v>53</v>
      </c>
    </row>
    <row r="14" spans="1:7" x14ac:dyDescent="0.3">
      <c r="C14" s="7" t="s">
        <v>7</v>
      </c>
      <c r="D14" s="130"/>
    </row>
    <row r="15" spans="1:7" x14ac:dyDescent="0.3">
      <c r="C15" s="52" t="s">
        <v>98</v>
      </c>
      <c r="D15" s="53"/>
    </row>
    <row r="16" spans="1:7" x14ac:dyDescent="0.3">
      <c r="C16" s="51" t="str">
        <f>C11</f>
        <v>Annual RRR (Discount)</v>
      </c>
      <c r="D16" s="51" t="s">
        <v>99</v>
      </c>
      <c r="E16" s="17" t="s">
        <v>100</v>
      </c>
    </row>
    <row r="17" spans="3:5" x14ac:dyDescent="0.3">
      <c r="C17" s="50">
        <v>0.05</v>
      </c>
      <c r="D17" s="49"/>
      <c r="E17" s="49"/>
    </row>
    <row r="18" spans="3:5" x14ac:dyDescent="0.3">
      <c r="C18" s="50">
        <v>0.06</v>
      </c>
      <c r="D18" s="49"/>
      <c r="E18" s="49"/>
    </row>
    <row r="19" spans="3:5" x14ac:dyDescent="0.3">
      <c r="C19" s="50">
        <v>7.0000000000000007E-2</v>
      </c>
      <c r="D19" s="49"/>
      <c r="E19" s="49"/>
    </row>
    <row r="20" spans="3:5" x14ac:dyDescent="0.3">
      <c r="C20" s="50">
        <v>0.08</v>
      </c>
      <c r="D20" s="49"/>
      <c r="E20" s="49"/>
    </row>
    <row r="21" spans="3:5" x14ac:dyDescent="0.3">
      <c r="C21" s="50">
        <v>0.09</v>
      </c>
      <c r="D21" s="49"/>
      <c r="E21" s="49"/>
    </row>
    <row r="22" spans="3:5" x14ac:dyDescent="0.3">
      <c r="C22" s="50">
        <v>0.1</v>
      </c>
      <c r="D22" s="49"/>
      <c r="E22" s="49"/>
    </row>
    <row r="23" spans="3:5" x14ac:dyDescent="0.3">
      <c r="C23" s="50">
        <v>0.11</v>
      </c>
      <c r="D23" s="49"/>
      <c r="E23" s="49"/>
    </row>
    <row r="24" spans="3:5" x14ac:dyDescent="0.3">
      <c r="C24" s="50">
        <v>0.12</v>
      </c>
      <c r="D24" s="49"/>
      <c r="E24" s="49"/>
    </row>
    <row r="25" spans="3:5" x14ac:dyDescent="0.3">
      <c r="C25" s="50">
        <v>0.13</v>
      </c>
      <c r="D25" s="49"/>
      <c r="E25" s="49"/>
    </row>
    <row r="26" spans="3:5" x14ac:dyDescent="0.3">
      <c r="C26" s="50">
        <v>0.14000000000000001</v>
      </c>
      <c r="D26" s="49"/>
      <c r="E26" s="49"/>
    </row>
    <row r="27" spans="3:5" x14ac:dyDescent="0.3">
      <c r="C27" s="50">
        <v>0.15</v>
      </c>
      <c r="D27" s="49"/>
      <c r="E27" s="49"/>
    </row>
    <row r="28" spans="3:5" x14ac:dyDescent="0.3">
      <c r="C28" s="50">
        <v>0.16</v>
      </c>
      <c r="D28" s="49"/>
      <c r="E28" s="49"/>
    </row>
    <row r="29" spans="3:5" x14ac:dyDescent="0.3">
      <c r="C29" s="50">
        <v>0.17</v>
      </c>
      <c r="D29" s="49"/>
      <c r="E29" s="49"/>
    </row>
    <row r="30" spans="3:5" x14ac:dyDescent="0.3">
      <c r="C30" s="50">
        <v>0.18</v>
      </c>
      <c r="D30" s="49"/>
      <c r="E30" s="49"/>
    </row>
    <row r="31" spans="3:5" x14ac:dyDescent="0.3">
      <c r="C31" s="50">
        <v>0.19</v>
      </c>
      <c r="D31" s="49"/>
      <c r="E31" s="49"/>
    </row>
    <row r="32" spans="3:5" x14ac:dyDescent="0.3">
      <c r="C32" s="50">
        <v>0.2</v>
      </c>
      <c r="D32" s="49"/>
      <c r="E32" s="49"/>
    </row>
    <row r="33" spans="3:5" x14ac:dyDescent="0.3">
      <c r="C33" s="50">
        <v>0.21</v>
      </c>
      <c r="D33" s="49"/>
      <c r="E33" s="49"/>
    </row>
    <row r="34" spans="3:5" x14ac:dyDescent="0.3">
      <c r="C34" s="50">
        <v>0.22</v>
      </c>
      <c r="D34" s="49"/>
      <c r="E34" s="49"/>
    </row>
    <row r="35" spans="3:5" x14ac:dyDescent="0.3">
      <c r="C35" s="50">
        <v>0.23</v>
      </c>
      <c r="D35" s="49"/>
      <c r="E35" s="49"/>
    </row>
    <row r="36" spans="3:5" x14ac:dyDescent="0.3">
      <c r="C36" s="50">
        <v>0.24</v>
      </c>
      <c r="D36" s="49"/>
      <c r="E36" s="49"/>
    </row>
    <row r="37" spans="3:5" x14ac:dyDescent="0.3">
      <c r="C37" s="50">
        <v>0.25</v>
      </c>
      <c r="D37" s="49"/>
      <c r="E37" s="49"/>
    </row>
    <row r="38" spans="3:5" x14ac:dyDescent="0.3">
      <c r="C38" s="50">
        <v>0.26</v>
      </c>
      <c r="D38" s="49"/>
      <c r="E38" s="49"/>
    </row>
    <row r="39" spans="3:5" x14ac:dyDescent="0.3">
      <c r="C39" s="50">
        <v>0.27</v>
      </c>
      <c r="D39" s="49"/>
      <c r="E39" s="49"/>
    </row>
    <row r="40" spans="3:5" x14ac:dyDescent="0.3">
      <c r="C40" s="50">
        <v>0.28000000000000003</v>
      </c>
      <c r="D40" s="49"/>
      <c r="E40" s="49"/>
    </row>
    <row r="41" spans="3:5" x14ac:dyDescent="0.3">
      <c r="C41" s="50">
        <v>0.28999999999999998</v>
      </c>
      <c r="D41" s="49"/>
      <c r="E41" s="49"/>
    </row>
    <row r="42" spans="3:5" x14ac:dyDescent="0.3">
      <c r="C42" s="50">
        <v>0.3</v>
      </c>
      <c r="D42" s="49"/>
      <c r="E42" s="49"/>
    </row>
    <row r="43" spans="3:5" x14ac:dyDescent="0.3">
      <c r="C43" s="50">
        <v>0.31</v>
      </c>
      <c r="D43" s="49"/>
      <c r="E43" s="49"/>
    </row>
    <row r="44" spans="3:5" x14ac:dyDescent="0.3">
      <c r="C44" s="50">
        <v>0.32</v>
      </c>
      <c r="D44" s="49"/>
      <c r="E44" s="49"/>
    </row>
    <row r="45" spans="3:5" x14ac:dyDescent="0.3">
      <c r="C45" s="50">
        <v>0.33</v>
      </c>
      <c r="D45" s="49"/>
      <c r="E45" s="49"/>
    </row>
    <row r="46" spans="3:5" x14ac:dyDescent="0.3">
      <c r="C46" s="50">
        <v>0.34</v>
      </c>
      <c r="D46" s="49"/>
      <c r="E46" s="49"/>
    </row>
    <row r="47" spans="3:5" x14ac:dyDescent="0.3">
      <c r="C47" s="50">
        <v>0.35</v>
      </c>
      <c r="D47" s="49"/>
      <c r="E47" s="49"/>
    </row>
    <row r="48" spans="3:5" x14ac:dyDescent="0.3">
      <c r="C48" s="50">
        <v>0.36</v>
      </c>
      <c r="D48" s="49"/>
      <c r="E48" s="4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3A33-9E51-4F93-BA2D-A8E1BE4B1840}">
  <sheetPr>
    <tabColor rgb="FFFF0000"/>
  </sheetPr>
  <dimension ref="A1:G48"/>
  <sheetViews>
    <sheetView zoomScaleNormal="100" workbookViewId="0"/>
  </sheetViews>
  <sheetFormatPr defaultRowHeight="14.4" x14ac:dyDescent="0.3"/>
  <cols>
    <col min="2" max="2" width="11.6640625" bestFit="1" customWidth="1"/>
    <col min="3" max="3" width="19" customWidth="1"/>
    <col min="4" max="4" width="13.5546875" bestFit="1" customWidth="1"/>
    <col min="5" max="5" width="19" bestFit="1" customWidth="1"/>
    <col min="7" max="7" width="11.109375" bestFit="1" customWidth="1"/>
  </cols>
  <sheetData>
    <row r="1" spans="1:7" x14ac:dyDescent="0.3">
      <c r="A1" s="34" t="s">
        <v>51</v>
      </c>
      <c r="B1" s="35"/>
      <c r="C1" s="35"/>
      <c r="D1" s="36"/>
    </row>
    <row r="3" spans="1:7" x14ac:dyDescent="0.3">
      <c r="A3" s="17" t="s">
        <v>47</v>
      </c>
      <c r="B3" s="17" t="s">
        <v>48</v>
      </c>
      <c r="C3" s="17" t="s">
        <v>49</v>
      </c>
      <c r="D3" s="17" t="s">
        <v>50</v>
      </c>
    </row>
    <row r="4" spans="1:7" x14ac:dyDescent="0.3">
      <c r="A4" s="7" t="s">
        <v>41</v>
      </c>
      <c r="B4" s="32">
        <v>-100000</v>
      </c>
      <c r="C4" s="32"/>
      <c r="D4" s="32"/>
      <c r="G4" s="37" t="s">
        <v>54</v>
      </c>
    </row>
    <row r="5" spans="1:7" x14ac:dyDescent="0.3">
      <c r="A5" s="7" t="s">
        <v>42</v>
      </c>
      <c r="B5" s="32">
        <v>-28000</v>
      </c>
      <c r="C5" s="32">
        <v>80000</v>
      </c>
      <c r="D5" s="32">
        <f>SUM(B5:C5)</f>
        <v>52000</v>
      </c>
      <c r="G5" s="26" cm="1">
        <f t="array" ref="G5:G9">PV(D11,_xlfn.SEQUENCE(ROWS(D5:D9)),,D5:D9)</f>
        <v>-43333.333333333336</v>
      </c>
    </row>
    <row r="6" spans="1:7" x14ac:dyDescent="0.3">
      <c r="A6" s="7" t="s">
        <v>43</v>
      </c>
      <c r="B6" s="32">
        <v>-16500</v>
      </c>
      <c r="C6" s="32">
        <v>60000</v>
      </c>
      <c r="D6" s="32">
        <f>SUM(B6:C6)</f>
        <v>43500</v>
      </c>
      <c r="G6" s="26">
        <v>-30208.333333333336</v>
      </c>
    </row>
    <row r="7" spans="1:7" x14ac:dyDescent="0.3">
      <c r="A7" s="7" t="s">
        <v>44</v>
      </c>
      <c r="B7" s="32">
        <v>-15000</v>
      </c>
      <c r="C7" s="32">
        <v>40000</v>
      </c>
      <c r="D7" s="32">
        <f>SUM(B7:C7)</f>
        <v>25000</v>
      </c>
      <c r="G7" s="26">
        <v>-14467.592592592593</v>
      </c>
    </row>
    <row r="8" spans="1:7" x14ac:dyDescent="0.3">
      <c r="A8" s="7" t="s">
        <v>45</v>
      </c>
      <c r="B8" s="32">
        <v>-10000</v>
      </c>
      <c r="C8" s="32">
        <v>35000</v>
      </c>
      <c r="D8" s="32">
        <f>SUM(B8:C8)</f>
        <v>25000</v>
      </c>
      <c r="G8" s="26">
        <v>-12056.327160493827</v>
      </c>
    </row>
    <row r="9" spans="1:7" x14ac:dyDescent="0.3">
      <c r="A9" s="7" t="s">
        <v>46</v>
      </c>
      <c r="B9" s="32">
        <v>-20000</v>
      </c>
      <c r="C9" s="32">
        <v>18000</v>
      </c>
      <c r="D9" s="32">
        <f>SUM(B9:C9)</f>
        <v>-2000</v>
      </c>
      <c r="G9" s="26">
        <v>803.75514403292186</v>
      </c>
    </row>
    <row r="11" spans="1:7" x14ac:dyDescent="0.3">
      <c r="C11" s="7" t="s">
        <v>114</v>
      </c>
      <c r="D11" s="7">
        <v>0.2</v>
      </c>
    </row>
    <row r="12" spans="1:7" x14ac:dyDescent="0.3">
      <c r="C12" s="7" t="s">
        <v>6</v>
      </c>
      <c r="D12" s="33">
        <f>NPV(D11,D5:D9)+B4</f>
        <v>-738.16872427983617</v>
      </c>
      <c r="G12" s="33">
        <f>-SUM(G5:G9)+B4</f>
        <v>-738.16872427983617</v>
      </c>
    </row>
    <row r="13" spans="1:7" x14ac:dyDescent="0.3">
      <c r="C13" s="7" t="s">
        <v>52</v>
      </c>
      <c r="D13" s="7" t="s">
        <v>53</v>
      </c>
    </row>
    <row r="15" spans="1:7" x14ac:dyDescent="0.3">
      <c r="C15" s="52" t="s">
        <v>98</v>
      </c>
      <c r="D15" s="53"/>
    </row>
    <row r="16" spans="1:7" x14ac:dyDescent="0.3">
      <c r="C16" s="51" t="str">
        <f>C11</f>
        <v>Annual RRR (Discount)</v>
      </c>
      <c r="D16" s="51" t="s">
        <v>99</v>
      </c>
      <c r="E16" s="17" t="s">
        <v>100</v>
      </c>
    </row>
    <row r="17" spans="3:5" x14ac:dyDescent="0.3">
      <c r="C17" s="50">
        <v>0.05</v>
      </c>
      <c r="D17" s="49" cm="1">
        <f t="array" ref="D17:D48">NPV(C17:C48,D5:D9)+B4</f>
        <v>29576.04133688171</v>
      </c>
      <c r="E17" s="49" cm="1">
        <f t="array" ref="E17:E48">IF(_xlfn.ANCHORARRAY(D17)&lt;0,"",_xlfn.ANCHORARRAY(D17))</f>
        <v>29576.04133688171</v>
      </c>
    </row>
    <row r="18" spans="3:5" x14ac:dyDescent="0.3">
      <c r="C18" s="50">
        <v>0.06</v>
      </c>
      <c r="D18" s="49">
        <v>27069.756225230274</v>
      </c>
      <c r="E18" s="49">
        <v>27069.756225230274</v>
      </c>
    </row>
    <row r="19" spans="3:5" x14ac:dyDescent="0.3">
      <c r="C19" s="50">
        <v>7.0000000000000007E-2</v>
      </c>
      <c r="D19" s="49">
        <v>24646.570385498271</v>
      </c>
      <c r="E19" s="49">
        <v>24646.570385498271</v>
      </c>
    </row>
    <row r="20" spans="3:5" x14ac:dyDescent="0.3">
      <c r="C20" s="50">
        <v>0.08</v>
      </c>
      <c r="D20" s="49">
        <v>22302.772782623812</v>
      </c>
      <c r="E20" s="49">
        <v>22302.772782623812</v>
      </c>
    </row>
    <row r="21" spans="3:5" x14ac:dyDescent="0.3">
      <c r="C21" s="50">
        <v>0.09</v>
      </c>
      <c r="D21" s="49">
        <v>20034.856231003811</v>
      </c>
      <c r="E21" s="49">
        <v>20034.856231003811</v>
      </c>
    </row>
    <row r="22" spans="3:5" x14ac:dyDescent="0.3">
      <c r="C22" s="50">
        <v>0.1</v>
      </c>
      <c r="D22" s="49">
        <v>17839.504256415647</v>
      </c>
      <c r="E22" s="49">
        <v>17839.504256415647</v>
      </c>
    </row>
    <row r="23" spans="3:5" x14ac:dyDescent="0.3">
      <c r="C23" s="50">
        <v>0.11</v>
      </c>
      <c r="D23" s="49">
        <v>15713.578922994857</v>
      </c>
      <c r="E23" s="49">
        <v>15713.578922994857</v>
      </c>
    </row>
    <row r="24" spans="3:5" x14ac:dyDescent="0.3">
      <c r="C24" s="50">
        <v>0.12</v>
      </c>
      <c r="D24" s="49">
        <v>13654.109546059655</v>
      </c>
      <c r="E24" s="49">
        <v>13654.109546059655</v>
      </c>
    </row>
    <row r="25" spans="3:5" x14ac:dyDescent="0.3">
      <c r="C25" s="50">
        <v>0.13</v>
      </c>
      <c r="D25" s="49">
        <v>11658.282218732289</v>
      </c>
      <c r="E25" s="49">
        <v>11658.282218732289</v>
      </c>
    </row>
    <row r="26" spans="3:5" x14ac:dyDescent="0.3">
      <c r="C26" s="50">
        <v>0.14000000000000001</v>
      </c>
      <c r="D26" s="49">
        <v>9723.4300867627899</v>
      </c>
      <c r="E26" s="49">
        <v>9723.4300867627899</v>
      </c>
    </row>
    <row r="27" spans="3:5" x14ac:dyDescent="0.3">
      <c r="C27" s="50">
        <v>0.15</v>
      </c>
      <c r="D27" s="49">
        <v>7847.0243117870123</v>
      </c>
      <c r="E27" s="49">
        <v>7847.0243117870123</v>
      </c>
    </row>
    <row r="28" spans="3:5" x14ac:dyDescent="0.3">
      <c r="C28" s="50">
        <v>0.16</v>
      </c>
      <c r="D28" s="49">
        <v>6026.6656685103371</v>
      </c>
      <c r="E28" s="49">
        <v>6026.6656685103371</v>
      </c>
    </row>
    <row r="29" spans="3:5" x14ac:dyDescent="0.3">
      <c r="C29" s="50">
        <v>0.17</v>
      </c>
      <c r="D29" s="49">
        <v>4260.076726068437</v>
      </c>
      <c r="E29" s="49">
        <v>4260.076726068437</v>
      </c>
    </row>
    <row r="30" spans="3:5" x14ac:dyDescent="0.3">
      <c r="C30" s="50">
        <v>0.18</v>
      </c>
      <c r="D30" s="49">
        <v>2545.0945681173471</v>
      </c>
      <c r="E30" s="49">
        <v>2545.0945681173471</v>
      </c>
    </row>
    <row r="31" spans="3:5" x14ac:dyDescent="0.3">
      <c r="C31" s="50">
        <v>0.19</v>
      </c>
      <c r="D31" s="49">
        <v>879.66401010652771</v>
      </c>
      <c r="E31" s="49">
        <v>879.66401010652771</v>
      </c>
    </row>
    <row r="32" spans="3:5" x14ac:dyDescent="0.3">
      <c r="C32" s="50">
        <v>0.2</v>
      </c>
      <c r="D32" s="49">
        <v>-738.16872427983617</v>
      </c>
      <c r="E32" s="49" t="str">
        <v/>
      </c>
    </row>
    <row r="33" spans="3:5" x14ac:dyDescent="0.3">
      <c r="C33" s="50">
        <v>0.21</v>
      </c>
      <c r="D33" s="49">
        <v>-2310.2619023204606</v>
      </c>
      <c r="E33" s="49" t="str">
        <v/>
      </c>
    </row>
    <row r="34" spans="3:5" x14ac:dyDescent="0.3">
      <c r="C34" s="50">
        <v>0.22</v>
      </c>
      <c r="D34" s="49">
        <v>-3838.3837889908027</v>
      </c>
      <c r="E34" s="49" t="str">
        <v/>
      </c>
    </row>
    <row r="35" spans="3:5" x14ac:dyDescent="0.3">
      <c r="C35" s="50">
        <v>0.23</v>
      </c>
      <c r="D35" s="49">
        <v>-5324.2177904837154</v>
      </c>
      <c r="E35" s="49" t="str">
        <v/>
      </c>
    </row>
    <row r="36" spans="3:5" x14ac:dyDescent="0.3">
      <c r="C36" s="50">
        <v>0.24</v>
      </c>
      <c r="D36" s="49">
        <v>-6769.3672613623639</v>
      </c>
      <c r="E36" s="49" t="str">
        <v/>
      </c>
    </row>
    <row r="37" spans="3:5" x14ac:dyDescent="0.3">
      <c r="C37" s="50">
        <v>0.25</v>
      </c>
      <c r="D37" s="49">
        <v>-8175.3600000000006</v>
      </c>
      <c r="E37" s="49" t="str">
        <v/>
      </c>
    </row>
    <row r="38" spans="3:5" x14ac:dyDescent="0.3">
      <c r="C38" s="50">
        <v>0.26</v>
      </c>
      <c r="D38" s="49">
        <v>-9543.6524549660826</v>
      </c>
      <c r="E38" s="49" t="str">
        <v/>
      </c>
    </row>
    <row r="39" spans="3:5" x14ac:dyDescent="0.3">
      <c r="C39" s="50">
        <v>0.27</v>
      </c>
      <c r="D39" s="49">
        <v>-10875.633663199813</v>
      </c>
      <c r="E39" s="49" t="str">
        <v/>
      </c>
    </row>
    <row r="40" spans="3:5" x14ac:dyDescent="0.3">
      <c r="C40" s="50">
        <v>0.28000000000000003</v>
      </c>
      <c r="D40" s="49">
        <v>-12172.628939151764</v>
      </c>
      <c r="E40" s="49" t="str">
        <v/>
      </c>
    </row>
    <row r="41" spans="3:5" x14ac:dyDescent="0.3">
      <c r="C41" s="50">
        <v>0.28999999999999998</v>
      </c>
      <c r="D41" s="49">
        <v>-13435.903332559654</v>
      </c>
      <c r="E41" s="49" t="str">
        <v/>
      </c>
    </row>
    <row r="42" spans="3:5" x14ac:dyDescent="0.3">
      <c r="C42" s="50">
        <v>0.3</v>
      </c>
      <c r="D42" s="49">
        <v>-14666.66487113951</v>
      </c>
      <c r="E42" s="49" t="str">
        <v/>
      </c>
    </row>
    <row r="43" spans="3:5" x14ac:dyDescent="0.3">
      <c r="C43" s="50">
        <v>0.31</v>
      </c>
      <c r="D43" s="49">
        <v>-15866.067603207237</v>
      </c>
      <c r="E43" s="49" t="str">
        <v/>
      </c>
    </row>
    <row r="44" spans="3:5" x14ac:dyDescent="0.3">
      <c r="C44" s="50">
        <v>0.32</v>
      </c>
      <c r="D44" s="49">
        <v>-17035.214454087632</v>
      </c>
      <c r="E44" s="49" t="str">
        <v/>
      </c>
    </row>
    <row r="45" spans="3:5" x14ac:dyDescent="0.3">
      <c r="C45" s="50">
        <v>0.33</v>
      </c>
      <c r="D45" s="49">
        <v>-18175.159909106194</v>
      </c>
      <c r="E45" s="49" t="str">
        <v/>
      </c>
    </row>
    <row r="46" spans="3:5" x14ac:dyDescent="0.3">
      <c r="C46" s="50">
        <v>0.34</v>
      </c>
      <c r="D46" s="49">
        <v>-19286.912534987772</v>
      </c>
      <c r="E46" s="49" t="str">
        <v/>
      </c>
    </row>
    <row r="47" spans="3:5" x14ac:dyDescent="0.3">
      <c r="C47" s="50">
        <v>0.35</v>
      </c>
      <c r="D47" s="49">
        <v>-20371.437350594046</v>
      </c>
      <c r="E47" s="49" t="str">
        <v/>
      </c>
    </row>
    <row r="48" spans="3:5" x14ac:dyDescent="0.3">
      <c r="C48" s="50">
        <v>0.36</v>
      </c>
      <c r="D48" s="49">
        <v>-21429.658057114197</v>
      </c>
      <c r="E48" s="49" t="str">
        <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B07C-B075-4F33-B67C-EC03542FFB42}">
  <sheetPr>
    <tabColor rgb="FF0000FF"/>
  </sheetPr>
  <dimension ref="A1:B12"/>
  <sheetViews>
    <sheetView zoomScale="175" zoomScaleNormal="175" workbookViewId="0"/>
  </sheetViews>
  <sheetFormatPr defaultRowHeight="14.4" x14ac:dyDescent="0.3"/>
  <cols>
    <col min="1" max="1" width="16.109375" customWidth="1"/>
    <col min="2" max="2" width="19.5546875" customWidth="1"/>
  </cols>
  <sheetData>
    <row r="1" spans="1:2" x14ac:dyDescent="0.3">
      <c r="A1" s="39" t="s">
        <v>59</v>
      </c>
      <c r="B1" s="39"/>
    </row>
    <row r="2" spans="1:2" ht="15.6" x14ac:dyDescent="0.35">
      <c r="A2" s="7" t="s">
        <v>55</v>
      </c>
      <c r="B2" s="38">
        <v>-160000</v>
      </c>
    </row>
    <row r="3" spans="1:2" ht="15.6" x14ac:dyDescent="0.35">
      <c r="A3" s="7" t="s">
        <v>56</v>
      </c>
      <c r="B3" s="38">
        <v>60000</v>
      </c>
    </row>
    <row r="4" spans="1:2" ht="15.6" x14ac:dyDescent="0.35">
      <c r="A4" s="7" t="s">
        <v>57</v>
      </c>
      <c r="B4" s="38">
        <v>70000</v>
      </c>
    </row>
    <row r="5" spans="1:2" ht="15.6" x14ac:dyDescent="0.35">
      <c r="A5" s="7" t="s">
        <v>58</v>
      </c>
      <c r="B5" s="38">
        <v>90000</v>
      </c>
    </row>
    <row r="6" spans="1:2" x14ac:dyDescent="0.3">
      <c r="A6" s="7" t="s">
        <v>115</v>
      </c>
      <c r="B6" s="38">
        <v>0.15</v>
      </c>
    </row>
    <row r="7" spans="1:2" x14ac:dyDescent="0.3">
      <c r="A7" s="17" t="s">
        <v>25</v>
      </c>
      <c r="B7" s="9"/>
    </row>
    <row r="8" spans="1:2" x14ac:dyDescent="0.3">
      <c r="A8" s="40"/>
      <c r="B8" s="40"/>
    </row>
    <row r="10" spans="1:2" x14ac:dyDescent="0.3">
      <c r="A10">
        <v>1</v>
      </c>
      <c r="B10" t="s">
        <v>152</v>
      </c>
    </row>
    <row r="11" spans="1:2" x14ac:dyDescent="0.3">
      <c r="A11">
        <v>2</v>
      </c>
      <c r="B11" t="s">
        <v>153</v>
      </c>
    </row>
    <row r="12" spans="1:2" x14ac:dyDescent="0.3">
      <c r="A12">
        <v>3</v>
      </c>
      <c r="B12"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802E-1A7F-4E99-94B5-CB9F8BBE885C}">
  <sheetPr>
    <tabColor rgb="FFFF0000"/>
  </sheetPr>
  <dimension ref="A1:C12"/>
  <sheetViews>
    <sheetView zoomScale="130" zoomScaleNormal="130" workbookViewId="0"/>
  </sheetViews>
  <sheetFormatPr defaultRowHeight="14.4" x14ac:dyDescent="0.3"/>
  <cols>
    <col min="1" max="1" width="16.109375" customWidth="1"/>
    <col min="2" max="2" width="19.5546875" customWidth="1"/>
  </cols>
  <sheetData>
    <row r="1" spans="1:3" x14ac:dyDescent="0.3">
      <c r="A1" s="39" t="s">
        <v>59</v>
      </c>
      <c r="B1" s="39"/>
    </row>
    <row r="2" spans="1:3" ht="15.6" x14ac:dyDescent="0.35">
      <c r="A2" s="7" t="s">
        <v>55</v>
      </c>
      <c r="B2" s="38">
        <f>'Ex(4)'!B2</f>
        <v>-160000</v>
      </c>
    </row>
    <row r="3" spans="1:3" ht="15.6" x14ac:dyDescent="0.35">
      <c r="A3" s="7" t="s">
        <v>56</v>
      </c>
      <c r="B3" s="38">
        <f>'Ex(4)'!B3</f>
        <v>60000</v>
      </c>
    </row>
    <row r="4" spans="1:3" ht="15.6" x14ac:dyDescent="0.35">
      <c r="A4" s="7" t="s">
        <v>57</v>
      </c>
      <c r="B4" s="38">
        <f>'Ex(4)'!B4</f>
        <v>70000</v>
      </c>
    </row>
    <row r="5" spans="1:3" ht="15.6" x14ac:dyDescent="0.35">
      <c r="A5" s="7" t="s">
        <v>58</v>
      </c>
      <c r="B5" s="38">
        <f>'Ex(4)'!B5</f>
        <v>90000</v>
      </c>
    </row>
    <row r="6" spans="1:3" x14ac:dyDescent="0.3">
      <c r="A6" s="7" t="s">
        <v>115</v>
      </c>
      <c r="B6" s="38">
        <f>'Ex(4)'!B6</f>
        <v>0.15</v>
      </c>
    </row>
    <row r="7" spans="1:3" x14ac:dyDescent="0.3">
      <c r="A7" s="17" t="s">
        <v>25</v>
      </c>
      <c r="B7" s="9">
        <f>NPV(B6,B3:B5)+B2</f>
        <v>4280.4306731322722</v>
      </c>
      <c r="C7" t="s">
        <v>62</v>
      </c>
    </row>
    <row r="8" spans="1:3" x14ac:dyDescent="0.3">
      <c r="A8" s="40" t="s">
        <v>64</v>
      </c>
      <c r="B8" s="40"/>
    </row>
    <row r="10" spans="1:3" x14ac:dyDescent="0.3">
      <c r="A10">
        <v>1</v>
      </c>
      <c r="B10" t="s">
        <v>152</v>
      </c>
    </row>
    <row r="11" spans="1:3" x14ac:dyDescent="0.3">
      <c r="A11">
        <v>2</v>
      </c>
      <c r="B11" t="s">
        <v>153</v>
      </c>
    </row>
    <row r="12" spans="1:3" x14ac:dyDescent="0.3">
      <c r="A12">
        <v>3</v>
      </c>
      <c r="B12"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6A83-E624-4CC6-AE8A-0F352A83E84C}">
  <sheetPr>
    <tabColor rgb="FF0000FF"/>
  </sheetPr>
  <dimension ref="A1:D19"/>
  <sheetViews>
    <sheetView zoomScaleNormal="100" workbookViewId="0"/>
  </sheetViews>
  <sheetFormatPr defaultRowHeight="14.4" x14ac:dyDescent="0.3"/>
  <cols>
    <col min="1" max="1" width="20.33203125" customWidth="1"/>
    <col min="2" max="2" width="21.6640625" bestFit="1" customWidth="1"/>
    <col min="3" max="3" width="6.88671875" customWidth="1"/>
    <col min="7" max="7" width="22.44140625" customWidth="1"/>
    <col min="8" max="8" width="0.88671875" customWidth="1"/>
    <col min="9" max="9" width="3.33203125" customWidth="1"/>
    <col min="10" max="10" width="0.88671875" customWidth="1"/>
    <col min="11" max="11" width="15.77734375" bestFit="1" customWidth="1"/>
    <col min="12" max="12" width="17.6640625" customWidth="1"/>
    <col min="13" max="13" width="21.77734375" bestFit="1" customWidth="1"/>
  </cols>
  <sheetData>
    <row r="1" spans="1:4" x14ac:dyDescent="0.3">
      <c r="A1" s="39" t="s">
        <v>59</v>
      </c>
      <c r="B1" s="39"/>
    </row>
    <row r="2" spans="1:4" ht="15.6" x14ac:dyDescent="0.35">
      <c r="A2" s="7" t="s">
        <v>55</v>
      </c>
      <c r="B2" s="38">
        <f>Data!B1</f>
        <v>-160000</v>
      </c>
    </row>
    <row r="3" spans="1:4" ht="15.6" x14ac:dyDescent="0.35">
      <c r="A3" s="7" t="s">
        <v>56</v>
      </c>
      <c r="B3" s="38">
        <f>Data!B2</f>
        <v>60000</v>
      </c>
    </row>
    <row r="4" spans="1:4" ht="15.6" x14ac:dyDescent="0.35">
      <c r="A4" s="7" t="s">
        <v>57</v>
      </c>
      <c r="B4" s="38">
        <f>Data!B3</f>
        <v>70000</v>
      </c>
    </row>
    <row r="5" spans="1:4" ht="15.6" x14ac:dyDescent="0.35">
      <c r="A5" s="7" t="s">
        <v>58</v>
      </c>
      <c r="B5" s="38">
        <f>Data!B4</f>
        <v>90000</v>
      </c>
    </row>
    <row r="6" spans="1:4" ht="28.8" x14ac:dyDescent="0.3">
      <c r="A6" s="28" t="s">
        <v>65</v>
      </c>
      <c r="B6" s="7">
        <v>2</v>
      </c>
    </row>
    <row r="8" spans="1:4" x14ac:dyDescent="0.3">
      <c r="A8" s="17" t="s">
        <v>15</v>
      </c>
      <c r="B8" s="17" t="s">
        <v>61</v>
      </c>
    </row>
    <row r="9" spans="1:4" x14ac:dyDescent="0.3">
      <c r="A9" s="7">
        <v>1</v>
      </c>
      <c r="B9" s="33"/>
    </row>
    <row r="10" spans="1:4" x14ac:dyDescent="0.3">
      <c r="A10" s="7">
        <v>2</v>
      </c>
      <c r="B10" s="33"/>
    </row>
    <row r="11" spans="1:4" x14ac:dyDescent="0.3">
      <c r="A11" s="7">
        <v>3</v>
      </c>
      <c r="B11" s="33"/>
    </row>
    <row r="12" spans="1:4" x14ac:dyDescent="0.3">
      <c r="A12" s="17" t="s">
        <v>60</v>
      </c>
      <c r="B12" s="41"/>
      <c r="C12" s="27"/>
      <c r="D12" t="str">
        <f>A10&amp;" + "&amp;DOLLAR(-B2-B3-B4,0)&amp;"/"&amp;DOLLAR(B5,0)</f>
        <v>2 + $30,000/$90,000</v>
      </c>
    </row>
    <row r="13" spans="1:4" x14ac:dyDescent="0.3">
      <c r="A13" s="40"/>
      <c r="B13" s="40"/>
    </row>
    <row r="16" spans="1:4" x14ac:dyDescent="0.3">
      <c r="A16">
        <v>1</v>
      </c>
      <c r="B16" t="s">
        <v>156</v>
      </c>
    </row>
    <row r="17" spans="1:2" x14ac:dyDescent="0.3">
      <c r="A17">
        <v>2</v>
      </c>
      <c r="B17" t="s">
        <v>157</v>
      </c>
    </row>
    <row r="18" spans="1:2" x14ac:dyDescent="0.3">
      <c r="A18">
        <v>3</v>
      </c>
      <c r="B18" t="s">
        <v>158</v>
      </c>
    </row>
    <row r="19" spans="1:2" x14ac:dyDescent="0.3">
      <c r="A19">
        <v>4</v>
      </c>
      <c r="B19" t="s">
        <v>155</v>
      </c>
    </row>
  </sheetData>
  <phoneticPr fontId="19"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6833-8752-4AFF-ACA1-D718F69B2751}">
  <sheetPr>
    <tabColor rgb="FFFF0000"/>
  </sheetPr>
  <dimension ref="A1:M20"/>
  <sheetViews>
    <sheetView zoomScaleNormal="100" workbookViewId="0"/>
  </sheetViews>
  <sheetFormatPr defaultRowHeight="14.4" x14ac:dyDescent="0.3"/>
  <cols>
    <col min="1" max="1" width="20.33203125" customWidth="1"/>
    <col min="2" max="2" width="21.6640625" bestFit="1" customWidth="1"/>
    <col min="3" max="3" width="21.109375" customWidth="1"/>
    <col min="7" max="7" width="22.44140625" customWidth="1"/>
    <col min="8" max="8" width="0.88671875" customWidth="1"/>
    <col min="9" max="9" width="3.33203125" customWidth="1"/>
    <col min="10" max="10" width="0.88671875" customWidth="1"/>
    <col min="11" max="11" width="15.77734375" bestFit="1" customWidth="1"/>
    <col min="12" max="12" width="17.6640625" customWidth="1"/>
    <col min="13" max="13" width="21.77734375" bestFit="1" customWidth="1"/>
  </cols>
  <sheetData>
    <row r="1" spans="1:13" x14ac:dyDescent="0.3">
      <c r="A1" s="39" t="s">
        <v>59</v>
      </c>
      <c r="B1" s="39"/>
    </row>
    <row r="2" spans="1:13" ht="15.6" x14ac:dyDescent="0.35">
      <c r="A2" s="7" t="s">
        <v>55</v>
      </c>
      <c r="B2" s="38">
        <f>Data!B1</f>
        <v>-160000</v>
      </c>
    </row>
    <row r="3" spans="1:13" ht="15.6" x14ac:dyDescent="0.35">
      <c r="A3" s="7" t="s">
        <v>56</v>
      </c>
      <c r="B3" s="38">
        <f>Data!B2</f>
        <v>60000</v>
      </c>
    </row>
    <row r="4" spans="1:13" ht="15.6" x14ac:dyDescent="0.35">
      <c r="A4" s="7" t="s">
        <v>57</v>
      </c>
      <c r="B4" s="38">
        <f>Data!B3</f>
        <v>70000</v>
      </c>
    </row>
    <row r="5" spans="1:13" ht="15.6" x14ac:dyDescent="0.35">
      <c r="A5" s="7" t="s">
        <v>58</v>
      </c>
      <c r="B5" s="38">
        <f>Data!B4</f>
        <v>90000</v>
      </c>
      <c r="K5" s="106" t="s">
        <v>222</v>
      </c>
      <c r="L5" s="124"/>
      <c r="M5" s="7">
        <v>2</v>
      </c>
    </row>
    <row r="6" spans="1:13" ht="28.8" x14ac:dyDescent="0.3">
      <c r="A6" s="28" t="s">
        <v>65</v>
      </c>
      <c r="B6" s="7">
        <v>2</v>
      </c>
      <c r="M6" t="s">
        <v>219</v>
      </c>
    </row>
    <row r="7" spans="1:13" x14ac:dyDescent="0.3">
      <c r="G7" t="s">
        <v>219</v>
      </c>
      <c r="K7" s="17" t="s">
        <v>47</v>
      </c>
      <c r="L7" s="17" t="s">
        <v>32</v>
      </c>
      <c r="M7" s="17" t="s">
        <v>61</v>
      </c>
    </row>
    <row r="8" spans="1:13" x14ac:dyDescent="0.3">
      <c r="A8" s="17" t="s">
        <v>15</v>
      </c>
      <c r="B8" s="17" t="s">
        <v>61</v>
      </c>
      <c r="F8" s="17" t="s">
        <v>47</v>
      </c>
      <c r="G8" s="17" t="s">
        <v>61</v>
      </c>
      <c r="I8" t="s">
        <v>220</v>
      </c>
      <c r="K8" s="7">
        <v>0</v>
      </c>
      <c r="L8" s="7">
        <v>-160000</v>
      </c>
      <c r="M8" s="33" cm="1">
        <f t="array" ref="M8:M11">_xlfn.SCAN(M7,L8:L11,_xleta.SUM)</f>
        <v>-160000</v>
      </c>
    </row>
    <row r="9" spans="1:13" x14ac:dyDescent="0.3">
      <c r="A9" s="7">
        <v>1</v>
      </c>
      <c r="B9" s="33">
        <f>-B2-B3</f>
        <v>100000</v>
      </c>
      <c r="C9" t="s">
        <v>63</v>
      </c>
      <c r="F9" s="7">
        <v>1</v>
      </c>
      <c r="G9" s="33" cm="1">
        <f t="array" ref="G9:G11">_xlfn.SCAN(B2,B3:B5,_xleta.SUM)</f>
        <v>-100000</v>
      </c>
      <c r="K9" s="7">
        <v>1</v>
      </c>
      <c r="L9" s="7">
        <v>60000</v>
      </c>
      <c r="M9" s="33">
        <v>-100000</v>
      </c>
    </row>
    <row r="10" spans="1:13" x14ac:dyDescent="0.3">
      <c r="A10" s="7">
        <v>2</v>
      </c>
      <c r="B10" s="33">
        <f>B9-B4</f>
        <v>30000</v>
      </c>
      <c r="C10" t="s">
        <v>66</v>
      </c>
      <c r="F10" s="7">
        <v>2</v>
      </c>
      <c r="G10" s="33">
        <v>-30000</v>
      </c>
      <c r="K10" s="7">
        <v>2</v>
      </c>
      <c r="L10" s="7">
        <v>70000</v>
      </c>
      <c r="M10" s="33">
        <v>-30000</v>
      </c>
    </row>
    <row r="11" spans="1:13" x14ac:dyDescent="0.3">
      <c r="A11" s="7">
        <v>3</v>
      </c>
      <c r="B11" s="33">
        <f>B10-B5</f>
        <v>-60000</v>
      </c>
      <c r="C11" t="s">
        <v>67</v>
      </c>
      <c r="F11" s="7">
        <v>3</v>
      </c>
      <c r="G11" s="33">
        <v>60000</v>
      </c>
      <c r="K11" s="7">
        <v>3</v>
      </c>
      <c r="L11" s="7">
        <v>90000</v>
      </c>
      <c r="M11" s="33">
        <v>60000</v>
      </c>
    </row>
    <row r="12" spans="1:13" ht="28.8" x14ac:dyDescent="0.3">
      <c r="A12" s="17" t="s">
        <v>60</v>
      </c>
      <c r="B12" s="41">
        <f>A10+B10/B5</f>
        <v>2.3333333333333335</v>
      </c>
      <c r="C12" s="27" t="str">
        <f>"=A10+B10/B5 ="&amp;CHAR(10)&amp;A10&amp;" "&amp;TEXT(B10/B5,"?/?")&amp;" years"</f>
        <v>=A10+B10/B5 =
2 1/3 years</v>
      </c>
      <c r="D12" t="str">
        <f>A10&amp;" + "&amp;DOLLAR(-B2-B3-B4,0)&amp;"/"&amp;DOLLAR(B5,0)</f>
        <v>2 + $30,000/$90,000</v>
      </c>
    </row>
    <row r="13" spans="1:13" x14ac:dyDescent="0.3">
      <c r="A13" s="40" t="str">
        <f>IF(ROUND(B12,2)&gt;B6,"Reject because "&amp;ROUND(B12,2)&amp;" &gt; "&amp;B6,"Accept because "&amp;ROUND(B12,2)&amp;" &lt;= "&amp;B6&amp;".")</f>
        <v>Reject because 2.33 &gt; 2</v>
      </c>
      <c r="B13" s="40"/>
      <c r="L13" s="7" t="s">
        <v>221</v>
      </c>
      <c r="M13" s="26">
        <f>K10+-M10/L11</f>
        <v>2.3333333333333335</v>
      </c>
    </row>
    <row r="14" spans="1:13" x14ac:dyDescent="0.3">
      <c r="L14" s="7" t="s">
        <v>221</v>
      </c>
      <c r="M14" s="26" cm="1">
        <f t="array" ref="M14">LOOKUP(0,_xlfn.ANCHORARRAY(M8),K8:K11-_xlfn.IFNA(_xlfn.ANCHORARRAY(M8)/L9:L11,0))</f>
        <v>2.3333333333333335</v>
      </c>
    </row>
    <row r="15" spans="1:13" x14ac:dyDescent="0.3">
      <c r="L15" s="7" t="s">
        <v>221</v>
      </c>
      <c r="M15" s="26" cm="1">
        <f t="array" ref="M15">_xlfn.LAMBDA(_xlpm.CashFlowColumnTimeZeroToN,_xlfn.LET(_xlpm.cf,_xlpm.CashFlowColumnTimeZeroToN,_xlpm.t,_xlfn.SEQUENCE(ROWS(_xlpm.cf),,0),_xlpm.altpb,_xlfn.SCAN(0,_xlpm.cf,_xleta.SUM),
IF(SUM(_xlfn.DROP(_xlpm.cf,1))&lt;-_xlfn.TAKE(_xlpm.cf,1),"Never",LOOKUP(0,_xlpm.altpb,_xlpm.t-_xlfn.IFNA(_xlpm.altpb/_xlfn.DROP(_xlpm.cf,1),0)))))(L8:L11)</f>
        <v>2.3333333333333335</v>
      </c>
    </row>
    <row r="16" spans="1:13" x14ac:dyDescent="0.3">
      <c r="A16">
        <v>1</v>
      </c>
      <c r="B16" t="s">
        <v>152</v>
      </c>
      <c r="L16" s="7" t="s">
        <v>221</v>
      </c>
      <c r="M16" s="26" cm="1">
        <f t="array" ref="M16">PayBackRule(L8:L11)</f>
        <v>2.3333333333333335</v>
      </c>
    </row>
    <row r="17" spans="1:2" x14ac:dyDescent="0.3">
      <c r="A17">
        <v>2</v>
      </c>
      <c r="B17" t="s">
        <v>153</v>
      </c>
    </row>
    <row r="18" spans="1:2" x14ac:dyDescent="0.3">
      <c r="A18">
        <v>3</v>
      </c>
      <c r="B18" t="s">
        <v>154</v>
      </c>
    </row>
    <row r="20" spans="1:2" x14ac:dyDescent="0.3">
      <c r="A20">
        <v>4</v>
      </c>
      <c r="B20" t="s">
        <v>155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DC660-AEF2-41E0-8CB7-9A9A3F8DC785}">
  <sheetPr>
    <tabColor rgb="FF0000FF"/>
  </sheetPr>
  <dimension ref="A1:D12"/>
  <sheetViews>
    <sheetView zoomScale="145" zoomScaleNormal="145" workbookViewId="0"/>
  </sheetViews>
  <sheetFormatPr defaultRowHeight="14.4" x14ac:dyDescent="0.3"/>
  <cols>
    <col min="1" max="4" width="16.6640625" customWidth="1"/>
  </cols>
  <sheetData>
    <row r="1" spans="1:4" x14ac:dyDescent="0.3">
      <c r="A1" s="42" t="s">
        <v>80</v>
      </c>
      <c r="B1" s="42"/>
      <c r="C1" s="42"/>
      <c r="D1" s="43"/>
    </row>
    <row r="2" spans="1:4" x14ac:dyDescent="0.3">
      <c r="A2" s="17" t="s">
        <v>15</v>
      </c>
      <c r="B2" s="17" t="s">
        <v>68</v>
      </c>
      <c r="C2" s="17" t="s">
        <v>69</v>
      </c>
      <c r="D2" s="17" t="s">
        <v>70</v>
      </c>
    </row>
    <row r="3" spans="1:4" x14ac:dyDescent="0.3">
      <c r="A3" s="7">
        <v>0</v>
      </c>
      <c r="B3" s="21">
        <v>-250</v>
      </c>
      <c r="C3" s="21">
        <f>-B3</f>
        <v>250</v>
      </c>
      <c r="D3" s="21">
        <f>-C3</f>
        <v>-250</v>
      </c>
    </row>
    <row r="4" spans="1:4" x14ac:dyDescent="0.3">
      <c r="A4" s="7">
        <v>1</v>
      </c>
      <c r="B4" s="7">
        <v>125</v>
      </c>
      <c r="C4" s="7">
        <v>100</v>
      </c>
      <c r="D4" s="7">
        <v>100</v>
      </c>
    </row>
    <row r="5" spans="1:4" x14ac:dyDescent="0.3">
      <c r="A5" s="7">
        <v>2</v>
      </c>
      <c r="B5" s="7">
        <v>125</v>
      </c>
      <c r="C5" s="7">
        <v>100</v>
      </c>
      <c r="D5" s="7">
        <v>200</v>
      </c>
    </row>
    <row r="6" spans="1:4" x14ac:dyDescent="0.3">
      <c r="A6" s="7">
        <v>3</v>
      </c>
      <c r="B6" s="7">
        <f>B3</f>
        <v>-250</v>
      </c>
      <c r="C6" s="7">
        <v>100</v>
      </c>
      <c r="D6" s="7"/>
    </row>
    <row r="7" spans="1:4" x14ac:dyDescent="0.3">
      <c r="A7" s="7">
        <v>4</v>
      </c>
      <c r="B7" s="7">
        <f>-B3</f>
        <v>250</v>
      </c>
      <c r="C7" s="7">
        <v>100</v>
      </c>
      <c r="D7" s="7"/>
    </row>
    <row r="9" spans="1:4" ht="28.8" x14ac:dyDescent="0.3">
      <c r="A9" s="17" t="s">
        <v>79</v>
      </c>
      <c r="B9" s="28" t="s">
        <v>71</v>
      </c>
      <c r="C9" s="28" t="s">
        <v>72</v>
      </c>
      <c r="D9" s="28" t="s">
        <v>73</v>
      </c>
    </row>
    <row r="10" spans="1:4" ht="57.6" x14ac:dyDescent="0.3">
      <c r="A10" s="17" t="s">
        <v>74</v>
      </c>
      <c r="B10" s="28" t="s">
        <v>75</v>
      </c>
      <c r="C10" s="28" t="s">
        <v>76</v>
      </c>
      <c r="D10" s="28" t="s">
        <v>77</v>
      </c>
    </row>
    <row r="11" spans="1:4" x14ac:dyDescent="0.3">
      <c r="B11" s="17" t="s">
        <v>25</v>
      </c>
      <c r="C11" s="9">
        <f>NPV($C$12,C4:C7)-C3</f>
        <v>35.497836271311257</v>
      </c>
      <c r="D11" s="9">
        <f>NPV($C$12,D4:D7)+D3</f>
        <v>-11.814744801512262</v>
      </c>
    </row>
    <row r="12" spans="1:4" x14ac:dyDescent="0.3">
      <c r="B12" s="17" t="s">
        <v>78</v>
      </c>
      <c r="C12" s="7">
        <v>0.15</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139E-7DC0-42AF-9F75-BE0379D9C417}">
  <sheetPr>
    <tabColor rgb="FF0000FF"/>
  </sheetPr>
  <dimension ref="A1:E41"/>
  <sheetViews>
    <sheetView zoomScaleNormal="100" workbookViewId="0"/>
  </sheetViews>
  <sheetFormatPr defaultRowHeight="14.4" x14ac:dyDescent="0.3"/>
  <cols>
    <col min="1" max="1" width="22.33203125" customWidth="1"/>
    <col min="2" max="2" width="13" customWidth="1"/>
    <col min="3" max="4" width="10" bestFit="1" customWidth="1"/>
  </cols>
  <sheetData>
    <row r="1" spans="1:5" x14ac:dyDescent="0.3">
      <c r="A1" s="7"/>
      <c r="B1" s="7" t="s">
        <v>9</v>
      </c>
      <c r="C1" s="7" t="s">
        <v>10</v>
      </c>
      <c r="D1" s="7" t="s">
        <v>11</v>
      </c>
    </row>
    <row r="2" spans="1:5" x14ac:dyDescent="0.3">
      <c r="A2" s="7" t="s">
        <v>83</v>
      </c>
      <c r="B2" s="21">
        <v>80000</v>
      </c>
      <c r="C2" s="21">
        <v>70000</v>
      </c>
      <c r="D2" s="21">
        <v>65000</v>
      </c>
    </row>
    <row r="3" spans="1:5" ht="29.4" thickBot="1" x14ac:dyDescent="0.35">
      <c r="A3" s="47" t="s">
        <v>84</v>
      </c>
      <c r="B3" s="48">
        <v>67000</v>
      </c>
      <c r="C3" s="48">
        <v>45000</v>
      </c>
      <c r="D3" s="48">
        <v>45000</v>
      </c>
    </row>
    <row r="4" spans="1:5" ht="15" thickBot="1" x14ac:dyDescent="0.35">
      <c r="A4" s="14" t="s">
        <v>8</v>
      </c>
      <c r="B4" s="23"/>
      <c r="C4" s="23"/>
      <c r="D4" s="23"/>
    </row>
    <row r="5" spans="1:5" ht="4.95" customHeight="1" thickTop="1" x14ac:dyDescent="0.3"/>
    <row r="6" spans="1:5" x14ac:dyDescent="0.3">
      <c r="A6" s="7" t="s">
        <v>14</v>
      </c>
      <c r="B6" s="22"/>
    </row>
    <row r="7" spans="1:5" ht="4.95" customHeight="1" x14ac:dyDescent="0.3"/>
    <row r="8" spans="1:5" x14ac:dyDescent="0.3">
      <c r="A8" s="7" t="s">
        <v>85</v>
      </c>
      <c r="B8" s="21">
        <v>180000</v>
      </c>
    </row>
    <row r="9" spans="1:5" x14ac:dyDescent="0.3">
      <c r="A9" s="7" t="s">
        <v>87</v>
      </c>
      <c r="B9" s="21">
        <v>0</v>
      </c>
    </row>
    <row r="10" spans="1:5" x14ac:dyDescent="0.3">
      <c r="A10" s="7" t="s">
        <v>12</v>
      </c>
      <c r="B10" s="7">
        <v>3</v>
      </c>
    </row>
    <row r="11" spans="1:5" x14ac:dyDescent="0.3">
      <c r="A11" s="7" t="s">
        <v>86</v>
      </c>
      <c r="B11" s="22"/>
    </row>
    <row r="12" spans="1:5" ht="4.95" customHeight="1" x14ac:dyDescent="0.3"/>
    <row r="13" spans="1:5" x14ac:dyDescent="0.3">
      <c r="A13" s="7"/>
      <c r="B13" s="7" t="s">
        <v>41</v>
      </c>
      <c r="C13" s="7" t="s">
        <v>42</v>
      </c>
      <c r="D13" s="7" t="s">
        <v>43</v>
      </c>
      <c r="E13" s="7" t="s">
        <v>44</v>
      </c>
    </row>
    <row r="14" spans="1:5" ht="43.2" x14ac:dyDescent="0.3">
      <c r="A14" s="28" t="s">
        <v>88</v>
      </c>
      <c r="B14" s="22"/>
      <c r="C14" s="22"/>
      <c r="D14" s="22"/>
      <c r="E14" s="22"/>
    </row>
    <row r="15" spans="1:5" ht="4.95" customHeight="1" x14ac:dyDescent="0.3"/>
    <row r="16" spans="1:5" x14ac:dyDescent="0.3">
      <c r="A16" s="7" t="s">
        <v>13</v>
      </c>
      <c r="B16" s="22"/>
    </row>
    <row r="17" spans="1:2" x14ac:dyDescent="0.3">
      <c r="A17" s="7" t="s">
        <v>13</v>
      </c>
      <c r="B17" s="22"/>
    </row>
    <row r="18" spans="1:2" ht="4.95" customHeight="1" x14ac:dyDescent="0.3"/>
    <row r="19" spans="1:2" x14ac:dyDescent="0.3">
      <c r="A19" s="7" t="s">
        <v>89</v>
      </c>
      <c r="B19" s="26"/>
    </row>
    <row r="20" spans="1:2" x14ac:dyDescent="0.3">
      <c r="A20" s="7" t="s">
        <v>90</v>
      </c>
      <c r="B20" s="7">
        <v>0.25</v>
      </c>
    </row>
    <row r="21" spans="1:2" x14ac:dyDescent="0.3">
      <c r="A21" s="7" t="s">
        <v>91</v>
      </c>
      <c r="B21" s="7" t="s">
        <v>92</v>
      </c>
    </row>
    <row r="23" spans="1:2" x14ac:dyDescent="0.3">
      <c r="A23">
        <v>1</v>
      </c>
      <c r="B23" t="s">
        <v>156</v>
      </c>
    </row>
    <row r="24" spans="1:2" x14ac:dyDescent="0.3">
      <c r="A24">
        <v>2</v>
      </c>
      <c r="B24" t="s">
        <v>157</v>
      </c>
    </row>
    <row r="25" spans="1:2" x14ac:dyDescent="0.3">
      <c r="A25">
        <v>3</v>
      </c>
      <c r="B25" t="s">
        <v>158</v>
      </c>
    </row>
    <row r="26" spans="1:2" x14ac:dyDescent="0.3">
      <c r="A26">
        <v>4</v>
      </c>
      <c r="B26" t="s">
        <v>159</v>
      </c>
    </row>
    <row r="38" spans="1:2" ht="15" thickBot="1" x14ac:dyDescent="0.35">
      <c r="A38" s="44" t="str">
        <f>A6</f>
        <v>Average Net Income</v>
      </c>
      <c r="B38" s="146" t="s">
        <v>82</v>
      </c>
    </row>
    <row r="39" spans="1:2" ht="15" thickTop="1" x14ac:dyDescent="0.3">
      <c r="A39" s="45" t="str">
        <f>A16</f>
        <v>Average Book Value</v>
      </c>
      <c r="B39" s="146"/>
    </row>
    <row r="41" spans="1:2" ht="28.8" x14ac:dyDescent="0.3">
      <c r="A41" s="46" t="s">
        <v>81</v>
      </c>
      <c r="B41" s="46"/>
    </row>
  </sheetData>
  <mergeCells count="1">
    <mergeCell ref="B38:B3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490D-65F5-4C36-BEB1-EFF3C66C4440}">
  <sheetPr>
    <tabColor rgb="FFFF0000"/>
  </sheetPr>
  <dimension ref="A1:E26"/>
  <sheetViews>
    <sheetView workbookViewId="0"/>
  </sheetViews>
  <sheetFormatPr defaultRowHeight="14.4" x14ac:dyDescent="0.3"/>
  <cols>
    <col min="1" max="1" width="22.33203125" customWidth="1"/>
    <col min="2" max="2" width="13" customWidth="1"/>
    <col min="3" max="4" width="10" bestFit="1" customWidth="1"/>
  </cols>
  <sheetData>
    <row r="1" spans="1:5" x14ac:dyDescent="0.3">
      <c r="A1" s="7"/>
      <c r="B1" s="7" t="s">
        <v>9</v>
      </c>
      <c r="C1" s="7" t="s">
        <v>10</v>
      </c>
      <c r="D1" s="7" t="s">
        <v>11</v>
      </c>
    </row>
    <row r="2" spans="1:5" x14ac:dyDescent="0.3">
      <c r="A2" s="7" t="s">
        <v>83</v>
      </c>
      <c r="B2" s="21">
        <v>80000</v>
      </c>
      <c r="C2" s="21">
        <v>70000</v>
      </c>
      <c r="D2" s="21">
        <v>65000</v>
      </c>
    </row>
    <row r="3" spans="1:5" ht="29.4" thickBot="1" x14ac:dyDescent="0.35">
      <c r="A3" s="47" t="s">
        <v>84</v>
      </c>
      <c r="B3" s="48">
        <v>67000</v>
      </c>
      <c r="C3" s="48">
        <v>45000</v>
      </c>
      <c r="D3" s="48">
        <v>45000</v>
      </c>
    </row>
    <row r="4" spans="1:5" ht="15" thickBot="1" x14ac:dyDescent="0.35">
      <c r="A4" s="14" t="s">
        <v>8</v>
      </c>
      <c r="B4" s="23">
        <f>B2-B3</f>
        <v>13000</v>
      </c>
      <c r="C4" s="23">
        <f>C2-C3</f>
        <v>25000</v>
      </c>
      <c r="D4" s="23">
        <f>D2-D3</f>
        <v>20000</v>
      </c>
    </row>
    <row r="5" spans="1:5" ht="4.95" customHeight="1" thickTop="1" x14ac:dyDescent="0.3"/>
    <row r="6" spans="1:5" x14ac:dyDescent="0.3">
      <c r="A6" s="7" t="s">
        <v>14</v>
      </c>
      <c r="B6" s="22">
        <f>AVERAGE(B4:D4)</f>
        <v>19333.333333333332</v>
      </c>
      <c r="C6" t="s">
        <v>93</v>
      </c>
    </row>
    <row r="7" spans="1:5" ht="4.95" customHeight="1" x14ac:dyDescent="0.3"/>
    <row r="8" spans="1:5" x14ac:dyDescent="0.3">
      <c r="A8" s="7" t="s">
        <v>85</v>
      </c>
      <c r="B8" s="21">
        <v>180000</v>
      </c>
    </row>
    <row r="9" spans="1:5" x14ac:dyDescent="0.3">
      <c r="A9" s="7" t="s">
        <v>87</v>
      </c>
      <c r="B9" s="21">
        <v>0</v>
      </c>
    </row>
    <row r="10" spans="1:5" x14ac:dyDescent="0.3">
      <c r="A10" s="7" t="s">
        <v>12</v>
      </c>
      <c r="B10" s="7">
        <v>3</v>
      </c>
    </row>
    <row r="11" spans="1:5" x14ac:dyDescent="0.3">
      <c r="A11" s="7" t="s">
        <v>86</v>
      </c>
      <c r="B11" s="22">
        <f>(B8-B9)/B10</f>
        <v>60000</v>
      </c>
      <c r="C11" t="s">
        <v>94</v>
      </c>
    </row>
    <row r="12" spans="1:5" ht="4.95" customHeight="1" x14ac:dyDescent="0.3"/>
    <row r="13" spans="1:5" x14ac:dyDescent="0.3">
      <c r="A13" s="7"/>
      <c r="B13" s="7" t="s">
        <v>41</v>
      </c>
      <c r="C13" s="7" t="s">
        <v>42</v>
      </c>
      <c r="D13" s="7" t="s">
        <v>43</v>
      </c>
      <c r="E13" s="7" t="s">
        <v>44</v>
      </c>
    </row>
    <row r="14" spans="1:5" ht="43.2" x14ac:dyDescent="0.3">
      <c r="A14" s="28" t="s">
        <v>88</v>
      </c>
      <c r="B14" s="22">
        <f>B8</f>
        <v>180000</v>
      </c>
      <c r="C14" s="22">
        <f>B14-$B$11</f>
        <v>120000</v>
      </c>
      <c r="D14" s="22">
        <f>C14-$B$11</f>
        <v>60000</v>
      </c>
      <c r="E14" s="22">
        <f>D14-$B$11</f>
        <v>0</v>
      </c>
    </row>
    <row r="15" spans="1:5" ht="4.95" customHeight="1" x14ac:dyDescent="0.3"/>
    <row r="16" spans="1:5" x14ac:dyDescent="0.3">
      <c r="A16" s="7" t="s">
        <v>13</v>
      </c>
      <c r="B16" s="22">
        <f>AVERAGE(B14:E14)</f>
        <v>90000</v>
      </c>
      <c r="C16" t="s">
        <v>95</v>
      </c>
    </row>
    <row r="17" spans="1:3" x14ac:dyDescent="0.3">
      <c r="A17" s="7" t="s">
        <v>13</v>
      </c>
      <c r="B17" s="22">
        <f>B8/2</f>
        <v>90000</v>
      </c>
      <c r="C17" t="s">
        <v>96</v>
      </c>
    </row>
    <row r="18" spans="1:3" ht="4.95" customHeight="1" x14ac:dyDescent="0.3"/>
    <row r="19" spans="1:3" x14ac:dyDescent="0.3">
      <c r="A19" s="7" t="s">
        <v>89</v>
      </c>
      <c r="B19" s="26">
        <f>B6/B17</f>
        <v>0.21481481481481479</v>
      </c>
      <c r="C19" t="s">
        <v>97</v>
      </c>
    </row>
    <row r="20" spans="1:3" x14ac:dyDescent="0.3">
      <c r="A20" s="7" t="s">
        <v>90</v>
      </c>
      <c r="B20" s="7">
        <v>0.25</v>
      </c>
    </row>
    <row r="21" spans="1:3" x14ac:dyDescent="0.3">
      <c r="A21" s="7" t="s">
        <v>91</v>
      </c>
      <c r="B21" s="7" t="s">
        <v>92</v>
      </c>
    </row>
    <row r="23" spans="1:3" ht="15" thickBot="1" x14ac:dyDescent="0.35">
      <c r="A23" s="44" t="str">
        <f>A6</f>
        <v>Average Net Income</v>
      </c>
      <c r="B23" s="146" t="s">
        <v>82</v>
      </c>
    </row>
    <row r="24" spans="1:3" ht="15" thickTop="1" x14ac:dyDescent="0.3">
      <c r="A24" s="45" t="str">
        <f>A16</f>
        <v>Average Book Value</v>
      </c>
      <c r="B24" s="146"/>
    </row>
    <row r="26" spans="1:3" ht="28.8" x14ac:dyDescent="0.3">
      <c r="A26" s="46" t="s">
        <v>81</v>
      </c>
      <c r="B26" s="46"/>
    </row>
  </sheetData>
  <mergeCells count="1">
    <mergeCell ref="B23:B2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B0ED2-07B4-4284-91AB-EABA77C022A5}">
  <sheetPr>
    <tabColor rgb="FF0000FF"/>
  </sheetPr>
  <dimension ref="A1:E23"/>
  <sheetViews>
    <sheetView workbookViewId="0"/>
  </sheetViews>
  <sheetFormatPr defaultRowHeight="14.4" x14ac:dyDescent="0.3"/>
  <cols>
    <col min="1" max="1" width="22.33203125" customWidth="1"/>
    <col min="2" max="2" width="13" customWidth="1"/>
    <col min="3" max="4" width="10" bestFit="1" customWidth="1"/>
  </cols>
  <sheetData>
    <row r="1" spans="1:5" x14ac:dyDescent="0.3">
      <c r="A1" s="7"/>
      <c r="B1" s="7" t="s">
        <v>9</v>
      </c>
      <c r="C1" s="7" t="s">
        <v>10</v>
      </c>
      <c r="D1" s="7" t="s">
        <v>11</v>
      </c>
    </row>
    <row r="2" spans="1:5" x14ac:dyDescent="0.3">
      <c r="A2" s="7" t="s">
        <v>83</v>
      </c>
      <c r="B2" s="21">
        <v>80000</v>
      </c>
      <c r="C2" s="21">
        <v>70000</v>
      </c>
      <c r="D2" s="21">
        <v>65000</v>
      </c>
    </row>
    <row r="3" spans="1:5" ht="29.4" thickBot="1" x14ac:dyDescent="0.35">
      <c r="A3" s="47" t="s">
        <v>84</v>
      </c>
      <c r="B3" s="48">
        <v>67000</v>
      </c>
      <c r="C3" s="48">
        <v>45000</v>
      </c>
      <c r="D3" s="48">
        <v>45000</v>
      </c>
    </row>
    <row r="4" spans="1:5" ht="15" thickBot="1" x14ac:dyDescent="0.35">
      <c r="A4" s="14" t="s">
        <v>8</v>
      </c>
      <c r="B4" s="23">
        <f>B2-B3</f>
        <v>13000</v>
      </c>
      <c r="C4" s="23">
        <f>C2-C3</f>
        <v>25000</v>
      </c>
      <c r="D4" s="23">
        <f>D2-D3</f>
        <v>20000</v>
      </c>
    </row>
    <row r="5" spans="1:5" ht="4.95" customHeight="1" thickTop="1" x14ac:dyDescent="0.3"/>
    <row r="6" spans="1:5" x14ac:dyDescent="0.3">
      <c r="A6" s="7" t="s">
        <v>85</v>
      </c>
      <c r="B6" s="21">
        <v>180000</v>
      </c>
    </row>
    <row r="7" spans="1:5" x14ac:dyDescent="0.3">
      <c r="A7" s="7" t="s">
        <v>87</v>
      </c>
      <c r="B7" s="21">
        <v>0</v>
      </c>
    </row>
    <row r="8" spans="1:5" x14ac:dyDescent="0.3">
      <c r="A8" s="7" t="s">
        <v>12</v>
      </c>
      <c r="B8" s="7">
        <v>3</v>
      </c>
    </row>
    <row r="9" spans="1:5" x14ac:dyDescent="0.3">
      <c r="A9" s="7" t="s">
        <v>86</v>
      </c>
      <c r="B9" s="22">
        <f>(B6-B7)/B8</f>
        <v>60000</v>
      </c>
      <c r="C9" t="s">
        <v>94</v>
      </c>
    </row>
    <row r="10" spans="1:5" ht="4.95" customHeight="1" x14ac:dyDescent="0.3"/>
    <row r="11" spans="1:5" x14ac:dyDescent="0.3">
      <c r="A11" s="7"/>
      <c r="B11" s="7" t="s">
        <v>41</v>
      </c>
      <c r="C11" s="7" t="s">
        <v>42</v>
      </c>
      <c r="D11" s="7" t="s">
        <v>43</v>
      </c>
      <c r="E11" s="7" t="s">
        <v>44</v>
      </c>
    </row>
    <row r="12" spans="1:5" ht="43.2" x14ac:dyDescent="0.3">
      <c r="A12" s="28" t="s">
        <v>88</v>
      </c>
      <c r="B12" s="22">
        <f>B6</f>
        <v>180000</v>
      </c>
      <c r="C12" s="22">
        <f>B12-$B$9</f>
        <v>120000</v>
      </c>
      <c r="D12" s="22">
        <f>C12-$B$9</f>
        <v>60000</v>
      </c>
      <c r="E12" s="22">
        <f>D12-$B$9</f>
        <v>0</v>
      </c>
    </row>
    <row r="13" spans="1:5" ht="15" thickBot="1" x14ac:dyDescent="0.35"/>
    <row r="14" spans="1:5" x14ac:dyDescent="0.3">
      <c r="A14" s="60"/>
      <c r="B14" s="17" t="s">
        <v>9</v>
      </c>
      <c r="C14" s="17" t="s">
        <v>10</v>
      </c>
      <c r="D14" s="17" t="s">
        <v>11</v>
      </c>
    </row>
    <row r="15" spans="1:5" x14ac:dyDescent="0.3">
      <c r="A15" s="17" t="s">
        <v>116</v>
      </c>
      <c r="B15" s="66">
        <f>B4/AVERAGE(B12:C12)</f>
        <v>8.666666666666667E-2</v>
      </c>
      <c r="C15" s="26">
        <f>C4/AVERAGE(C12:D12)</f>
        <v>0.27777777777777779</v>
      </c>
      <c r="D15" s="62">
        <f>D4/AVERAGE(D12:E12)</f>
        <v>0.66666666666666663</v>
      </c>
    </row>
    <row r="16" spans="1:5" x14ac:dyDescent="0.3">
      <c r="A16" s="61"/>
      <c r="D16" s="63"/>
    </row>
    <row r="17" spans="1:4" ht="15" thickBot="1" x14ac:dyDescent="0.35">
      <c r="A17" s="17" t="s">
        <v>117</v>
      </c>
      <c r="B17" s="26">
        <f>AVERAGE(B15:D15)</f>
        <v>0.34370370370370368</v>
      </c>
      <c r="C17" s="64"/>
      <c r="D17" s="65"/>
    </row>
    <row r="19" spans="1:4" ht="15" thickBot="1" x14ac:dyDescent="0.35">
      <c r="B19" t="s">
        <v>118</v>
      </c>
    </row>
    <row r="20" spans="1:4" x14ac:dyDescent="0.3">
      <c r="A20" s="60"/>
      <c r="B20" s="17" t="s">
        <v>9</v>
      </c>
      <c r="C20" s="17" t="s">
        <v>10</v>
      </c>
      <c r="D20" s="17" t="s">
        <v>11</v>
      </c>
    </row>
    <row r="21" spans="1:4" x14ac:dyDescent="0.3">
      <c r="A21" s="17" t="s">
        <v>116</v>
      </c>
      <c r="B21" s="66">
        <f>B4/B12</f>
        <v>7.2222222222222215E-2</v>
      </c>
      <c r="C21" s="26">
        <f>C4/C12</f>
        <v>0.20833333333333334</v>
      </c>
      <c r="D21" s="62">
        <f>D4/D12</f>
        <v>0.33333333333333331</v>
      </c>
    </row>
    <row r="22" spans="1:4" x14ac:dyDescent="0.3">
      <c r="A22" s="61"/>
      <c r="D22" s="63"/>
    </row>
    <row r="23" spans="1:4" ht="15" thickBot="1" x14ac:dyDescent="0.35">
      <c r="A23" s="17" t="s">
        <v>117</v>
      </c>
      <c r="B23" s="26">
        <f>AVERAGE(B21:D21)</f>
        <v>0.20462962962962963</v>
      </c>
      <c r="C23" s="64"/>
      <c r="D23" s="6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AD3F-1F60-48A1-B5B2-ED8CB276086B}">
  <sheetPr>
    <tabColor rgb="FF0000FF"/>
  </sheetPr>
  <dimension ref="A1"/>
  <sheetViews>
    <sheetView workbookViewId="0"/>
  </sheetViews>
  <sheetFormatPr defaultRowHeight="14.4" x14ac:dyDescent="0.3"/>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6E102-1712-4EAF-AB77-4985119155A5}">
  <sheetPr>
    <tabColor rgb="FF0000FF"/>
  </sheetPr>
  <dimension ref="A1:C44"/>
  <sheetViews>
    <sheetView zoomScaleNormal="100" workbookViewId="0"/>
  </sheetViews>
  <sheetFormatPr defaultRowHeight="14.4" x14ac:dyDescent="0.3"/>
  <cols>
    <col min="1" max="1" width="21" bestFit="1" customWidth="1"/>
    <col min="2" max="2" width="12.21875" customWidth="1"/>
    <col min="8" max="8" width="8.88671875" customWidth="1"/>
    <col min="12" max="12" width="8.88671875" customWidth="1"/>
  </cols>
  <sheetData>
    <row r="1" spans="1:3" x14ac:dyDescent="0.3">
      <c r="A1" s="39" t="s">
        <v>59</v>
      </c>
      <c r="B1" s="39"/>
    </row>
    <row r="2" spans="1:3" ht="15.6" x14ac:dyDescent="0.35">
      <c r="A2" s="7" t="s">
        <v>55</v>
      </c>
      <c r="B2" s="38">
        <v>-160000</v>
      </c>
    </row>
    <row r="3" spans="1:3" ht="15.6" x14ac:dyDescent="0.35">
      <c r="A3" s="7" t="s">
        <v>56</v>
      </c>
      <c r="B3" s="38">
        <v>60000</v>
      </c>
    </row>
    <row r="4" spans="1:3" ht="15.6" x14ac:dyDescent="0.35">
      <c r="A4" s="7" t="s">
        <v>57</v>
      </c>
      <c r="B4" s="38">
        <v>70000</v>
      </c>
    </row>
    <row r="5" spans="1:3" ht="15.6" x14ac:dyDescent="0.35">
      <c r="A5" s="7" t="s">
        <v>58</v>
      </c>
      <c r="B5" s="38">
        <v>90000</v>
      </c>
    </row>
    <row r="6" spans="1:3" x14ac:dyDescent="0.3">
      <c r="A6" s="7" t="s">
        <v>109</v>
      </c>
      <c r="B6" s="38">
        <v>0.12</v>
      </c>
    </row>
    <row r="7" spans="1:3" x14ac:dyDescent="0.3">
      <c r="A7" s="17" t="s">
        <v>101</v>
      </c>
      <c r="B7" s="130"/>
    </row>
    <row r="8" spans="1:3" x14ac:dyDescent="0.3">
      <c r="A8" s="57" t="str">
        <f>IF(B7&lt;&gt;"","If the Required Return is less than or equal to "&amp;TEXT(IRR(B2:B5),"00.000%")&amp;", then accept, otherwise, reject project.","")</f>
        <v/>
      </c>
      <c r="B8" s="57"/>
    </row>
    <row r="9" spans="1:3" x14ac:dyDescent="0.3">
      <c r="A9" s="57" t="str">
        <f>IF(B7&lt;&gt;"","Because "&amp;TEXT(B6,"00.00%")&amp;" &lt;= "&amp;TEXT(IRR(B2:B5),"00.00%")&amp;", we accept the project.","")</f>
        <v/>
      </c>
      <c r="B9" s="57"/>
    </row>
    <row r="10" spans="1:3" x14ac:dyDescent="0.3">
      <c r="A10" s="57" t="str">
        <f>IF(B7&lt;&gt;"","When RRR is "&amp;TEXT(IRR(B2:B5),"00.00%")&amp;", NPV = 0","")</f>
        <v/>
      </c>
      <c r="B10" s="57"/>
    </row>
    <row r="12" spans="1:3" ht="13.95" customHeight="1" x14ac:dyDescent="0.3">
      <c r="A12" s="55" t="str">
        <f>"Discount Rate"&amp;CHAR(10)&amp;"Market Rate"&amp;CHAR(10)&amp;"Required Rate Return (RRR)"</f>
        <v>Discount Rate
Market Rate
Required Rate Return (RRR)</v>
      </c>
      <c r="B12" s="17" t="s">
        <v>102</v>
      </c>
      <c r="C12" s="17" t="s">
        <v>103</v>
      </c>
    </row>
    <row r="13" spans="1:3" x14ac:dyDescent="0.3">
      <c r="A13" s="7">
        <v>0</v>
      </c>
      <c r="B13" s="33"/>
      <c r="C13" s="26"/>
    </row>
    <row r="14" spans="1:3" x14ac:dyDescent="0.3">
      <c r="A14" s="54">
        <v>0.01</v>
      </c>
      <c r="B14" s="33"/>
      <c r="C14" s="26"/>
    </row>
    <row r="15" spans="1:3" x14ac:dyDescent="0.3">
      <c r="A15" s="54">
        <v>0.02</v>
      </c>
      <c r="B15" s="33"/>
      <c r="C15" s="26"/>
    </row>
    <row r="16" spans="1:3" x14ac:dyDescent="0.3">
      <c r="A16" s="54">
        <v>0.03</v>
      </c>
      <c r="B16" s="33"/>
      <c r="C16" s="26"/>
    </row>
    <row r="17" spans="1:3" x14ac:dyDescent="0.3">
      <c r="A17" s="54">
        <v>0.04</v>
      </c>
      <c r="B17" s="33"/>
      <c r="C17" s="26"/>
    </row>
    <row r="18" spans="1:3" x14ac:dyDescent="0.3">
      <c r="A18" s="54">
        <v>0.05</v>
      </c>
      <c r="B18" s="33"/>
      <c r="C18" s="26"/>
    </row>
    <row r="19" spans="1:3" x14ac:dyDescent="0.3">
      <c r="A19" s="54">
        <v>0.06</v>
      </c>
      <c r="B19" s="33"/>
      <c r="C19" s="26"/>
    </row>
    <row r="20" spans="1:3" x14ac:dyDescent="0.3">
      <c r="A20" s="54">
        <v>7.0000000000000007E-2</v>
      </c>
      <c r="B20" s="33"/>
      <c r="C20" s="26"/>
    </row>
    <row r="21" spans="1:3" x14ac:dyDescent="0.3">
      <c r="A21" s="54">
        <v>0.08</v>
      </c>
      <c r="B21" s="33"/>
      <c r="C21" s="26"/>
    </row>
    <row r="22" spans="1:3" x14ac:dyDescent="0.3">
      <c r="A22" s="54">
        <v>0.09</v>
      </c>
      <c r="B22" s="33"/>
      <c r="C22" s="26"/>
    </row>
    <row r="23" spans="1:3" x14ac:dyDescent="0.3">
      <c r="A23" s="54">
        <v>0.1</v>
      </c>
      <c r="B23" s="33"/>
      <c r="C23" s="26"/>
    </row>
    <row r="24" spans="1:3" x14ac:dyDescent="0.3">
      <c r="A24" s="54">
        <v>0.11</v>
      </c>
      <c r="B24" s="33"/>
      <c r="C24" s="26"/>
    </row>
    <row r="25" spans="1:3" x14ac:dyDescent="0.3">
      <c r="A25" s="54">
        <v>0.12</v>
      </c>
      <c r="B25" s="33"/>
      <c r="C25" s="26"/>
    </row>
    <row r="26" spans="1:3" x14ac:dyDescent="0.3">
      <c r="A26" s="54">
        <v>0.13</v>
      </c>
      <c r="B26" s="33"/>
      <c r="C26" s="26"/>
    </row>
    <row r="27" spans="1:3" x14ac:dyDescent="0.3">
      <c r="A27" s="54">
        <v>0.14000000000000001</v>
      </c>
      <c r="B27" s="33"/>
      <c r="C27" s="26"/>
    </row>
    <row r="28" spans="1:3" x14ac:dyDescent="0.3">
      <c r="A28" s="54">
        <v>0.15</v>
      </c>
      <c r="B28" s="33"/>
      <c r="C28" s="26"/>
    </row>
    <row r="29" spans="1:3" x14ac:dyDescent="0.3">
      <c r="A29" s="54">
        <v>0.16</v>
      </c>
      <c r="B29" s="33"/>
      <c r="C29" s="26"/>
    </row>
    <row r="30" spans="1:3" x14ac:dyDescent="0.3">
      <c r="A30" s="54">
        <f>B7</f>
        <v>0</v>
      </c>
      <c r="B30" s="33"/>
      <c r="C30" s="26"/>
    </row>
    <row r="31" spans="1:3" x14ac:dyDescent="0.3">
      <c r="A31" s="54">
        <v>0.17</v>
      </c>
      <c r="B31" s="33"/>
      <c r="C31" s="26"/>
    </row>
    <row r="32" spans="1:3" x14ac:dyDescent="0.3">
      <c r="A32" s="54">
        <v>0.18</v>
      </c>
      <c r="B32" s="33"/>
      <c r="C32" s="26"/>
    </row>
    <row r="33" spans="1:3" x14ac:dyDescent="0.3">
      <c r="A33" s="54">
        <v>0.19</v>
      </c>
      <c r="B33" s="33"/>
      <c r="C33" s="26"/>
    </row>
    <row r="34" spans="1:3" x14ac:dyDescent="0.3">
      <c r="A34" s="54">
        <v>0.2</v>
      </c>
      <c r="B34" s="33"/>
      <c r="C34" s="26"/>
    </row>
    <row r="35" spans="1:3" x14ac:dyDescent="0.3">
      <c r="A35" s="54">
        <v>0.21</v>
      </c>
      <c r="B35" s="33"/>
      <c r="C35" s="26"/>
    </row>
    <row r="36" spans="1:3" x14ac:dyDescent="0.3">
      <c r="A36" s="54">
        <v>0.22</v>
      </c>
      <c r="B36" s="33"/>
      <c r="C36" s="26"/>
    </row>
    <row r="37" spans="1:3" x14ac:dyDescent="0.3">
      <c r="A37" s="54">
        <v>0.23</v>
      </c>
      <c r="B37" s="33"/>
      <c r="C37" s="26"/>
    </row>
    <row r="38" spans="1:3" x14ac:dyDescent="0.3">
      <c r="A38" s="54">
        <v>0.24</v>
      </c>
      <c r="B38" s="33"/>
      <c r="C38" s="26"/>
    </row>
    <row r="39" spans="1:3" x14ac:dyDescent="0.3">
      <c r="A39" s="54">
        <v>0.25</v>
      </c>
      <c r="B39" s="33"/>
      <c r="C39" s="26"/>
    </row>
    <row r="40" spans="1:3" x14ac:dyDescent="0.3">
      <c r="A40" s="54">
        <v>0.26</v>
      </c>
      <c r="B40" s="33"/>
      <c r="C40" s="26"/>
    </row>
    <row r="41" spans="1:3" x14ac:dyDescent="0.3">
      <c r="A41" s="54">
        <v>0.27</v>
      </c>
      <c r="B41" s="33"/>
      <c r="C41" s="26"/>
    </row>
    <row r="42" spans="1:3" x14ac:dyDescent="0.3">
      <c r="A42" s="54">
        <v>0.28000000000000003</v>
      </c>
      <c r="B42" s="33"/>
      <c r="C42" s="26"/>
    </row>
    <row r="43" spans="1:3" x14ac:dyDescent="0.3">
      <c r="A43" s="54">
        <v>0.28999999999999998</v>
      </c>
      <c r="B43" s="33"/>
      <c r="C43" s="26"/>
    </row>
    <row r="44" spans="1:3" x14ac:dyDescent="0.3">
      <c r="A44" s="54">
        <v>0.3</v>
      </c>
      <c r="B44" s="33"/>
      <c r="C44" s="26"/>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C74D-6413-45C5-9B32-BEF4EFCF8FDC}">
  <sheetPr>
    <tabColor rgb="FFFF0000"/>
  </sheetPr>
  <dimension ref="A1:N44"/>
  <sheetViews>
    <sheetView zoomScaleNormal="100" workbookViewId="0"/>
  </sheetViews>
  <sheetFormatPr defaultRowHeight="14.4" x14ac:dyDescent="0.3"/>
  <cols>
    <col min="1" max="1" width="24.6640625" customWidth="1"/>
    <col min="2" max="2" width="10.6640625" bestFit="1" customWidth="1"/>
    <col min="3" max="3" width="16.44140625" customWidth="1"/>
    <col min="9" max="9" width="8.88671875" customWidth="1"/>
    <col min="13" max="13" width="15.44140625" bestFit="1" customWidth="1"/>
    <col min="15" max="15" width="12.6640625" bestFit="1" customWidth="1"/>
  </cols>
  <sheetData>
    <row r="1" spans="1:4" x14ac:dyDescent="0.3">
      <c r="A1" s="39" t="s">
        <v>59</v>
      </c>
      <c r="B1" s="39"/>
    </row>
    <row r="2" spans="1:4" ht="15.6" x14ac:dyDescent="0.35">
      <c r="A2" s="7" t="s">
        <v>55</v>
      </c>
      <c r="B2" s="38">
        <v>-160000</v>
      </c>
    </row>
    <row r="3" spans="1:4" ht="15.6" x14ac:dyDescent="0.35">
      <c r="A3" s="7" t="s">
        <v>56</v>
      </c>
      <c r="B3" s="38">
        <v>60000</v>
      </c>
    </row>
    <row r="4" spans="1:4" ht="15.6" x14ac:dyDescent="0.35">
      <c r="A4" s="7" t="s">
        <v>57</v>
      </c>
      <c r="B4" s="38">
        <v>70000</v>
      </c>
    </row>
    <row r="5" spans="1:4" ht="15.6" x14ac:dyDescent="0.35">
      <c r="A5" s="7" t="s">
        <v>58</v>
      </c>
      <c r="B5" s="38">
        <v>90000</v>
      </c>
    </row>
    <row r="6" spans="1:4" x14ac:dyDescent="0.3">
      <c r="A6" s="7" t="s">
        <v>109</v>
      </c>
      <c r="B6" s="38">
        <v>0.15</v>
      </c>
    </row>
    <row r="7" spans="1:4" x14ac:dyDescent="0.3">
      <c r="A7" s="17" t="s">
        <v>101</v>
      </c>
      <c r="B7" s="26">
        <f>IRR(B2:B5)</f>
        <v>0.1649926641122641</v>
      </c>
      <c r="C7" t="s">
        <v>110</v>
      </c>
    </row>
    <row r="8" spans="1:4" x14ac:dyDescent="0.3">
      <c r="A8" s="57" t="str">
        <f>IF(B7&lt;&gt;"","If the Required Return is less than or equal to "&amp;TEXT(IRR(B2:B5),"00.000%")&amp;", then accept, otherwise, reject project.","")</f>
        <v>If the Required Return is less than or equal to 16.499%, then accept, otherwise, reject project.</v>
      </c>
      <c r="B8" s="57"/>
    </row>
    <row r="9" spans="1:4" x14ac:dyDescent="0.3">
      <c r="A9" s="57" t="str">
        <f>IF(B7&lt;&gt;"","Because "&amp;TEXT(B6,"00.00%")&amp;" &lt;= "&amp;TEXT(IRR(B2:B5),"00.00%")&amp;", we accept the project.","")</f>
        <v>Because 15.00% &lt;= 16.50%, we accept the project.</v>
      </c>
      <c r="B9" s="57"/>
    </row>
    <row r="10" spans="1:4" x14ac:dyDescent="0.3">
      <c r="A10" s="57" t="str">
        <f>IF(B7&lt;&gt;"","When RRR is "&amp;TEXT(IRR(B2:B5),"00.00%")&amp;", NPV = 0")</f>
        <v>When RRR is 16.50%, NPV = 0</v>
      </c>
      <c r="B10" s="57"/>
    </row>
    <row r="12" spans="1:4" ht="43.2" x14ac:dyDescent="0.3">
      <c r="A12" s="55" t="str">
        <f>"Discount Rate"&amp;CHAR(10)&amp;"Market Rate"&amp;CHAR(10)&amp;"Required Rate Return (RRR)"</f>
        <v>Discount Rate
Market Rate
Required Rate Return (RRR)</v>
      </c>
      <c r="B12" s="55" t="s">
        <v>102</v>
      </c>
      <c r="C12" s="55" t="str">
        <f>TEXT(IRR(B2:B5),"00.00%")&amp;" = IRR ==&gt; (NPV = 0)"</f>
        <v>16.50% = IRR ==&gt; (NPV = 0)</v>
      </c>
      <c r="D12" s="55" t="s">
        <v>103</v>
      </c>
    </row>
    <row r="13" spans="1:4" x14ac:dyDescent="0.3">
      <c r="A13" s="7">
        <v>0</v>
      </c>
      <c r="B13" s="26" cm="1">
        <f t="array" ref="B13:B44">NPV(A13:A44,B3:B5)+B2</f>
        <v>60000</v>
      </c>
      <c r="C13" s="26" t="str" cm="1">
        <f t="array" ref="C13:C44">IF(_xlfn.ANCHORARRAY(B13)=0,_xlfn.ANCHORARRAY(B13),"")</f>
        <v/>
      </c>
      <c r="D13" s="26" t="str" cm="1">
        <f t="array" ref="D13:D44">IF(_xlfn.ANCHORARRAY(B13)&lt;0,_xlfn.ANCHORARRAY(B13),"")</f>
        <v/>
      </c>
    </row>
    <row r="14" spans="1:4" x14ac:dyDescent="0.3">
      <c r="A14" s="50">
        <v>0.01</v>
      </c>
      <c r="B14" s="33">
        <v>55379.777366031863</v>
      </c>
      <c r="C14" s="26" t="str">
        <v/>
      </c>
      <c r="D14" s="26" t="str">
        <v/>
      </c>
    </row>
    <row r="15" spans="1:4" x14ac:dyDescent="0.3">
      <c r="A15" s="50">
        <v>0.02</v>
      </c>
      <c r="B15" s="33">
        <v>50914.354207657685</v>
      </c>
      <c r="C15" s="26" t="str">
        <v/>
      </c>
      <c r="D15" s="26" t="str">
        <v/>
      </c>
    </row>
    <row r="16" spans="1:4" x14ac:dyDescent="0.3">
      <c r="A16" s="50">
        <v>0.03</v>
      </c>
      <c r="B16" s="33">
        <v>46596.890165613178</v>
      </c>
      <c r="C16" s="26" t="str">
        <v/>
      </c>
      <c r="D16" s="26" t="str">
        <v/>
      </c>
    </row>
    <row r="17" spans="1:14" x14ac:dyDescent="0.3">
      <c r="A17" s="50">
        <v>0.04</v>
      </c>
      <c r="B17" s="33">
        <v>42420.914883932623</v>
      </c>
      <c r="C17" s="26" t="str">
        <v/>
      </c>
      <c r="D17" s="26" t="str">
        <v/>
      </c>
    </row>
    <row r="18" spans="1:14" x14ac:dyDescent="0.3">
      <c r="A18" s="50">
        <v>0.05</v>
      </c>
      <c r="B18" s="33">
        <v>38380.304502753454</v>
      </c>
      <c r="C18" s="26" t="str">
        <v/>
      </c>
      <c r="D18" s="26" t="str">
        <v/>
      </c>
    </row>
    <row r="19" spans="1:14" x14ac:dyDescent="0.3">
      <c r="A19" s="50">
        <v>0.06</v>
      </c>
      <c r="B19" s="33">
        <v>34469.259858809586</v>
      </c>
      <c r="C19" s="26" t="str">
        <v/>
      </c>
      <c r="D19" s="26" t="str">
        <v/>
      </c>
    </row>
    <row r="20" spans="1:14" x14ac:dyDescent="0.3">
      <c r="A20" s="50">
        <v>7.0000000000000007E-2</v>
      </c>
      <c r="B20" s="33">
        <v>30682.286254441686</v>
      </c>
      <c r="C20" s="26" t="str">
        <v/>
      </c>
      <c r="D20" s="26" t="str">
        <v/>
      </c>
      <c r="M20" t="s">
        <v>104</v>
      </c>
      <c r="N20" t="s">
        <v>105</v>
      </c>
    </row>
    <row r="21" spans="1:14" x14ac:dyDescent="0.3">
      <c r="A21" s="50">
        <v>0.08</v>
      </c>
      <c r="B21" s="33">
        <v>27014.174668495631</v>
      </c>
      <c r="C21" s="26" t="str">
        <v/>
      </c>
      <c r="D21" s="26" t="str">
        <v/>
      </c>
      <c r="M21" t="s">
        <v>106</v>
      </c>
      <c r="N21">
        <v>441781</v>
      </c>
    </row>
    <row r="22" spans="1:14" x14ac:dyDescent="0.3">
      <c r="A22" s="50">
        <v>0.09</v>
      </c>
      <c r="B22" s="33">
        <v>23459.984293787973</v>
      </c>
      <c r="C22" s="26" t="str">
        <v/>
      </c>
      <c r="D22" s="26" t="str">
        <v/>
      </c>
      <c r="M22" t="s">
        <v>107</v>
      </c>
      <c r="N22">
        <v>432612</v>
      </c>
    </row>
    <row r="23" spans="1:14" x14ac:dyDescent="0.3">
      <c r="A23" s="50">
        <v>0.1</v>
      </c>
      <c r="B23" s="33">
        <v>20015.026296018012</v>
      </c>
      <c r="C23" s="26" t="str">
        <v/>
      </c>
      <c r="D23" s="26" t="str">
        <v/>
      </c>
      <c r="M23" t="s">
        <v>108</v>
      </c>
      <c r="N23">
        <v>59208</v>
      </c>
    </row>
    <row r="24" spans="1:14" x14ac:dyDescent="0.3">
      <c r="A24" s="50">
        <v>0.11</v>
      </c>
      <c r="B24" s="33">
        <v>16674.848698223388</v>
      </c>
      <c r="C24" s="26" t="str">
        <v/>
      </c>
      <c r="D24" s="26" t="str">
        <v/>
      </c>
      <c r="M24" t="s">
        <v>104</v>
      </c>
      <c r="N24" s="56">
        <v>0.11</v>
      </c>
    </row>
    <row r="25" spans="1:14" x14ac:dyDescent="0.3">
      <c r="A25" s="50">
        <v>0.12</v>
      </c>
      <c r="B25" s="33">
        <v>13435.222303206974</v>
      </c>
      <c r="C25" s="26" t="str">
        <v/>
      </c>
      <c r="D25" s="26" t="str">
        <v/>
      </c>
      <c r="M25" t="str">
        <f>"f("&amp;TEXT(N24,"00.00%")&amp;") ="</f>
        <v>f(11.00%) =</v>
      </c>
      <c r="N25">
        <f>N21*N24^2-N22*N24+N23</f>
        <v>16966.230100000001</v>
      </c>
    </row>
    <row r="26" spans="1:14" x14ac:dyDescent="0.3">
      <c r="A26" s="50">
        <v>0.13</v>
      </c>
      <c r="B26" s="33">
        <v>10292.1275739017</v>
      </c>
      <c r="C26" s="26" t="str">
        <v/>
      </c>
      <c r="D26" s="26" t="str">
        <v/>
      </c>
    </row>
    <row r="27" spans="1:14" x14ac:dyDescent="0.3">
      <c r="A27" s="50">
        <v>0.14000000000000001</v>
      </c>
      <c r="B27" s="33">
        <v>7241.7423984707566</v>
      </c>
      <c r="C27" s="26" t="str">
        <v/>
      </c>
      <c r="D27" s="26" t="str">
        <v/>
      </c>
    </row>
    <row r="28" spans="1:14" x14ac:dyDescent="0.3">
      <c r="A28" s="50">
        <v>0.15</v>
      </c>
      <c r="B28" s="33">
        <v>4280.4306731322722</v>
      </c>
      <c r="C28" s="26" t="str">
        <v/>
      </c>
      <c r="D28" s="26" t="str">
        <v/>
      </c>
    </row>
    <row r="29" spans="1:14" x14ac:dyDescent="0.3">
      <c r="A29" s="50">
        <v>0.16</v>
      </c>
      <c r="B29" s="33">
        <v>1404.7316413137305</v>
      </c>
      <c r="C29" s="26" t="str">
        <v/>
      </c>
      <c r="D29" s="26" t="str">
        <v/>
      </c>
    </row>
    <row r="30" spans="1:14" x14ac:dyDescent="0.3">
      <c r="A30" s="50">
        <f>B7</f>
        <v>0.1649926641122641</v>
      </c>
      <c r="B30" s="33">
        <v>0</v>
      </c>
      <c r="C30" s="26">
        <v>0</v>
      </c>
      <c r="D30" s="26" t="str">
        <v/>
      </c>
    </row>
    <row r="31" spans="1:14" x14ac:dyDescent="0.3">
      <c r="A31" s="50">
        <v>0.17</v>
      </c>
      <c r="B31" s="33">
        <v>-1388.6500671510294</v>
      </c>
      <c r="C31" s="26" t="str">
        <v/>
      </c>
      <c r="D31" s="26">
        <v>-1388.6500671510294</v>
      </c>
    </row>
    <row r="32" spans="1:14" x14ac:dyDescent="0.3">
      <c r="A32" s="50">
        <v>0.18</v>
      </c>
      <c r="B32" s="33">
        <v>-4102.8537484357948</v>
      </c>
      <c r="C32" s="26" t="str">
        <v/>
      </c>
      <c r="D32" s="26">
        <v>-4102.8537484357948</v>
      </c>
    </row>
    <row r="33" spans="1:4" x14ac:dyDescent="0.3">
      <c r="A33" s="50">
        <v>0.19</v>
      </c>
      <c r="B33" s="33">
        <v>-6740.871336176584</v>
      </c>
      <c r="C33" s="26" t="str">
        <v/>
      </c>
      <c r="D33" s="26">
        <v>-6740.871336176584</v>
      </c>
    </row>
    <row r="34" spans="1:4" x14ac:dyDescent="0.3">
      <c r="A34" s="50">
        <v>0.2</v>
      </c>
      <c r="B34" s="33">
        <v>-9305.5555555555329</v>
      </c>
      <c r="C34" s="26" t="str">
        <v/>
      </c>
      <c r="D34" s="26">
        <v>-9305.5555555555329</v>
      </c>
    </row>
    <row r="35" spans="1:4" x14ac:dyDescent="0.3">
      <c r="A35" s="50">
        <v>0.21</v>
      </c>
      <c r="B35" s="33">
        <v>-11799.627560100955</v>
      </c>
      <c r="C35" s="26" t="str">
        <v/>
      </c>
      <c r="D35" s="26">
        <v>-11799.627560100955</v>
      </c>
    </row>
    <row r="36" spans="1:4" x14ac:dyDescent="0.3">
      <c r="A36" s="50">
        <v>0.22</v>
      </c>
      <c r="B36" s="33">
        <v>-14225.68408809547</v>
      </c>
      <c r="C36" s="26" t="str">
        <v/>
      </c>
      <c r="D36" s="26">
        <v>-14225.68408809547</v>
      </c>
    </row>
    <row r="37" spans="1:4" x14ac:dyDescent="0.3">
      <c r="A37" s="50">
        <v>0.23</v>
      </c>
      <c r="B37" s="33">
        <v>-16586.20417257119</v>
      </c>
      <c r="C37" s="26" t="str">
        <v/>
      </c>
      <c r="D37" s="26">
        <v>-16586.20417257119</v>
      </c>
    </row>
    <row r="38" spans="1:4" x14ac:dyDescent="0.3">
      <c r="A38" s="50">
        <v>0.24</v>
      </c>
      <c r="B38" s="33">
        <v>-18883.555436205555</v>
      </c>
      <c r="C38" s="26" t="str">
        <v/>
      </c>
      <c r="D38" s="26">
        <v>-18883.555436205555</v>
      </c>
    </row>
    <row r="39" spans="1:4" x14ac:dyDescent="0.3">
      <c r="A39" s="50">
        <v>0.25</v>
      </c>
      <c r="B39" s="33">
        <v>-21120</v>
      </c>
      <c r="C39" s="26" t="str">
        <v/>
      </c>
      <c r="D39" s="26">
        <v>-21120</v>
      </c>
    </row>
    <row r="40" spans="1:4" x14ac:dyDescent="0.3">
      <c r="A40" s="50">
        <v>0.26</v>
      </c>
      <c r="B40" s="33">
        <v>-23297.700032393914</v>
      </c>
      <c r="C40" s="26" t="str">
        <v/>
      </c>
      <c r="D40" s="26">
        <v>-23297.700032393914</v>
      </c>
    </row>
    <row r="41" spans="1:4" x14ac:dyDescent="0.3">
      <c r="A41" s="50">
        <v>0.27</v>
      </c>
      <c r="B41" s="33">
        <v>-25418.722963430191</v>
      </c>
      <c r="C41" s="26" t="str">
        <v/>
      </c>
      <c r="D41" s="26">
        <v>-25418.722963430191</v>
      </c>
    </row>
    <row r="42" spans="1:4" x14ac:dyDescent="0.3">
      <c r="A42" s="50">
        <v>0.28000000000000003</v>
      </c>
      <c r="B42" s="33">
        <v>-27485.04638671875</v>
      </c>
      <c r="C42" s="26" t="str">
        <v/>
      </c>
      <c r="D42" s="26">
        <v>-27485.04638671875</v>
      </c>
    </row>
    <row r="43" spans="1:4" x14ac:dyDescent="0.3">
      <c r="A43" s="50">
        <v>0.28999999999999998</v>
      </c>
      <c r="B43" s="33">
        <v>-29498.562670233092</v>
      </c>
      <c r="C43" s="26" t="str">
        <v/>
      </c>
      <c r="D43" s="26">
        <v>-29498.562670233092</v>
      </c>
    </row>
    <row r="44" spans="1:4" x14ac:dyDescent="0.3">
      <c r="A44" s="50">
        <v>0.3</v>
      </c>
      <c r="B44" s="33">
        <v>-31461.08329540283</v>
      </c>
      <c r="C44" s="26" t="str">
        <v/>
      </c>
      <c r="D44" s="26">
        <v>-31461.08329540283</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F45E-1B98-40D3-86E7-C464D38268F6}">
  <sheetPr>
    <tabColor rgb="FF0000FF"/>
  </sheetPr>
  <dimension ref="A1:C32"/>
  <sheetViews>
    <sheetView workbookViewId="0"/>
  </sheetViews>
  <sheetFormatPr defaultRowHeight="14.4" x14ac:dyDescent="0.3"/>
  <cols>
    <col min="1" max="1" width="24" customWidth="1"/>
    <col min="2" max="2" width="10.6640625" bestFit="1" customWidth="1"/>
    <col min="12" max="12" width="8.6640625" bestFit="1" customWidth="1"/>
  </cols>
  <sheetData>
    <row r="1" spans="1:3" x14ac:dyDescent="0.3">
      <c r="A1" s="39" t="s">
        <v>59</v>
      </c>
      <c r="B1" s="39"/>
    </row>
    <row r="2" spans="1:3" ht="15.6" x14ac:dyDescent="0.35">
      <c r="A2" s="7" t="s">
        <v>55</v>
      </c>
      <c r="B2" s="38">
        <v>-160000</v>
      </c>
    </row>
    <row r="3" spans="1:3" ht="15.6" x14ac:dyDescent="0.35">
      <c r="A3" s="7" t="s">
        <v>56</v>
      </c>
      <c r="B3" s="38">
        <v>60000</v>
      </c>
    </row>
    <row r="4" spans="1:3" ht="15.6" x14ac:dyDescent="0.35">
      <c r="A4" s="7" t="s">
        <v>57</v>
      </c>
      <c r="B4" s="38">
        <v>70000</v>
      </c>
    </row>
    <row r="5" spans="1:3" ht="15.6" x14ac:dyDescent="0.35">
      <c r="A5" s="7" t="s">
        <v>58</v>
      </c>
      <c r="B5" s="38">
        <v>90000</v>
      </c>
    </row>
    <row r="6" spans="1:3" x14ac:dyDescent="0.3">
      <c r="A6" s="7" t="s">
        <v>112</v>
      </c>
      <c r="B6" s="38">
        <v>0.15</v>
      </c>
    </row>
    <row r="7" spans="1:3" x14ac:dyDescent="0.3">
      <c r="A7" s="7" t="s">
        <v>111</v>
      </c>
      <c r="B7" s="7">
        <v>5.0000000000000001E-3</v>
      </c>
    </row>
    <row r="9" spans="1:3" x14ac:dyDescent="0.3">
      <c r="A9" s="17" t="s">
        <v>115</v>
      </c>
      <c r="B9" s="17" t="s">
        <v>102</v>
      </c>
      <c r="C9" s="17" t="s">
        <v>103</v>
      </c>
    </row>
    <row r="10" spans="1:3" x14ac:dyDescent="0.3">
      <c r="A10" s="102">
        <v>0.14000000000000001</v>
      </c>
      <c r="B10" s="26" cm="1">
        <f t="array" ref="B10:B19">NPV(A10:A19,B3:B5)+B2</f>
        <v>7241.7423984707566</v>
      </c>
      <c r="C10" s="33" t="str" cm="1">
        <f t="array" ref="C10:C19">IF(_xlfn.ANCHORARRAY(B10)&lt;0,_xlfn.ANCHORARRAY(B10),"")</f>
        <v/>
      </c>
    </row>
    <row r="11" spans="1:3" x14ac:dyDescent="0.3">
      <c r="A11" s="102">
        <f t="shared" ref="A11:A19" si="0">A10+$B$7</f>
        <v>0.14500000000000002</v>
      </c>
      <c r="B11" s="33">
        <v>5750.1726415104349</v>
      </c>
      <c r="C11" s="33" t="str">
        <v/>
      </c>
    </row>
    <row r="12" spans="1:3" x14ac:dyDescent="0.3">
      <c r="A12" s="102">
        <f t="shared" si="0"/>
        <v>0.15000000000000002</v>
      </c>
      <c r="B12" s="33">
        <v>4280.4306731322722</v>
      </c>
      <c r="C12" s="33" t="str">
        <v/>
      </c>
    </row>
    <row r="13" spans="1:3" x14ac:dyDescent="0.3">
      <c r="A13" s="102">
        <f t="shared" si="0"/>
        <v>0.15500000000000003</v>
      </c>
      <c r="B13" s="33">
        <v>2832.0892952365393</v>
      </c>
      <c r="C13" s="33" t="str">
        <v/>
      </c>
    </row>
    <row r="14" spans="1:3" x14ac:dyDescent="0.3">
      <c r="A14" s="102">
        <f t="shared" si="0"/>
        <v>0.16000000000000003</v>
      </c>
      <c r="B14" s="33">
        <v>1404.7316413136723</v>
      </c>
      <c r="C14" s="33" t="str">
        <v/>
      </c>
    </row>
    <row r="15" spans="1:3" x14ac:dyDescent="0.3">
      <c r="A15" s="102">
        <f t="shared" si="0"/>
        <v>0.16500000000000004</v>
      </c>
      <c r="B15" s="33">
        <v>-2.0491192542540375</v>
      </c>
      <c r="C15" s="33">
        <v>-2.0491192542540375</v>
      </c>
    </row>
    <row r="16" spans="1:3" x14ac:dyDescent="0.3">
      <c r="A16" s="102">
        <f t="shared" si="0"/>
        <v>0.17000000000000004</v>
      </c>
      <c r="B16" s="33">
        <v>-1388.6500671510294</v>
      </c>
      <c r="C16" s="33">
        <v>-1388.6500671510294</v>
      </c>
    </row>
    <row r="17" spans="1:3" x14ac:dyDescent="0.3">
      <c r="A17" s="102">
        <f t="shared" si="0"/>
        <v>0.17500000000000004</v>
      </c>
      <c r="B17" s="33">
        <v>-2755.4588097050146</v>
      </c>
      <c r="C17" s="33">
        <v>-2755.4588097050146</v>
      </c>
    </row>
    <row r="18" spans="1:3" x14ac:dyDescent="0.3">
      <c r="A18" s="102">
        <f t="shared" si="0"/>
        <v>0.18000000000000005</v>
      </c>
      <c r="B18" s="33">
        <v>-4102.853748435853</v>
      </c>
      <c r="C18" s="33">
        <v>-4102.853748435853</v>
      </c>
    </row>
    <row r="19" spans="1:3" x14ac:dyDescent="0.3">
      <c r="A19" s="102">
        <f t="shared" si="0"/>
        <v>0.18500000000000005</v>
      </c>
      <c r="B19" s="33">
        <v>-5431.2043379034149</v>
      </c>
      <c r="C19" s="33">
        <v>-5431.2043379034149</v>
      </c>
    </row>
    <row r="22" spans="1:3" x14ac:dyDescent="0.3">
      <c r="A22" s="39" t="s">
        <v>59</v>
      </c>
      <c r="B22" s="39"/>
    </row>
    <row r="23" spans="1:3" ht="15.6" x14ac:dyDescent="0.35">
      <c r="A23" s="7" t="s">
        <v>55</v>
      </c>
      <c r="B23" s="38">
        <v>-1000</v>
      </c>
    </row>
    <row r="24" spans="1:3" ht="15.6" x14ac:dyDescent="0.35">
      <c r="A24" s="7" t="s">
        <v>56</v>
      </c>
      <c r="B24" s="38">
        <v>1200</v>
      </c>
    </row>
    <row r="26" spans="1:3" ht="43.2" x14ac:dyDescent="0.3">
      <c r="A26" s="55" t="s">
        <v>120</v>
      </c>
    </row>
    <row r="27" spans="1:3" ht="15.6" x14ac:dyDescent="0.35">
      <c r="A27" s="7" t="s">
        <v>119</v>
      </c>
      <c r="B27" s="59"/>
    </row>
    <row r="28" spans="1:3" x14ac:dyDescent="0.3">
      <c r="A28" s="7" t="str">
        <f>"0 = "&amp;TEXT(B23,"#,###")&amp;" + "&amp;TEXT(B24,"#,###")&amp;"/(1+IRR)"</f>
        <v>0 = -1,000 + 1,200/(1+IRR)</v>
      </c>
    </row>
    <row r="29" spans="1:3" x14ac:dyDescent="0.3">
      <c r="A29" s="7" t="str">
        <f>TEXT(-B23,"#,###")&amp;" = "&amp;TEXT(B24,"#,###")&amp;"/(1+IRR)"</f>
        <v>1,000 = 1,200/(1+IRR)</v>
      </c>
    </row>
    <row r="30" spans="1:3" x14ac:dyDescent="0.3">
      <c r="A30" s="7" t="str">
        <f>"1 + IRR = "&amp;TEXT(B24,"#,###")&amp;"/"&amp;TEXT(-B23,"#,###")</f>
        <v>1 + IRR = 1,200/1,000</v>
      </c>
    </row>
    <row r="31" spans="1:3" x14ac:dyDescent="0.3">
      <c r="A31" s="7" t="str">
        <f>"IRR = "&amp;TEXT(B24,"#,###")&amp;"/"&amp;TEXT(-B23,"#,###")&amp;" -1"</f>
        <v>IRR = 1,200/1,000 -1</v>
      </c>
    </row>
    <row r="32" spans="1:3" x14ac:dyDescent="0.3">
      <c r="A32" s="7" t="str">
        <f>"IRR = "&amp;B24/-B23-1</f>
        <v>IRR = 0.2</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B462-DD8C-47CC-9B7F-537964AEA57C}">
  <sheetPr>
    <tabColor rgb="FF0000FF"/>
  </sheetPr>
  <dimension ref="A1:F72"/>
  <sheetViews>
    <sheetView zoomScale="115" zoomScaleNormal="115" workbookViewId="0"/>
  </sheetViews>
  <sheetFormatPr defaultRowHeight="14.4" x14ac:dyDescent="0.3"/>
  <cols>
    <col min="1" max="1" width="10.6640625" bestFit="1" customWidth="1"/>
    <col min="2" max="2" width="11" customWidth="1"/>
    <col min="3" max="3" width="11.33203125" customWidth="1"/>
    <col min="4" max="4" width="12.6640625" bestFit="1" customWidth="1"/>
  </cols>
  <sheetData>
    <row r="1" spans="1:6" ht="21" x14ac:dyDescent="0.4">
      <c r="A1" s="68" t="s">
        <v>125</v>
      </c>
      <c r="B1" s="69"/>
      <c r="C1" s="69"/>
      <c r="D1" s="69"/>
    </row>
    <row r="2" spans="1:6" x14ac:dyDescent="0.3">
      <c r="A2" s="7"/>
      <c r="B2" s="17" t="s">
        <v>122</v>
      </c>
      <c r="C2" s="17" t="s">
        <v>123</v>
      </c>
      <c r="D2" s="17" t="s">
        <v>124</v>
      </c>
    </row>
    <row r="3" spans="1:6" x14ac:dyDescent="0.3">
      <c r="A3" s="7" t="s">
        <v>121</v>
      </c>
      <c r="B3" s="21">
        <v>-61000</v>
      </c>
      <c r="C3" s="21">
        <v>0</v>
      </c>
      <c r="D3" s="22">
        <f>C3+B3</f>
        <v>-61000</v>
      </c>
      <c r="F3" t="str">
        <f>A3&amp;" = "&amp;TEXT(D3,"#,###")</f>
        <v>Cash Flow 0 = -61,000</v>
      </c>
    </row>
    <row r="4" spans="1:6" x14ac:dyDescent="0.3">
      <c r="A4" s="7" t="s">
        <v>27</v>
      </c>
      <c r="B4" s="21">
        <v>-46485</v>
      </c>
      <c r="C4" s="21">
        <v>206000</v>
      </c>
      <c r="D4" s="22">
        <f>C4+B4</f>
        <v>159515</v>
      </c>
      <c r="F4" t="str">
        <f>A4&amp;" = "&amp;TEXT(D4,"#,###")</f>
        <v>Cash Flow 1 = 159,515</v>
      </c>
    </row>
    <row r="5" spans="1:6" x14ac:dyDescent="0.3">
      <c r="A5" s="7" t="s">
        <v>28</v>
      </c>
      <c r="B5" s="21">
        <v>-149000</v>
      </c>
      <c r="C5" s="21">
        <v>46485</v>
      </c>
      <c r="D5" s="22">
        <f>C5+B5</f>
        <v>-102515</v>
      </c>
      <c r="F5" t="str">
        <f>A5&amp;" = "&amp;TEXT(D5,"#,###")</f>
        <v>Cash Flow 2 = -102,515</v>
      </c>
    </row>
    <row r="6" spans="1:6" x14ac:dyDescent="0.3">
      <c r="A6" s="7" t="s">
        <v>5</v>
      </c>
      <c r="B6" s="50">
        <v>0.15</v>
      </c>
    </row>
    <row r="8" spans="1:6" x14ac:dyDescent="0.3">
      <c r="A8" s="7" t="s">
        <v>7</v>
      </c>
      <c r="B8" s="58"/>
    </row>
    <row r="9" spans="1:6" x14ac:dyDescent="0.3">
      <c r="A9" s="7" t="s">
        <v>6</v>
      </c>
      <c r="B9" s="67"/>
    </row>
    <row r="11" spans="1:6" x14ac:dyDescent="0.3">
      <c r="A11" s="17" t="s">
        <v>5</v>
      </c>
      <c r="B11" s="17" t="s">
        <v>6</v>
      </c>
    </row>
    <row r="12" spans="1:6" x14ac:dyDescent="0.3">
      <c r="A12" s="50">
        <v>0.1</v>
      </c>
      <c r="B12" s="67"/>
    </row>
    <row r="13" spans="1:6" x14ac:dyDescent="0.3">
      <c r="A13" s="50">
        <v>0.11</v>
      </c>
      <c r="B13" s="67"/>
    </row>
    <row r="14" spans="1:6" x14ac:dyDescent="0.3">
      <c r="A14" s="50">
        <v>0.12</v>
      </c>
      <c r="B14" s="67"/>
    </row>
    <row r="15" spans="1:6" x14ac:dyDescent="0.3">
      <c r="A15" s="50">
        <v>0.13</v>
      </c>
      <c r="B15" s="67"/>
    </row>
    <row r="16" spans="1:6" x14ac:dyDescent="0.3">
      <c r="A16" s="50">
        <v>0.14000000000000001</v>
      </c>
      <c r="B16" s="67"/>
    </row>
    <row r="17" spans="1:2" x14ac:dyDescent="0.3">
      <c r="A17" s="50">
        <v>0.15</v>
      </c>
      <c r="B17" s="67"/>
    </row>
    <row r="18" spans="1:2" x14ac:dyDescent="0.3">
      <c r="A18" s="50">
        <v>0.16</v>
      </c>
      <c r="B18" s="67"/>
    </row>
    <row r="19" spans="1:2" x14ac:dyDescent="0.3">
      <c r="A19" s="50">
        <v>0.17</v>
      </c>
      <c r="B19" s="67"/>
    </row>
    <row r="20" spans="1:2" x14ac:dyDescent="0.3">
      <c r="A20" s="50">
        <v>0.18</v>
      </c>
      <c r="B20" s="67"/>
    </row>
    <row r="21" spans="1:2" x14ac:dyDescent="0.3">
      <c r="A21" s="50">
        <v>0.19</v>
      </c>
      <c r="B21" s="67"/>
    </row>
    <row r="22" spans="1:2" x14ac:dyDescent="0.3">
      <c r="A22" s="50">
        <v>0.2</v>
      </c>
      <c r="B22" s="67"/>
    </row>
    <row r="23" spans="1:2" x14ac:dyDescent="0.3">
      <c r="A23" s="50">
        <v>0.21</v>
      </c>
      <c r="B23" s="67"/>
    </row>
    <row r="24" spans="1:2" x14ac:dyDescent="0.3">
      <c r="A24" s="50">
        <v>0.22</v>
      </c>
      <c r="B24" s="67"/>
    </row>
    <row r="25" spans="1:2" x14ac:dyDescent="0.3">
      <c r="A25" s="50">
        <v>0.23</v>
      </c>
      <c r="B25" s="67"/>
    </row>
    <row r="26" spans="1:2" x14ac:dyDescent="0.3">
      <c r="A26" s="50">
        <v>0.24</v>
      </c>
      <c r="B26" s="67"/>
    </row>
    <row r="27" spans="1:2" x14ac:dyDescent="0.3">
      <c r="A27" s="50">
        <v>0.25</v>
      </c>
      <c r="B27" s="67"/>
    </row>
    <row r="28" spans="1:2" x14ac:dyDescent="0.3">
      <c r="A28" s="50">
        <v>0.26</v>
      </c>
      <c r="B28" s="67"/>
    </row>
    <row r="29" spans="1:2" x14ac:dyDescent="0.3">
      <c r="A29" s="50">
        <v>0.27</v>
      </c>
      <c r="B29" s="67"/>
    </row>
    <row r="30" spans="1:2" x14ac:dyDescent="0.3">
      <c r="A30" s="50">
        <v>0.28000000000000003</v>
      </c>
      <c r="B30" s="67"/>
    </row>
    <row r="31" spans="1:2" x14ac:dyDescent="0.3">
      <c r="A31" s="50">
        <v>0.28999999999999998</v>
      </c>
      <c r="B31" s="67"/>
    </row>
    <row r="32" spans="1:2" x14ac:dyDescent="0.3">
      <c r="A32" s="50">
        <v>0.3</v>
      </c>
      <c r="B32" s="67"/>
    </row>
    <row r="33" spans="1:2" x14ac:dyDescent="0.3">
      <c r="A33" s="50">
        <v>0.31</v>
      </c>
      <c r="B33" s="67"/>
    </row>
    <row r="34" spans="1:2" x14ac:dyDescent="0.3">
      <c r="A34" s="50">
        <v>0.32</v>
      </c>
      <c r="B34" s="67"/>
    </row>
    <row r="35" spans="1:2" x14ac:dyDescent="0.3">
      <c r="A35" s="50">
        <v>0.33</v>
      </c>
      <c r="B35" s="67"/>
    </row>
    <row r="36" spans="1:2" x14ac:dyDescent="0.3">
      <c r="A36" s="50">
        <v>0.34</v>
      </c>
      <c r="B36" s="67"/>
    </row>
    <row r="37" spans="1:2" x14ac:dyDescent="0.3">
      <c r="A37" s="50">
        <v>0.35</v>
      </c>
      <c r="B37" s="67"/>
    </row>
    <row r="38" spans="1:2" x14ac:dyDescent="0.3">
      <c r="A38" s="50">
        <v>0.36</v>
      </c>
      <c r="B38" s="67"/>
    </row>
    <row r="39" spans="1:2" x14ac:dyDescent="0.3">
      <c r="A39" s="50">
        <v>0.37</v>
      </c>
      <c r="B39" s="67"/>
    </row>
    <row r="40" spans="1:2" x14ac:dyDescent="0.3">
      <c r="A40" s="50">
        <v>0.38</v>
      </c>
      <c r="B40" s="67"/>
    </row>
    <row r="41" spans="1:2" x14ac:dyDescent="0.3">
      <c r="A41" s="50">
        <v>0.39</v>
      </c>
      <c r="B41" s="67"/>
    </row>
    <row r="42" spans="1:2" x14ac:dyDescent="0.3">
      <c r="A42" s="50">
        <v>0.4</v>
      </c>
      <c r="B42" s="67"/>
    </row>
    <row r="43" spans="1:2" x14ac:dyDescent="0.3">
      <c r="A43" s="50">
        <v>0.41</v>
      </c>
      <c r="B43" s="67"/>
    </row>
    <row r="44" spans="1:2" x14ac:dyDescent="0.3">
      <c r="A44" s="50">
        <v>0.42</v>
      </c>
      <c r="B44" s="67"/>
    </row>
    <row r="45" spans="1:2" x14ac:dyDescent="0.3">
      <c r="A45" s="50">
        <v>0.43</v>
      </c>
      <c r="B45" s="67"/>
    </row>
    <row r="46" spans="1:2" x14ac:dyDescent="0.3">
      <c r="A46" s="50">
        <v>0.44</v>
      </c>
      <c r="B46" s="67"/>
    </row>
    <row r="47" spans="1:2" x14ac:dyDescent="0.3">
      <c r="A47" s="50">
        <v>0.45</v>
      </c>
      <c r="B47" s="67"/>
    </row>
    <row r="48" spans="1:2" x14ac:dyDescent="0.3">
      <c r="A48" s="50">
        <v>0.46</v>
      </c>
      <c r="B48" s="67"/>
    </row>
    <row r="49" spans="1:2" x14ac:dyDescent="0.3">
      <c r="A49" s="50">
        <v>0.47</v>
      </c>
      <c r="B49" s="67"/>
    </row>
    <row r="50" spans="1:2" x14ac:dyDescent="0.3">
      <c r="A50" s="50">
        <v>0.48</v>
      </c>
      <c r="B50" s="67"/>
    </row>
    <row r="51" spans="1:2" x14ac:dyDescent="0.3">
      <c r="A51" s="50">
        <v>0.49</v>
      </c>
      <c r="B51" s="67"/>
    </row>
    <row r="52" spans="1:2" x14ac:dyDescent="0.3">
      <c r="A52" s="50">
        <v>0.5</v>
      </c>
      <c r="B52" s="67"/>
    </row>
    <row r="53" spans="1:2" x14ac:dyDescent="0.3">
      <c r="A53" s="50">
        <v>0.51</v>
      </c>
      <c r="B53" s="67"/>
    </row>
    <row r="54" spans="1:2" x14ac:dyDescent="0.3">
      <c r="A54" s="50">
        <v>0.52</v>
      </c>
      <c r="B54" s="67"/>
    </row>
    <row r="55" spans="1:2" x14ac:dyDescent="0.3">
      <c r="A55" s="50">
        <v>0.53</v>
      </c>
      <c r="B55" s="67"/>
    </row>
    <row r="56" spans="1:2" x14ac:dyDescent="0.3">
      <c r="A56" s="50">
        <v>0.54</v>
      </c>
      <c r="B56" s="67"/>
    </row>
    <row r="57" spans="1:2" x14ac:dyDescent="0.3">
      <c r="A57" s="50">
        <v>0.55000000000000004</v>
      </c>
      <c r="B57" s="67"/>
    </row>
    <row r="58" spans="1:2" x14ac:dyDescent="0.3">
      <c r="A58" s="50">
        <v>0.56000000000000005</v>
      </c>
      <c r="B58" s="67"/>
    </row>
    <row r="59" spans="1:2" x14ac:dyDescent="0.3">
      <c r="A59" s="50">
        <v>0.56999999999999995</v>
      </c>
      <c r="B59" s="67"/>
    </row>
    <row r="60" spans="1:2" x14ac:dyDescent="0.3">
      <c r="A60" s="50">
        <v>0.57999999999999996</v>
      </c>
      <c r="B60" s="67"/>
    </row>
    <row r="61" spans="1:2" x14ac:dyDescent="0.3">
      <c r="A61" s="50">
        <v>0.59</v>
      </c>
      <c r="B61" s="67"/>
    </row>
    <row r="62" spans="1:2" x14ac:dyDescent="0.3">
      <c r="A62" s="50">
        <v>0.6</v>
      </c>
      <c r="B62" s="67"/>
    </row>
    <row r="63" spans="1:2" x14ac:dyDescent="0.3">
      <c r="A63" s="50">
        <v>0.61</v>
      </c>
      <c r="B63" s="67"/>
    </row>
    <row r="64" spans="1:2" x14ac:dyDescent="0.3">
      <c r="A64" s="50">
        <v>0.62</v>
      </c>
      <c r="B64" s="67"/>
    </row>
    <row r="65" spans="1:2" x14ac:dyDescent="0.3">
      <c r="A65" s="50">
        <v>0.63</v>
      </c>
      <c r="B65" s="67"/>
    </row>
    <row r="66" spans="1:2" x14ac:dyDescent="0.3">
      <c r="A66" s="50">
        <v>0.64</v>
      </c>
      <c r="B66" s="67"/>
    </row>
    <row r="67" spans="1:2" x14ac:dyDescent="0.3">
      <c r="A67" s="50">
        <v>0.65</v>
      </c>
      <c r="B67" s="67"/>
    </row>
    <row r="68" spans="1:2" x14ac:dyDescent="0.3">
      <c r="A68" s="50">
        <v>0.66</v>
      </c>
      <c r="B68" s="67"/>
    </row>
    <row r="69" spans="1:2" x14ac:dyDescent="0.3">
      <c r="A69" s="50">
        <v>0.67</v>
      </c>
      <c r="B69" s="67"/>
    </row>
    <row r="70" spans="1:2" x14ac:dyDescent="0.3">
      <c r="A70" s="50">
        <v>0.68</v>
      </c>
      <c r="B70" s="67"/>
    </row>
    <row r="71" spans="1:2" x14ac:dyDescent="0.3">
      <c r="A71" s="50">
        <v>0.69</v>
      </c>
      <c r="B71" s="67"/>
    </row>
    <row r="72" spans="1:2" x14ac:dyDescent="0.3">
      <c r="A72" s="50">
        <v>0.7</v>
      </c>
      <c r="B72" s="6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FADB-3BFD-4347-9C90-71FFC79E8BA9}">
  <sheetPr>
    <tabColor rgb="FFFF0000"/>
  </sheetPr>
  <dimension ref="A1:F72"/>
  <sheetViews>
    <sheetView workbookViewId="0"/>
  </sheetViews>
  <sheetFormatPr defaultColWidth="8.88671875" defaultRowHeight="14.4" x14ac:dyDescent="0.3"/>
  <cols>
    <col min="1" max="1" width="10.6640625" bestFit="1" customWidth="1"/>
    <col min="2" max="2" width="11" customWidth="1"/>
    <col min="3" max="3" width="11.33203125" customWidth="1"/>
    <col min="4" max="4" width="12.6640625" bestFit="1" customWidth="1"/>
    <col min="6" max="6" width="20.109375" customWidth="1"/>
  </cols>
  <sheetData>
    <row r="1" spans="1:6" ht="21" x14ac:dyDescent="0.4">
      <c r="A1" s="68" t="s">
        <v>223</v>
      </c>
      <c r="B1" s="69"/>
      <c r="C1" s="69"/>
      <c r="D1" s="69"/>
    </row>
    <row r="2" spans="1:6" x14ac:dyDescent="0.3">
      <c r="A2" s="7"/>
      <c r="B2" s="17" t="s">
        <v>122</v>
      </c>
      <c r="C2" s="17" t="s">
        <v>123</v>
      </c>
      <c r="D2" s="17" t="s">
        <v>124</v>
      </c>
    </row>
    <row r="3" spans="1:6" x14ac:dyDescent="0.3">
      <c r="A3" s="7" t="s">
        <v>121</v>
      </c>
      <c r="B3" s="21">
        <v>-61000</v>
      </c>
      <c r="C3" s="21">
        <v>0</v>
      </c>
      <c r="D3" s="22">
        <f>SUM(B3:C3)</f>
        <v>-61000</v>
      </c>
      <c r="F3" s="103" t="str">
        <f>A3&amp;" =   "&amp;TEXT(D3,"#,###")</f>
        <v>Cash Flow 0 =   -61,000</v>
      </c>
    </row>
    <row r="4" spans="1:6" x14ac:dyDescent="0.3">
      <c r="A4" s="7" t="s">
        <v>27</v>
      </c>
      <c r="B4" s="21">
        <v>-46485</v>
      </c>
      <c r="C4" s="21">
        <v>206000</v>
      </c>
      <c r="D4" s="22">
        <f>SUM(B4:C4)</f>
        <v>159515</v>
      </c>
      <c r="F4" s="103" t="str">
        <f>A4&amp;" =   "&amp;TEXT(D4,"#,###")</f>
        <v>Cash Flow 1 =   159,515</v>
      </c>
    </row>
    <row r="5" spans="1:6" x14ac:dyDescent="0.3">
      <c r="A5" s="7" t="s">
        <v>28</v>
      </c>
      <c r="B5" s="21">
        <v>-149000</v>
      </c>
      <c r="C5" s="21">
        <v>46485</v>
      </c>
      <c r="D5" s="22">
        <f>SUM(B5:C5)</f>
        <v>-102515</v>
      </c>
      <c r="F5" s="103" t="str">
        <f>A5&amp;" =   "&amp;TEXT(D5,"#,###")</f>
        <v>Cash Flow 2 =   -102,515</v>
      </c>
    </row>
    <row r="6" spans="1:6" x14ac:dyDescent="0.3">
      <c r="A6" s="7" t="s">
        <v>5</v>
      </c>
      <c r="B6" s="50">
        <v>0.15</v>
      </c>
    </row>
    <row r="8" spans="1:6" x14ac:dyDescent="0.3">
      <c r="A8" s="7" t="s">
        <v>7</v>
      </c>
      <c r="B8" s="58">
        <f>IRR(D3:D5)</f>
        <v>0.13725758604750293</v>
      </c>
    </row>
    <row r="9" spans="1:6" x14ac:dyDescent="0.3">
      <c r="A9" s="7" t="s">
        <v>6</v>
      </c>
      <c r="B9" s="67">
        <f>NPV(B6,D4:D5)+D3</f>
        <v>192.62759924386046</v>
      </c>
    </row>
    <row r="11" spans="1:6" x14ac:dyDescent="0.3">
      <c r="A11" s="17" t="s">
        <v>7</v>
      </c>
      <c r="B11" s="17" t="s">
        <v>6</v>
      </c>
    </row>
    <row r="12" spans="1:6" x14ac:dyDescent="0.3">
      <c r="A12" s="50">
        <v>0.1</v>
      </c>
      <c r="B12" s="67" cm="1">
        <f t="array" ref="B12:B72">NPV(A12:A72,D4:D5)+D3</f>
        <v>-709.5041322314064</v>
      </c>
    </row>
    <row r="13" spans="1:6" x14ac:dyDescent="0.3">
      <c r="A13" s="50">
        <v>0.11</v>
      </c>
      <c r="B13" s="67">
        <v>-496.26653680707386</v>
      </c>
    </row>
    <row r="14" spans="1:6" x14ac:dyDescent="0.3">
      <c r="A14" s="50">
        <v>0.12</v>
      </c>
      <c r="B14" s="67">
        <v>-300.22321428571013</v>
      </c>
    </row>
    <row r="15" spans="1:6" x14ac:dyDescent="0.3">
      <c r="A15" s="50">
        <v>0.13</v>
      </c>
      <c r="B15" s="67">
        <v>-120.56543190540106</v>
      </c>
    </row>
    <row r="16" spans="1:6" x14ac:dyDescent="0.3">
      <c r="A16" s="50">
        <v>0.14000000000000001</v>
      </c>
      <c r="B16" s="67">
        <v>43.474915358572616</v>
      </c>
      <c r="C16" t="str">
        <f>"Is IRR "&amp;TEXT(A16,"0%")&amp;"?"</f>
        <v>Is IRR 14%?</v>
      </c>
    </row>
    <row r="17" spans="1:2" x14ac:dyDescent="0.3">
      <c r="A17" s="50">
        <v>0.15</v>
      </c>
      <c r="B17" s="67">
        <v>192.62759924386046</v>
      </c>
    </row>
    <row r="18" spans="1:2" x14ac:dyDescent="0.3">
      <c r="A18" s="50">
        <v>0.16</v>
      </c>
      <c r="B18" s="67">
        <v>327.586206896558</v>
      </c>
    </row>
    <row r="19" spans="1:2" x14ac:dyDescent="0.3">
      <c r="A19" s="50">
        <v>0.17</v>
      </c>
      <c r="B19" s="67">
        <v>449.01015413835557</v>
      </c>
    </row>
    <row r="20" spans="1:2" x14ac:dyDescent="0.3">
      <c r="A20" s="50">
        <v>0.18</v>
      </c>
      <c r="B20" s="67">
        <v>557.52657282390282</v>
      </c>
    </row>
    <row r="21" spans="1:2" x14ac:dyDescent="0.3">
      <c r="A21" s="50">
        <v>0.19</v>
      </c>
      <c r="B21" s="67">
        <v>653.73208106772654</v>
      </c>
    </row>
    <row r="22" spans="1:2" x14ac:dyDescent="0.3">
      <c r="A22" s="50">
        <v>0.2</v>
      </c>
      <c r="B22" s="67">
        <v>738.19444444444525</v>
      </c>
    </row>
    <row r="23" spans="1:2" x14ac:dyDescent="0.3">
      <c r="A23" s="50">
        <v>0.21</v>
      </c>
      <c r="B23" s="67">
        <v>811.45413564646879</v>
      </c>
    </row>
    <row r="24" spans="1:2" x14ac:dyDescent="0.3">
      <c r="A24" s="50">
        <v>0.22</v>
      </c>
      <c r="B24" s="67">
        <v>874.02579951626103</v>
      </c>
    </row>
    <row r="25" spans="1:2" x14ac:dyDescent="0.3">
      <c r="A25" s="50">
        <v>0.23</v>
      </c>
      <c r="B25" s="67">
        <v>926.39962984995509</v>
      </c>
    </row>
    <row r="26" spans="1:2" x14ac:dyDescent="0.3">
      <c r="A26" s="50">
        <v>0.24</v>
      </c>
      <c r="B26" s="67">
        <v>969.04266389177792</v>
      </c>
    </row>
    <row r="27" spans="1:2" x14ac:dyDescent="0.3">
      <c r="A27" s="50">
        <v>0.25</v>
      </c>
      <c r="B27" s="67">
        <v>1002.4000000000015</v>
      </c>
    </row>
    <row r="28" spans="1:2" x14ac:dyDescent="0.3">
      <c r="A28" s="50">
        <v>0.26</v>
      </c>
      <c r="B28" s="67">
        <v>1026.8959435626093</v>
      </c>
    </row>
    <row r="29" spans="1:2" x14ac:dyDescent="0.3">
      <c r="A29" s="50">
        <v>0.27</v>
      </c>
      <c r="B29" s="67">
        <v>1042.9350858701728</v>
      </c>
    </row>
    <row r="30" spans="1:2" x14ac:dyDescent="0.3">
      <c r="A30" s="50">
        <v>0.28000000000000003</v>
      </c>
      <c r="B30" s="67">
        <v>1050.9033203125</v>
      </c>
    </row>
    <row r="31" spans="1:2" x14ac:dyDescent="0.3">
      <c r="A31" s="50">
        <v>0.28999999999999998</v>
      </c>
      <c r="B31" s="67">
        <v>1051.1687999519272</v>
      </c>
    </row>
    <row r="32" spans="1:2" x14ac:dyDescent="0.3">
      <c r="A32" s="50">
        <v>0.3</v>
      </c>
      <c r="B32" s="67">
        <v>1044.0828402366824</v>
      </c>
    </row>
    <row r="33" spans="1:2" x14ac:dyDescent="0.3">
      <c r="A33" s="50">
        <v>0.31</v>
      </c>
      <c r="B33" s="67">
        <v>1029.9807703513798</v>
      </c>
    </row>
    <row r="34" spans="1:2" x14ac:dyDescent="0.3">
      <c r="A34" s="50">
        <v>0.32</v>
      </c>
      <c r="B34" s="67">
        <v>1009.1827364554629</v>
      </c>
    </row>
    <row r="35" spans="1:2" x14ac:dyDescent="0.3">
      <c r="A35" s="50">
        <v>0.33</v>
      </c>
      <c r="B35" s="67">
        <v>981.99445983378973</v>
      </c>
    </row>
    <row r="36" spans="1:2" x14ac:dyDescent="0.3">
      <c r="A36" s="50">
        <v>0.34</v>
      </c>
      <c r="B36" s="67">
        <v>948.70795277344587</v>
      </c>
    </row>
    <row r="37" spans="1:2" x14ac:dyDescent="0.3">
      <c r="A37" s="50">
        <v>0.35</v>
      </c>
      <c r="B37" s="67">
        <v>909.60219478737417</v>
      </c>
    </row>
    <row r="38" spans="1:2" x14ac:dyDescent="0.3">
      <c r="A38" s="50">
        <v>0.36</v>
      </c>
      <c r="B38" s="67">
        <v>864.94377162629826</v>
      </c>
    </row>
    <row r="39" spans="1:2" x14ac:dyDescent="0.3">
      <c r="A39" s="50">
        <v>0.37</v>
      </c>
      <c r="B39" s="67">
        <v>814.98747935424763</v>
      </c>
    </row>
    <row r="40" spans="1:2" x14ac:dyDescent="0.3">
      <c r="A40" s="50">
        <v>0.38</v>
      </c>
      <c r="B40" s="67">
        <v>759.97689561016159</v>
      </c>
    </row>
    <row r="41" spans="1:2" x14ac:dyDescent="0.3">
      <c r="A41" s="50">
        <v>0.39</v>
      </c>
      <c r="B41" s="67">
        <v>700.1449200351999</v>
      </c>
    </row>
    <row r="42" spans="1:2" x14ac:dyDescent="0.3">
      <c r="A42" s="50">
        <v>0.4</v>
      </c>
      <c r="B42" s="67">
        <v>635.71428571428987</v>
      </c>
    </row>
    <row r="43" spans="1:2" x14ac:dyDescent="0.3">
      <c r="A43" s="50">
        <v>0.41</v>
      </c>
      <c r="B43" s="67">
        <v>566.89804335798544</v>
      </c>
    </row>
    <row r="44" spans="1:2" x14ac:dyDescent="0.3">
      <c r="A44" s="50">
        <v>0.42</v>
      </c>
      <c r="B44" s="67">
        <v>493.90001983733237</v>
      </c>
    </row>
    <row r="45" spans="1:2" x14ac:dyDescent="0.3">
      <c r="A45" s="50">
        <v>0.43</v>
      </c>
      <c r="B45" s="67">
        <v>416.91525257959438</v>
      </c>
    </row>
    <row r="46" spans="1:2" x14ac:dyDescent="0.3">
      <c r="A46" s="50">
        <v>0.44</v>
      </c>
      <c r="B46" s="67">
        <v>336.13040123457176</v>
      </c>
    </row>
    <row r="47" spans="1:2" x14ac:dyDescent="0.3">
      <c r="A47" s="50">
        <v>0.45</v>
      </c>
      <c r="B47" s="67">
        <v>251.72413793103624</v>
      </c>
    </row>
    <row r="48" spans="1:2" x14ac:dyDescent="0.3">
      <c r="A48" s="50">
        <v>0.46</v>
      </c>
      <c r="B48" s="67">
        <v>163.86751735785219</v>
      </c>
    </row>
    <row r="49" spans="1:3" x14ac:dyDescent="0.3">
      <c r="A49" s="50">
        <v>0.47</v>
      </c>
      <c r="B49" s="67">
        <v>72.724327826370427</v>
      </c>
    </row>
    <row r="50" spans="1:3" x14ac:dyDescent="0.3">
      <c r="A50" s="50">
        <v>0.48</v>
      </c>
      <c r="B50" s="67">
        <v>-21.5485756026319</v>
      </c>
      <c r="C50" t="str">
        <f>"Is IRR "&amp;TEXT(A50,"0%")&amp;"?"</f>
        <v>Is IRR 48%?</v>
      </c>
    </row>
    <row r="51" spans="1:3" x14ac:dyDescent="0.3">
      <c r="A51" s="50">
        <v>0.49</v>
      </c>
      <c r="B51" s="67">
        <v>-118.80095491194515</v>
      </c>
    </row>
    <row r="52" spans="1:3" x14ac:dyDescent="0.3">
      <c r="A52" s="50">
        <v>0.5</v>
      </c>
      <c r="B52" s="67">
        <v>-218.88888888888323</v>
      </c>
    </row>
    <row r="53" spans="1:3" x14ac:dyDescent="0.3">
      <c r="A53" s="50">
        <v>0.51</v>
      </c>
      <c r="B53" s="67">
        <v>-321.674487961056</v>
      </c>
    </row>
    <row r="54" spans="1:3" x14ac:dyDescent="0.3">
      <c r="A54" s="50">
        <v>0.52</v>
      </c>
      <c r="B54" s="67">
        <v>-427.02562326870247</v>
      </c>
    </row>
    <row r="55" spans="1:3" x14ac:dyDescent="0.3">
      <c r="A55" s="50">
        <v>0.53</v>
      </c>
      <c r="B55" s="67">
        <v>-534.81566918706812</v>
      </c>
    </row>
    <row r="56" spans="1:3" x14ac:dyDescent="0.3">
      <c r="A56" s="50">
        <v>0.54</v>
      </c>
      <c r="B56" s="67">
        <v>-644.92325855962554</v>
      </c>
    </row>
    <row r="57" spans="1:3" x14ac:dyDescent="0.3">
      <c r="A57" s="50">
        <v>0.55000000000000004</v>
      </c>
      <c r="B57" s="67">
        <v>-757.23204994796833</v>
      </c>
    </row>
    <row r="58" spans="1:3" x14ac:dyDescent="0.3">
      <c r="A58" s="50">
        <v>0.56000000000000005</v>
      </c>
      <c r="B58" s="67">
        <v>-871.63050624589232</v>
      </c>
    </row>
    <row r="59" spans="1:3" x14ac:dyDescent="0.3">
      <c r="A59" s="50">
        <v>0.56999999999999995</v>
      </c>
      <c r="B59" s="67">
        <v>-988.01168404398049</v>
      </c>
    </row>
    <row r="60" spans="1:3" x14ac:dyDescent="0.3">
      <c r="A60" s="50">
        <v>0.57999999999999996</v>
      </c>
      <c r="B60" s="67">
        <v>-1106.2730331677667</v>
      </c>
    </row>
    <row r="61" spans="1:3" x14ac:dyDescent="0.3">
      <c r="A61" s="50">
        <v>0.59</v>
      </c>
      <c r="B61" s="67">
        <v>-1226.316205846284</v>
      </c>
    </row>
    <row r="62" spans="1:3" x14ac:dyDescent="0.3">
      <c r="A62" s="50">
        <v>0.6</v>
      </c>
      <c r="B62" s="67">
        <v>-1348.046875</v>
      </c>
    </row>
    <row r="63" spans="1:3" x14ac:dyDescent="0.3">
      <c r="A63" s="50">
        <v>0.61</v>
      </c>
      <c r="B63" s="67">
        <v>-1471.3745611666236</v>
      </c>
    </row>
    <row r="64" spans="1:3" x14ac:dyDescent="0.3">
      <c r="A64" s="50">
        <v>0.62</v>
      </c>
      <c r="B64" s="67">
        <v>-1596.2124676116437</v>
      </c>
    </row>
    <row r="65" spans="1:2" x14ac:dyDescent="0.3">
      <c r="A65" s="50">
        <v>0.63</v>
      </c>
      <c r="B65" s="67">
        <v>-1722.4773231962026</v>
      </c>
    </row>
    <row r="66" spans="1:2" x14ac:dyDescent="0.3">
      <c r="A66" s="50">
        <v>0.64</v>
      </c>
      <c r="B66" s="67">
        <v>-1850.0892325996392</v>
      </c>
    </row>
    <row r="67" spans="1:2" x14ac:dyDescent="0.3">
      <c r="A67" s="50">
        <v>0.65</v>
      </c>
      <c r="B67" s="67">
        <v>-1978.9715335169894</v>
      </c>
    </row>
    <row r="68" spans="1:2" x14ac:dyDescent="0.3">
      <c r="A68" s="50">
        <v>0.66</v>
      </c>
      <c r="B68" s="67">
        <v>-2109.0506604732291</v>
      </c>
    </row>
    <row r="69" spans="1:2" x14ac:dyDescent="0.3">
      <c r="A69" s="50">
        <v>0.67</v>
      </c>
      <c r="B69" s="67">
        <v>-2240.2560149162746</v>
      </c>
    </row>
    <row r="70" spans="1:2" x14ac:dyDescent="0.3">
      <c r="A70" s="50">
        <v>0.68</v>
      </c>
      <c r="B70" s="67">
        <v>-2372.5198412698446</v>
      </c>
    </row>
    <row r="71" spans="1:2" x14ac:dyDescent="0.3">
      <c r="A71" s="50">
        <v>0.69</v>
      </c>
      <c r="B71" s="67">
        <v>-2505.7771086446519</v>
      </c>
    </row>
    <row r="72" spans="1:2" x14ac:dyDescent="0.3">
      <c r="A72" s="50">
        <v>0.7</v>
      </c>
      <c r="B72" s="67">
        <v>-2639.9653979238719</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9D51-3B86-4CC2-B640-2F07F0B6ABDF}">
  <sheetPr>
    <tabColor rgb="FF0000FF"/>
  </sheetPr>
  <dimension ref="A1:E28"/>
  <sheetViews>
    <sheetView zoomScale="85" zoomScaleNormal="85" workbookViewId="0"/>
  </sheetViews>
  <sheetFormatPr defaultRowHeight="14.4" x14ac:dyDescent="0.3"/>
  <cols>
    <col min="1" max="1" width="10" customWidth="1"/>
    <col min="2" max="2" width="12.6640625" customWidth="1"/>
    <col min="3" max="3" width="12" bestFit="1" customWidth="1"/>
    <col min="5" max="5" width="13.33203125" customWidth="1"/>
    <col min="10" max="10" width="14.109375" bestFit="1" customWidth="1"/>
  </cols>
  <sheetData>
    <row r="1" spans="1:5" x14ac:dyDescent="0.3">
      <c r="A1" s="70" t="s">
        <v>126</v>
      </c>
      <c r="B1" s="69"/>
      <c r="C1" s="69"/>
      <c r="D1" s="69"/>
    </row>
    <row r="2" spans="1:5" x14ac:dyDescent="0.3">
      <c r="A2" s="7" t="s">
        <v>5</v>
      </c>
      <c r="B2" s="50">
        <v>0.1</v>
      </c>
    </row>
    <row r="4" spans="1:5" x14ac:dyDescent="0.3">
      <c r="A4" s="17" t="s">
        <v>0</v>
      </c>
      <c r="B4" s="17" t="s">
        <v>130</v>
      </c>
      <c r="C4" s="17" t="s">
        <v>131</v>
      </c>
      <c r="D4" s="17" t="s">
        <v>129</v>
      </c>
      <c r="E4" s="17" t="str">
        <f>"Cross Over Rate = "&amp;TEXT(E5,"00.00%")</f>
        <v>Cross Over Rate = 00.00%</v>
      </c>
    </row>
    <row r="5" spans="1:5" x14ac:dyDescent="0.3">
      <c r="A5" s="7">
        <v>0</v>
      </c>
      <c r="B5" s="71">
        <v>-5500</v>
      </c>
      <c r="C5" s="71">
        <v>-5500</v>
      </c>
      <c r="D5" s="133"/>
      <c r="E5" s="129"/>
    </row>
    <row r="6" spans="1:5" x14ac:dyDescent="0.3">
      <c r="A6" s="7">
        <v>1</v>
      </c>
      <c r="B6" s="71">
        <v>2500</v>
      </c>
      <c r="C6" s="71">
        <v>1100</v>
      </c>
      <c r="D6" s="133"/>
    </row>
    <row r="7" spans="1:5" x14ac:dyDescent="0.3">
      <c r="A7" s="7">
        <v>2</v>
      </c>
      <c r="B7" s="71">
        <v>2200</v>
      </c>
      <c r="C7" s="71">
        <v>2200</v>
      </c>
      <c r="D7" s="133"/>
    </row>
    <row r="8" spans="1:5" x14ac:dyDescent="0.3">
      <c r="A8" s="7">
        <v>3</v>
      </c>
      <c r="B8" s="71">
        <v>2200</v>
      </c>
      <c r="C8" s="71">
        <v>2750</v>
      </c>
      <c r="D8" s="133"/>
    </row>
    <row r="9" spans="1:5" x14ac:dyDescent="0.3">
      <c r="A9" s="7">
        <v>4</v>
      </c>
      <c r="B9" s="71">
        <v>1650</v>
      </c>
      <c r="C9" s="71">
        <v>3000</v>
      </c>
      <c r="D9" s="133"/>
    </row>
    <row r="10" spans="1:5" x14ac:dyDescent="0.3">
      <c r="A10" s="7" t="s">
        <v>7</v>
      </c>
      <c r="B10" s="131"/>
      <c r="C10" s="131"/>
      <c r="E10" s="132">
        <f>SUM(C5:C9)</f>
        <v>3550</v>
      </c>
    </row>
    <row r="11" spans="1:5" x14ac:dyDescent="0.3">
      <c r="A11" s="7" t="s">
        <v>6</v>
      </c>
      <c r="B11" s="107"/>
      <c r="C11" s="107"/>
    </row>
    <row r="13" spans="1:5" ht="28.8" x14ac:dyDescent="0.3">
      <c r="A13" s="55" t="s">
        <v>115</v>
      </c>
      <c r="B13" s="17" t="s">
        <v>127</v>
      </c>
      <c r="C13" s="17" t="s">
        <v>128</v>
      </c>
    </row>
    <row r="14" spans="1:5" x14ac:dyDescent="0.3">
      <c r="A14" s="50">
        <v>0</v>
      </c>
      <c r="B14" s="67"/>
      <c r="C14" s="67"/>
    </row>
    <row r="15" spans="1:5" x14ac:dyDescent="0.3">
      <c r="A15" s="54">
        <v>2.5000000000000001E-2</v>
      </c>
      <c r="B15" s="67"/>
      <c r="C15" s="67"/>
    </row>
    <row r="16" spans="1:5" x14ac:dyDescent="0.3">
      <c r="A16" s="50">
        <v>0.05</v>
      </c>
      <c r="B16" s="67"/>
      <c r="C16" s="67"/>
    </row>
    <row r="17" spans="1:3" x14ac:dyDescent="0.3">
      <c r="A17" s="54">
        <v>7.4999999999999997E-2</v>
      </c>
      <c r="B17" s="67"/>
      <c r="C17" s="67"/>
    </row>
    <row r="18" spans="1:3" x14ac:dyDescent="0.3">
      <c r="A18" s="50">
        <v>0.1</v>
      </c>
      <c r="B18" s="67"/>
      <c r="C18" s="67"/>
    </row>
    <row r="19" spans="1:3" x14ac:dyDescent="0.3">
      <c r="A19" s="54">
        <v>0.125</v>
      </c>
      <c r="B19" s="67"/>
      <c r="C19" s="67"/>
    </row>
    <row r="20" spans="1:3" x14ac:dyDescent="0.3">
      <c r="A20" s="50">
        <v>0.15</v>
      </c>
      <c r="B20" s="67"/>
      <c r="C20" s="67"/>
    </row>
    <row r="21" spans="1:3" x14ac:dyDescent="0.3">
      <c r="A21" s="54">
        <v>0.17499999999999999</v>
      </c>
      <c r="B21" s="67"/>
      <c r="C21" s="67"/>
    </row>
    <row r="22" spans="1:3" x14ac:dyDescent="0.3">
      <c r="A22" s="50">
        <v>0.2</v>
      </c>
      <c r="B22" s="67"/>
      <c r="C22" s="67"/>
    </row>
    <row r="23" spans="1:3" x14ac:dyDescent="0.3">
      <c r="A23" s="54">
        <v>0.22500000000000001</v>
      </c>
      <c r="B23" s="67"/>
      <c r="C23" s="67"/>
    </row>
    <row r="24" spans="1:3" x14ac:dyDescent="0.3">
      <c r="A24" s="50">
        <v>0.25</v>
      </c>
      <c r="B24" s="67"/>
      <c r="C24" s="67"/>
    </row>
    <row r="25" spans="1:3" x14ac:dyDescent="0.3">
      <c r="A25" s="50">
        <v>0.27500000000000002</v>
      </c>
      <c r="B25" s="67"/>
      <c r="C25" s="67"/>
    </row>
    <row r="26" spans="1:3" x14ac:dyDescent="0.3">
      <c r="A26" s="54">
        <v>0.3</v>
      </c>
      <c r="B26" s="67"/>
      <c r="C26" s="67"/>
    </row>
    <row r="27" spans="1:3" x14ac:dyDescent="0.3">
      <c r="A27" s="50">
        <v>0.32500000000000001</v>
      </c>
      <c r="B27" s="67"/>
      <c r="C27" s="67"/>
    </row>
    <row r="28" spans="1:3" x14ac:dyDescent="0.3">
      <c r="A28" s="54">
        <v>0.35</v>
      </c>
      <c r="B28" s="67"/>
      <c r="C28" s="67"/>
    </row>
  </sheetData>
  <conditionalFormatting sqref="B10:C11">
    <cfRule type="expression" dxfId="1" priority="1" stopIfTrue="1">
      <formula>MAX($B10:$C10)=B10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3F46-F3E2-4E34-A83F-EB5353B0C17F}">
  <sheetPr>
    <tabColor rgb="FFFF0000"/>
  </sheetPr>
  <dimension ref="A1:E28"/>
  <sheetViews>
    <sheetView zoomScale="85" zoomScaleNormal="85" workbookViewId="0"/>
  </sheetViews>
  <sheetFormatPr defaultRowHeight="14.4" x14ac:dyDescent="0.3"/>
  <cols>
    <col min="1" max="1" width="10" customWidth="1"/>
    <col min="2" max="2" width="12.6640625" customWidth="1"/>
    <col min="3" max="3" width="12" bestFit="1" customWidth="1"/>
    <col min="5" max="5" width="26" customWidth="1"/>
    <col min="10" max="10" width="14.109375" bestFit="1" customWidth="1"/>
  </cols>
  <sheetData>
    <row r="1" spans="1:5" x14ac:dyDescent="0.3">
      <c r="A1" s="70" t="s">
        <v>224</v>
      </c>
      <c r="B1" s="69"/>
      <c r="C1" s="69"/>
      <c r="D1" s="69"/>
    </row>
    <row r="2" spans="1:5" x14ac:dyDescent="0.3">
      <c r="A2" s="7" t="s">
        <v>5</v>
      </c>
      <c r="B2" s="50">
        <v>0.1</v>
      </c>
    </row>
    <row r="4" spans="1:5" x14ac:dyDescent="0.3">
      <c r="A4" s="17" t="s">
        <v>0</v>
      </c>
      <c r="B4" s="17" t="s">
        <v>130</v>
      </c>
      <c r="C4" s="17" t="s">
        <v>131</v>
      </c>
      <c r="D4" s="17" t="s">
        <v>129</v>
      </c>
      <c r="E4" s="17" t="str">
        <f>"Cross Over Rate = "&amp;TEXT(E5,"00.00%")</f>
        <v>Cross Over Rate = 11.98%</v>
      </c>
    </row>
    <row r="5" spans="1:5" x14ac:dyDescent="0.3">
      <c r="A5" s="7">
        <v>0</v>
      </c>
      <c r="B5" s="71">
        <v>-5500</v>
      </c>
      <c r="C5" s="71">
        <v>-5500</v>
      </c>
      <c r="D5" s="133" cm="1">
        <f t="array" ref="D5:D9">B5:B9-C5:C9</f>
        <v>0</v>
      </c>
      <c r="E5" s="129">
        <f>IRR(D5:D9)</f>
        <v>0.11980939393834533</v>
      </c>
    </row>
    <row r="6" spans="1:5" x14ac:dyDescent="0.3">
      <c r="A6" s="7">
        <v>1</v>
      </c>
      <c r="B6" s="71">
        <v>2500</v>
      </c>
      <c r="C6" s="71">
        <v>1100</v>
      </c>
      <c r="D6" s="133">
        <v>1400</v>
      </c>
    </row>
    <row r="7" spans="1:5" x14ac:dyDescent="0.3">
      <c r="A7" s="7">
        <v>2</v>
      </c>
      <c r="B7" s="71">
        <v>2200</v>
      </c>
      <c r="C7" s="71">
        <v>2200</v>
      </c>
      <c r="D7" s="133">
        <v>0</v>
      </c>
    </row>
    <row r="8" spans="1:5" x14ac:dyDescent="0.3">
      <c r="A8" s="7">
        <v>3</v>
      </c>
      <c r="B8" s="71">
        <v>2200</v>
      </c>
      <c r="C8" s="71">
        <v>2750</v>
      </c>
      <c r="D8" s="133">
        <v>-550</v>
      </c>
    </row>
    <row r="9" spans="1:5" x14ac:dyDescent="0.3">
      <c r="A9" s="7">
        <v>4</v>
      </c>
      <c r="B9" s="71">
        <v>1650</v>
      </c>
      <c r="C9" s="71">
        <v>3000</v>
      </c>
      <c r="D9" s="133">
        <v>-1350</v>
      </c>
    </row>
    <row r="10" spans="1:5" x14ac:dyDescent="0.3">
      <c r="A10" s="7" t="s">
        <v>7</v>
      </c>
      <c r="B10" s="131">
        <f>IRR(B5:B9)</f>
        <v>0.21828676594444096</v>
      </c>
      <c r="C10" s="131">
        <f>IRR(C5:C9)</f>
        <v>0.19857000465422203</v>
      </c>
      <c r="E10" s="132">
        <f>SUM(C5:C9)</f>
        <v>3550</v>
      </c>
    </row>
    <row r="11" spans="1:5" x14ac:dyDescent="0.3">
      <c r="A11" s="7" t="s">
        <v>6</v>
      </c>
      <c r="B11" s="107">
        <f>NPV(B2,B6:B9)+B5</f>
        <v>1370.773854244927</v>
      </c>
      <c r="C11" s="107">
        <f>NPV(B2,C6:C9)+C5</f>
        <v>1433.337886756367</v>
      </c>
    </row>
    <row r="13" spans="1:5" ht="28.8" x14ac:dyDescent="0.3">
      <c r="A13" s="55" t="s">
        <v>115</v>
      </c>
      <c r="B13" s="17" t="s">
        <v>127</v>
      </c>
      <c r="C13" s="17" t="s">
        <v>128</v>
      </c>
    </row>
    <row r="14" spans="1:5" x14ac:dyDescent="0.3">
      <c r="A14" s="50">
        <v>0</v>
      </c>
      <c r="B14" s="67" cm="1">
        <f t="array" ref="B14:B28">NPV(A14:A28,B6:B9)+B5</f>
        <v>3050</v>
      </c>
      <c r="C14" s="67" cm="1">
        <f t="array" ref="C14:C28">NPV(A14:A28,C6:C9)+C5</f>
        <v>3550</v>
      </c>
    </row>
    <row r="15" spans="1:5" x14ac:dyDescent="0.3">
      <c r="A15" s="54">
        <v>2.5000000000000001E-2</v>
      </c>
      <c r="B15" s="67">
        <v>2570.7533298109784</v>
      </c>
      <c r="C15" s="67">
        <v>2938.6627177599257</v>
      </c>
    </row>
    <row r="16" spans="1:5" x14ac:dyDescent="0.3">
      <c r="A16" s="50">
        <v>0.05</v>
      </c>
      <c r="B16" s="67">
        <v>2134.3190337359429</v>
      </c>
      <c r="C16" s="67">
        <v>2386.744720563961</v>
      </c>
    </row>
    <row r="17" spans="1:3" x14ac:dyDescent="0.3">
      <c r="A17" s="54">
        <v>7.4999999999999997E-2</v>
      </c>
      <c r="B17" s="67">
        <v>1735.7472692911933</v>
      </c>
      <c r="C17" s="67">
        <v>1887.0307163242333</v>
      </c>
    </row>
    <row r="18" spans="1:3" x14ac:dyDescent="0.3">
      <c r="A18" s="50">
        <v>0.1</v>
      </c>
      <c r="B18" s="67">
        <v>1370.773854244927</v>
      </c>
      <c r="C18" s="67">
        <v>1433.337886756367</v>
      </c>
    </row>
    <row r="19" spans="1:3" x14ac:dyDescent="0.3">
      <c r="A19" s="54">
        <v>0.125</v>
      </c>
      <c r="B19" s="67">
        <v>1035.7110196616377</v>
      </c>
      <c r="C19" s="67">
        <v>1020.3475080018288</v>
      </c>
    </row>
    <row r="20" spans="1:3" x14ac:dyDescent="0.3">
      <c r="A20" s="50">
        <v>0.15</v>
      </c>
      <c r="B20" s="67">
        <v>727.35767811007008</v>
      </c>
      <c r="C20" s="67">
        <v>643.46718315043381</v>
      </c>
    </row>
    <row r="21" spans="1:3" x14ac:dyDescent="0.3">
      <c r="A21" s="54">
        <v>0.17499999999999999</v>
      </c>
      <c r="B21" s="67">
        <v>442.92536745742109</v>
      </c>
      <c r="C21" s="67">
        <v>298.71758010410758</v>
      </c>
    </row>
    <row r="22" spans="1:3" x14ac:dyDescent="0.3">
      <c r="A22" s="50">
        <v>0.2</v>
      </c>
      <c r="B22" s="67">
        <v>179.97685185185219</v>
      </c>
      <c r="C22" s="67">
        <v>-17.361111111110404</v>
      </c>
    </row>
    <row r="23" spans="1:3" x14ac:dyDescent="0.3">
      <c r="A23" s="54">
        <v>0.22500000000000001</v>
      </c>
      <c r="B23" s="67">
        <v>-63.625006309845958</v>
      </c>
      <c r="C23" s="67">
        <v>-307.78677355905347</v>
      </c>
    </row>
    <row r="24" spans="1:3" x14ac:dyDescent="0.3">
      <c r="A24" s="50">
        <v>0.25</v>
      </c>
      <c r="B24" s="67">
        <v>-289.76000000000022</v>
      </c>
      <c r="C24" s="67">
        <v>-575.19999999999982</v>
      </c>
    </row>
    <row r="25" spans="1:3" x14ac:dyDescent="0.3">
      <c r="A25" s="50">
        <v>0.27500000000000002</v>
      </c>
      <c r="B25" s="67">
        <v>-500.08647193187517</v>
      </c>
      <c r="C25" s="67">
        <v>-821.91815143408076</v>
      </c>
    </row>
    <row r="26" spans="1:3" x14ac:dyDescent="0.3">
      <c r="A26" s="54">
        <v>0.3</v>
      </c>
      <c r="B26" s="67">
        <v>-696.07156612163544</v>
      </c>
      <c r="C26" s="67">
        <v>-1049.9807429711855</v>
      </c>
    </row>
    <row r="27" spans="1:3" x14ac:dyDescent="0.3">
      <c r="A27" s="50">
        <v>0.32500000000000001</v>
      </c>
      <c r="B27" s="67">
        <v>-879.01681785939218</v>
      </c>
      <c r="C27" s="67">
        <v>-1261.1876893183062</v>
      </c>
    </row>
    <row r="28" spans="1:3" x14ac:dyDescent="0.3">
      <c r="A28" s="54">
        <v>0.35</v>
      </c>
      <c r="B28" s="67">
        <v>-1050.0798771641639</v>
      </c>
      <c r="C28" s="67">
        <v>-1457.1316477275941</v>
      </c>
    </row>
  </sheetData>
  <conditionalFormatting sqref="B10:C11">
    <cfRule type="expression" dxfId="0" priority="1" stopIfTrue="1">
      <formula>MAX($B10:$C10)=B10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6E90-9627-4D26-A07F-D4D3B225A121}">
  <sheetPr>
    <tabColor rgb="FF0000FF"/>
  </sheetPr>
  <dimension ref="A1:E26"/>
  <sheetViews>
    <sheetView zoomScaleNormal="100" workbookViewId="0"/>
  </sheetViews>
  <sheetFormatPr defaultRowHeight="14.4" x14ac:dyDescent="0.3"/>
  <cols>
    <col min="1" max="1" width="6" bestFit="1" customWidth="1"/>
    <col min="2" max="2" width="24.88671875" bestFit="1" customWidth="1"/>
    <col min="3" max="3" width="15.6640625" customWidth="1"/>
    <col min="4" max="4" width="1.33203125" customWidth="1"/>
    <col min="5" max="5" width="23.5546875" bestFit="1" customWidth="1"/>
    <col min="6" max="6" width="8.77734375" bestFit="1" customWidth="1"/>
    <col min="7" max="7" width="9.77734375" customWidth="1"/>
    <col min="8" max="8" width="9" bestFit="1" customWidth="1"/>
    <col min="9" max="9" width="24.88671875" bestFit="1" customWidth="1"/>
    <col min="10" max="10" width="9.88671875" bestFit="1" customWidth="1"/>
  </cols>
  <sheetData>
    <row r="1" spans="1:5" x14ac:dyDescent="0.3">
      <c r="A1" s="7"/>
      <c r="B1" s="110" t="s">
        <v>115</v>
      </c>
      <c r="C1" s="72">
        <v>0.15</v>
      </c>
    </row>
    <row r="2" spans="1:5" x14ac:dyDescent="0.3">
      <c r="A2" s="7">
        <v>0</v>
      </c>
      <c r="B2" s="110" t="s">
        <v>1</v>
      </c>
      <c r="C2" s="32">
        <v>-6660</v>
      </c>
    </row>
    <row r="3" spans="1:5" x14ac:dyDescent="0.3">
      <c r="A3" s="7">
        <v>1</v>
      </c>
      <c r="B3" s="110" t="s">
        <v>2</v>
      </c>
      <c r="C3" s="32">
        <v>17205</v>
      </c>
    </row>
    <row r="4" spans="1:5" x14ac:dyDescent="0.3">
      <c r="A4" s="7">
        <v>2</v>
      </c>
      <c r="B4" s="110" t="s">
        <v>3</v>
      </c>
      <c r="C4" s="32">
        <v>-11100</v>
      </c>
    </row>
    <row r="6" spans="1:5" x14ac:dyDescent="0.3">
      <c r="A6" s="104" t="s">
        <v>132</v>
      </c>
      <c r="B6" s="105"/>
      <c r="C6" s="105"/>
    </row>
    <row r="7" spans="1:5" x14ac:dyDescent="0.3">
      <c r="A7" s="110" t="s">
        <v>1</v>
      </c>
      <c r="B7" s="106" t="str">
        <f>$C$2&amp;" + "&amp;$C$4&amp;"/(1+"&amp;$C$1&amp;")^"&amp;$A$4&amp;" ="</f>
        <v>-6660 + -11100/(1+0.15)^2 =</v>
      </c>
      <c r="C7" s="107"/>
      <c r="E7" s="117" t="s">
        <v>161</v>
      </c>
    </row>
    <row r="8" spans="1:5" x14ac:dyDescent="0.3">
      <c r="A8" s="110" t="s">
        <v>2</v>
      </c>
      <c r="B8" s="106">
        <f>$C$3</f>
        <v>17205</v>
      </c>
      <c r="C8" s="107"/>
      <c r="E8" s="118" t="s">
        <v>162</v>
      </c>
    </row>
    <row r="9" spans="1:5" x14ac:dyDescent="0.3">
      <c r="A9" s="110" t="s">
        <v>3</v>
      </c>
      <c r="B9" s="106">
        <v>0</v>
      </c>
      <c r="C9" s="107"/>
    </row>
    <row r="10" spans="1:5" x14ac:dyDescent="0.3">
      <c r="B10" s="109" t="s">
        <v>160</v>
      </c>
      <c r="C10" s="108"/>
    </row>
    <row r="12" spans="1:5" x14ac:dyDescent="0.3">
      <c r="A12" s="104" t="s">
        <v>133</v>
      </c>
      <c r="B12" s="105"/>
      <c r="C12" s="105"/>
      <c r="E12" s="111" t="s">
        <v>163</v>
      </c>
    </row>
    <row r="13" spans="1:5" x14ac:dyDescent="0.3">
      <c r="A13" s="110" t="s">
        <v>1</v>
      </c>
      <c r="B13" s="106">
        <f>C2</f>
        <v>-6660</v>
      </c>
      <c r="C13" s="107"/>
      <c r="E13" s="112" t="s">
        <v>164</v>
      </c>
    </row>
    <row r="14" spans="1:5" x14ac:dyDescent="0.3">
      <c r="A14" s="110" t="s">
        <v>2</v>
      </c>
      <c r="B14" s="106">
        <v>0</v>
      </c>
      <c r="C14" s="107"/>
      <c r="E14" s="113" t="s">
        <v>165</v>
      </c>
    </row>
    <row r="15" spans="1:5" x14ac:dyDescent="0.3">
      <c r="A15" s="110" t="s">
        <v>3</v>
      </c>
      <c r="B15" s="106" t="str">
        <f>C4&amp;" + "&amp;C3&amp;"*(1+"&amp;C1&amp;") ="</f>
        <v>-11100 + 17205*(1+0.15) =</v>
      </c>
      <c r="C15" s="107"/>
      <c r="E15" s="114" t="s">
        <v>166</v>
      </c>
    </row>
    <row r="16" spans="1:5" x14ac:dyDescent="0.3">
      <c r="B16" s="109" t="s">
        <v>160</v>
      </c>
      <c r="C16" s="108"/>
      <c r="E16" s="115" t="s">
        <v>167</v>
      </c>
    </row>
    <row r="17" spans="1:5" x14ac:dyDescent="0.3">
      <c r="E17" s="116" t="s">
        <v>168</v>
      </c>
    </row>
    <row r="18" spans="1:5" x14ac:dyDescent="0.3">
      <c r="A18" s="104" t="s">
        <v>216</v>
      </c>
      <c r="B18" s="105"/>
      <c r="C18" s="105"/>
    </row>
    <row r="19" spans="1:5" x14ac:dyDescent="0.3">
      <c r="A19" s="110" t="s">
        <v>1</v>
      </c>
      <c r="B19" s="106" t="str">
        <f>$C$2&amp;" + "&amp;$C$4&amp;"/(1+"&amp;$C$1&amp;")^"&amp;$A$4&amp;" ="</f>
        <v>-6660 + -11100/(1+0.15)^2 =</v>
      </c>
      <c r="C19" s="107"/>
      <c r="E19" s="111" t="s">
        <v>169</v>
      </c>
    </row>
    <row r="20" spans="1:5" x14ac:dyDescent="0.3">
      <c r="A20" s="110" t="s">
        <v>2</v>
      </c>
      <c r="B20" s="106">
        <v>0</v>
      </c>
      <c r="C20" s="107"/>
      <c r="E20" s="112" t="s">
        <v>170</v>
      </c>
    </row>
    <row r="21" spans="1:5" x14ac:dyDescent="0.3">
      <c r="A21" s="110" t="s">
        <v>3</v>
      </c>
      <c r="B21" s="106" t="str">
        <f>C3&amp;"*(1+"&amp;C1&amp;") ="</f>
        <v>17205*(1+0.15) =</v>
      </c>
      <c r="C21" s="107"/>
      <c r="E21" s="113" t="s">
        <v>171</v>
      </c>
    </row>
    <row r="22" spans="1:5" x14ac:dyDescent="0.3">
      <c r="B22" s="109" t="s">
        <v>160</v>
      </c>
      <c r="C22" s="137"/>
    </row>
    <row r="24" spans="1:5" x14ac:dyDescent="0.3">
      <c r="B24" s="7" t="s">
        <v>218</v>
      </c>
      <c r="C24" s="139"/>
    </row>
    <row r="25" spans="1:5" x14ac:dyDescent="0.3">
      <c r="B25" s="7" t="s">
        <v>217</v>
      </c>
      <c r="C25" s="138"/>
    </row>
    <row r="26" spans="1:5" x14ac:dyDescent="0.3">
      <c r="C26" s="13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B5FE-44C1-46B7-A78E-758A657EE4B8}">
  <sheetPr>
    <tabColor rgb="FFFF0000"/>
  </sheetPr>
  <dimension ref="A1:E26"/>
  <sheetViews>
    <sheetView zoomScaleNormal="100" workbookViewId="0"/>
  </sheetViews>
  <sheetFormatPr defaultRowHeight="14.4" x14ac:dyDescent="0.3"/>
  <cols>
    <col min="1" max="1" width="6" bestFit="1" customWidth="1"/>
    <col min="2" max="2" width="24.88671875" bestFit="1" customWidth="1"/>
    <col min="3" max="3" width="15.6640625" customWidth="1"/>
    <col min="4" max="4" width="1.33203125" customWidth="1"/>
    <col min="5" max="5" width="23.5546875" bestFit="1" customWidth="1"/>
    <col min="6" max="6" width="8.77734375" bestFit="1" customWidth="1"/>
    <col min="7" max="7" width="9.77734375" customWidth="1"/>
    <col min="8" max="8" width="9" bestFit="1" customWidth="1"/>
    <col min="9" max="9" width="24.88671875" bestFit="1" customWidth="1"/>
    <col min="10" max="10" width="9.88671875" bestFit="1" customWidth="1"/>
  </cols>
  <sheetData>
    <row r="1" spans="1:5" x14ac:dyDescent="0.3">
      <c r="A1" s="7"/>
      <c r="B1" s="110" t="s">
        <v>115</v>
      </c>
      <c r="C1" s="72">
        <v>0.15</v>
      </c>
    </row>
    <row r="2" spans="1:5" x14ac:dyDescent="0.3">
      <c r="A2" s="7">
        <v>0</v>
      </c>
      <c r="B2" s="110" t="s">
        <v>1</v>
      </c>
      <c r="C2" s="32">
        <v>-6660</v>
      </c>
    </row>
    <row r="3" spans="1:5" x14ac:dyDescent="0.3">
      <c r="A3" s="7">
        <v>1</v>
      </c>
      <c r="B3" s="110" t="s">
        <v>2</v>
      </c>
      <c r="C3" s="32">
        <v>17205</v>
      </c>
    </row>
    <row r="4" spans="1:5" x14ac:dyDescent="0.3">
      <c r="A4" s="7">
        <v>2</v>
      </c>
      <c r="B4" s="110" t="s">
        <v>3</v>
      </c>
      <c r="C4" s="32">
        <v>-11100</v>
      </c>
    </row>
    <row r="6" spans="1:5" x14ac:dyDescent="0.3">
      <c r="A6" s="104" t="s">
        <v>132</v>
      </c>
      <c r="B6" s="105"/>
      <c r="C6" s="105"/>
    </row>
    <row r="7" spans="1:5" x14ac:dyDescent="0.3">
      <c r="A7" s="110" t="s">
        <v>1</v>
      </c>
      <c r="B7" s="106" t="str">
        <f>$C$2&amp;" + "&amp;$C$4&amp;"/(1+"&amp;$C$1&amp;")^"&amp;$A$4&amp;" ="</f>
        <v>-6660 + -11100/(1+0.15)^2 =</v>
      </c>
      <c r="C7" s="107">
        <f>C2+C4/(1+C1)^A4</f>
        <v>-15053.194706994331</v>
      </c>
      <c r="E7" s="117" t="s">
        <v>161</v>
      </c>
    </row>
    <row r="8" spans="1:5" x14ac:dyDescent="0.3">
      <c r="A8" s="110" t="s">
        <v>2</v>
      </c>
      <c r="B8" s="106">
        <f>$C$3</f>
        <v>17205</v>
      </c>
      <c r="C8" s="107">
        <f>C3</f>
        <v>17205</v>
      </c>
      <c r="E8" s="118" t="s">
        <v>162</v>
      </c>
    </row>
    <row r="9" spans="1:5" x14ac:dyDescent="0.3">
      <c r="A9" s="110" t="s">
        <v>3</v>
      </c>
      <c r="B9" s="106">
        <v>0</v>
      </c>
      <c r="C9" s="107">
        <v>0</v>
      </c>
    </row>
    <row r="10" spans="1:5" x14ac:dyDescent="0.3">
      <c r="B10" s="109" t="s">
        <v>160</v>
      </c>
      <c r="C10" s="108">
        <f>IRR(C7:C9)</f>
        <v>0.14294675216057984</v>
      </c>
    </row>
    <row r="12" spans="1:5" x14ac:dyDescent="0.3">
      <c r="A12" s="104" t="s">
        <v>133</v>
      </c>
      <c r="B12" s="105"/>
      <c r="C12" s="105"/>
      <c r="E12" s="111" t="s">
        <v>163</v>
      </c>
    </row>
    <row r="13" spans="1:5" x14ac:dyDescent="0.3">
      <c r="A13" s="110" t="s">
        <v>1</v>
      </c>
      <c r="B13" s="106">
        <f>C2</f>
        <v>-6660</v>
      </c>
      <c r="C13" s="107">
        <f>C2</f>
        <v>-6660</v>
      </c>
      <c r="E13" s="112" t="s">
        <v>164</v>
      </c>
    </row>
    <row r="14" spans="1:5" x14ac:dyDescent="0.3">
      <c r="A14" s="110" t="s">
        <v>2</v>
      </c>
      <c r="B14" s="106">
        <v>0</v>
      </c>
      <c r="C14" s="107">
        <v>0</v>
      </c>
      <c r="E14" s="113" t="s">
        <v>165</v>
      </c>
    </row>
    <row r="15" spans="1:5" x14ac:dyDescent="0.3">
      <c r="A15" s="110" t="s">
        <v>3</v>
      </c>
      <c r="B15" s="106" t="str">
        <f>C4&amp;" + "&amp;C3&amp;"*(1+"&amp;C1&amp;") ="</f>
        <v>-11100 + 17205*(1+0.15) =</v>
      </c>
      <c r="C15" s="107">
        <f>C3*(1+C1)+C4</f>
        <v>8685.75</v>
      </c>
      <c r="E15" s="114" t="s">
        <v>166</v>
      </c>
    </row>
    <row r="16" spans="1:5" x14ac:dyDescent="0.3">
      <c r="B16" s="109" t="s">
        <v>160</v>
      </c>
      <c r="C16" s="108">
        <f>IRR(C13:C15)</f>
        <v>0.14200116754168657</v>
      </c>
      <c r="E16" s="115" t="s">
        <v>167</v>
      </c>
    </row>
    <row r="17" spans="1:5" x14ac:dyDescent="0.3">
      <c r="E17" s="116" t="s">
        <v>168</v>
      </c>
    </row>
    <row r="18" spans="1:5" x14ac:dyDescent="0.3">
      <c r="A18" s="104" t="s">
        <v>216</v>
      </c>
      <c r="B18" s="105"/>
      <c r="C18" s="105"/>
    </row>
    <row r="19" spans="1:5" x14ac:dyDescent="0.3">
      <c r="A19" s="110" t="s">
        <v>1</v>
      </c>
      <c r="B19" s="106" t="str">
        <f>$C$2&amp;" + "&amp;$C$4&amp;"/(1+"&amp;$C$1&amp;")^"&amp;$A$4&amp;" ="</f>
        <v>-6660 + -11100/(1+0.15)^2 =</v>
      </c>
      <c r="C19" s="107">
        <f>C2+C4/(1+C1)^A4</f>
        <v>-15053.194706994331</v>
      </c>
      <c r="E19" s="111" t="s">
        <v>169</v>
      </c>
    </row>
    <row r="20" spans="1:5" x14ac:dyDescent="0.3">
      <c r="A20" s="110" t="s">
        <v>2</v>
      </c>
      <c r="B20" s="106">
        <v>0</v>
      </c>
      <c r="C20" s="107">
        <v>0</v>
      </c>
      <c r="E20" s="112" t="s">
        <v>170</v>
      </c>
    </row>
    <row r="21" spans="1:5" x14ac:dyDescent="0.3">
      <c r="A21" s="110" t="s">
        <v>3</v>
      </c>
      <c r="B21" s="106" t="str">
        <f>C3&amp;"*(1+"&amp;C1&amp;") ="</f>
        <v>17205*(1+0.15) =</v>
      </c>
      <c r="C21" s="107">
        <f>C3*(1+C1)</f>
        <v>19785.75</v>
      </c>
      <c r="E21" s="113" t="s">
        <v>171</v>
      </c>
    </row>
    <row r="22" spans="1:5" x14ac:dyDescent="0.3">
      <c r="B22" s="109" t="s">
        <v>160</v>
      </c>
      <c r="C22" s="137">
        <f>IRR(C19:C21)</f>
        <v>0.14646795200932949</v>
      </c>
    </row>
    <row r="24" spans="1:5" x14ac:dyDescent="0.3">
      <c r="B24" s="7" t="s">
        <v>218</v>
      </c>
      <c r="C24" s="139">
        <f>MIRR(C19:C21,C1,C1)</f>
        <v>0.14646795200941676</v>
      </c>
    </row>
    <row r="25" spans="1:5" x14ac:dyDescent="0.3">
      <c r="B25" s="7" t="s">
        <v>217</v>
      </c>
      <c r="C25" s="138">
        <f>(C21/-C19)^(1/A4)-1</f>
        <v>0.14646795200941698</v>
      </c>
    </row>
    <row r="26" spans="1:5" x14ac:dyDescent="0.3">
      <c r="C26" s="136"/>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B5AB-B00B-44C9-9AC6-4A746CAE140D}">
  <sheetPr>
    <tabColor rgb="FF0000FF"/>
  </sheetPr>
  <dimension ref="A1:B12"/>
  <sheetViews>
    <sheetView zoomScale="130" zoomScaleNormal="130" workbookViewId="0"/>
  </sheetViews>
  <sheetFormatPr defaultRowHeight="14.4" x14ac:dyDescent="0.3"/>
  <cols>
    <col min="1" max="1" width="28.109375" customWidth="1"/>
    <col min="2" max="2" width="12.109375" bestFit="1" customWidth="1"/>
    <col min="3" max="3" width="20.109375" bestFit="1" customWidth="1"/>
    <col min="4" max="4" width="22.88671875" bestFit="1" customWidth="1"/>
  </cols>
  <sheetData>
    <row r="1" spans="1:2" x14ac:dyDescent="0.3">
      <c r="A1" s="39" t="s">
        <v>59</v>
      </c>
      <c r="B1" s="39"/>
    </row>
    <row r="2" spans="1:2" ht="15.6" x14ac:dyDescent="0.35">
      <c r="A2" s="7" t="s">
        <v>55</v>
      </c>
      <c r="B2" s="38">
        <v>-160000</v>
      </c>
    </row>
    <row r="3" spans="1:2" ht="15.6" x14ac:dyDescent="0.35">
      <c r="A3" s="7" t="s">
        <v>56</v>
      </c>
      <c r="B3" s="38">
        <v>60000</v>
      </c>
    </row>
    <row r="4" spans="1:2" ht="15.6" x14ac:dyDescent="0.35">
      <c r="A4" s="7" t="s">
        <v>57</v>
      </c>
      <c r="B4" s="38">
        <v>70000</v>
      </c>
    </row>
    <row r="5" spans="1:2" ht="15.6" x14ac:dyDescent="0.35">
      <c r="A5" s="7" t="s">
        <v>58</v>
      </c>
      <c r="B5" s="38">
        <v>90000</v>
      </c>
    </row>
    <row r="6" spans="1:2" x14ac:dyDescent="0.3">
      <c r="A6" s="7" t="s">
        <v>115</v>
      </c>
      <c r="B6" s="38">
        <v>0.12</v>
      </c>
    </row>
    <row r="8" spans="1:2" ht="43.2" x14ac:dyDescent="0.3">
      <c r="A8" s="28" t="s">
        <v>172</v>
      </c>
      <c r="B8" s="119"/>
    </row>
    <row r="9" spans="1:2" x14ac:dyDescent="0.3">
      <c r="A9" s="28" t="s">
        <v>173</v>
      </c>
      <c r="B9" s="134"/>
    </row>
    <row r="11" spans="1:2" ht="28.8" x14ac:dyDescent="0.3">
      <c r="A11" s="30" t="str">
        <f>DOLLAR(NPV(B6,B3:B5))&amp;"/"&amp;DOLLAR(-B2)&amp;CHAR(10)&amp;TEXT(NPV(B6,B3:B5)/-B2-1,"$0.0000")&amp;" / $1"</f>
        <v>$173,435.22/$160,000.00
$0.0840 / $1</v>
      </c>
      <c r="B11" s="31"/>
    </row>
    <row r="12" spans="1:2" ht="56.4" customHeight="1" x14ac:dyDescent="0.3">
      <c r="A12" s="30" t="s">
        <v>213</v>
      </c>
      <c r="B12" s="3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4DC-ED96-4E7E-A207-13AD80799D3E}">
  <sheetPr>
    <tabColor rgb="FFFF0000"/>
  </sheetPr>
  <dimension ref="A1:B12"/>
  <sheetViews>
    <sheetView zoomScale="115" zoomScaleNormal="115" workbookViewId="0"/>
  </sheetViews>
  <sheetFormatPr defaultRowHeight="14.4" x14ac:dyDescent="0.3"/>
  <cols>
    <col min="1" max="1" width="28.109375" customWidth="1"/>
    <col min="2" max="2" width="12.109375" bestFit="1" customWidth="1"/>
    <col min="3" max="3" width="20.109375" bestFit="1" customWidth="1"/>
    <col min="4" max="4" width="22.88671875" bestFit="1" customWidth="1"/>
  </cols>
  <sheetData>
    <row r="1" spans="1:2" x14ac:dyDescent="0.3">
      <c r="A1" s="39" t="s">
        <v>59</v>
      </c>
      <c r="B1" s="39"/>
    </row>
    <row r="2" spans="1:2" ht="15.6" x14ac:dyDescent="0.35">
      <c r="A2" s="7" t="s">
        <v>55</v>
      </c>
      <c r="B2" s="38">
        <v>-160000</v>
      </c>
    </row>
    <row r="3" spans="1:2" ht="15.6" x14ac:dyDescent="0.35">
      <c r="A3" s="7" t="s">
        <v>56</v>
      </c>
      <c r="B3" s="38">
        <v>60000</v>
      </c>
    </row>
    <row r="4" spans="1:2" ht="15.6" x14ac:dyDescent="0.35">
      <c r="A4" s="7" t="s">
        <v>57</v>
      </c>
      <c r="B4" s="38">
        <v>70000</v>
      </c>
    </row>
    <row r="5" spans="1:2" ht="15.6" x14ac:dyDescent="0.35">
      <c r="A5" s="7" t="s">
        <v>58</v>
      </c>
      <c r="B5" s="38">
        <v>90000</v>
      </c>
    </row>
    <row r="6" spans="1:2" x14ac:dyDescent="0.3">
      <c r="A6" s="7" t="s">
        <v>115</v>
      </c>
      <c r="B6" s="38">
        <v>0.12</v>
      </c>
    </row>
    <row r="8" spans="1:2" ht="43.2" x14ac:dyDescent="0.3">
      <c r="A8" s="28" t="s">
        <v>172</v>
      </c>
      <c r="B8" s="119">
        <f>NPV(B6,B3:B5)/-B2</f>
        <v>1.0839701393950436</v>
      </c>
    </row>
    <row r="9" spans="1:2" x14ac:dyDescent="0.3">
      <c r="A9" s="28" t="s">
        <v>173</v>
      </c>
      <c r="B9" s="134">
        <f>NPV(B6,B3:B5)/-B2-1</f>
        <v>8.3970139395043608E-2</v>
      </c>
    </row>
    <row r="11" spans="1:2" ht="28.8" x14ac:dyDescent="0.3">
      <c r="A11" s="30" t="str">
        <f>DOLLAR(NPV(B6,B3:B5))&amp;"/"&amp;DOLLAR(-B2)&amp;CHAR(10)&amp;TEXT(NPV(B6,B3:B5)/-B2-1,"$0.0000")&amp;" / $1"</f>
        <v>$173,435.22/$160,000.00
$0.0840 / $1</v>
      </c>
      <c r="B11" s="31"/>
    </row>
    <row r="12" spans="1:2" ht="56.4" customHeight="1" x14ac:dyDescent="0.3">
      <c r="A12" s="30" t="s">
        <v>213</v>
      </c>
      <c r="B12" s="31"/>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4FB2-DB9A-4732-B41C-2F022945004A}">
  <sheetPr>
    <tabColor rgb="FF0000FF"/>
  </sheetPr>
  <dimension ref="A1:J46"/>
  <sheetViews>
    <sheetView topLeftCell="A9" zoomScale="70" zoomScaleNormal="70" workbookViewId="0">
      <selection activeCell="C17" sqref="C17"/>
    </sheetView>
  </sheetViews>
  <sheetFormatPr defaultColWidth="8.88671875" defaultRowHeight="13.2" x14ac:dyDescent="0.25"/>
  <cols>
    <col min="1" max="1" width="2.5546875" style="75" bestFit="1" customWidth="1"/>
    <col min="2" max="2" width="37.44140625" style="75" bestFit="1" customWidth="1"/>
    <col min="3" max="3" width="15.77734375" style="75" customWidth="1"/>
    <col min="4" max="4" width="11.21875" style="75" customWidth="1"/>
    <col min="5" max="5" width="13.33203125" style="75" customWidth="1"/>
    <col min="6" max="6" width="15.33203125" style="75" customWidth="1"/>
    <col min="7" max="7" width="8" style="75" customWidth="1"/>
    <col min="8" max="16384" width="8.88671875" style="75"/>
  </cols>
  <sheetData>
    <row r="1" spans="1:10" ht="39.6" x14ac:dyDescent="0.25">
      <c r="A1" s="73" t="str">
        <f t="shared" ref="A1:A8" si="0">ROW()&amp;")"</f>
        <v>1)</v>
      </c>
      <c r="B1" s="74" t="s">
        <v>134</v>
      </c>
      <c r="C1" s="74"/>
    </row>
    <row r="2" spans="1:10" ht="39.6" x14ac:dyDescent="0.25">
      <c r="A2" s="73" t="str">
        <f t="shared" si="0"/>
        <v>2)</v>
      </c>
      <c r="B2" s="74" t="s">
        <v>135</v>
      </c>
      <c r="C2" s="74"/>
    </row>
    <row r="3" spans="1:10" x14ac:dyDescent="0.25">
      <c r="A3" s="73" t="str">
        <f t="shared" si="0"/>
        <v>3)</v>
      </c>
      <c r="B3" s="74" t="s">
        <v>136</v>
      </c>
      <c r="C3" s="74"/>
      <c r="D3" s="74" t="s">
        <v>137</v>
      </c>
      <c r="E3" s="74"/>
      <c r="F3" s="74"/>
      <c r="G3" s="74"/>
      <c r="H3" s="74"/>
      <c r="I3" s="74"/>
      <c r="J3" s="74"/>
    </row>
    <row r="4" spans="1:10" x14ac:dyDescent="0.25">
      <c r="A4" s="73" t="str">
        <f t="shared" si="0"/>
        <v>4)</v>
      </c>
      <c r="B4" s="74" t="s">
        <v>138</v>
      </c>
      <c r="C4" s="74"/>
      <c r="D4" s="74" t="s">
        <v>139</v>
      </c>
      <c r="E4" s="74"/>
      <c r="F4" s="74"/>
      <c r="G4" s="74"/>
      <c r="H4" s="74"/>
      <c r="I4" s="74"/>
      <c r="J4" s="74"/>
    </row>
    <row r="5" spans="1:10" x14ac:dyDescent="0.25">
      <c r="A5" s="73" t="str">
        <f t="shared" si="0"/>
        <v>5)</v>
      </c>
      <c r="B5" s="74" t="s">
        <v>140</v>
      </c>
      <c r="C5" s="74"/>
      <c r="D5" s="74" t="s">
        <v>141</v>
      </c>
      <c r="E5" s="74"/>
      <c r="F5" s="74"/>
      <c r="G5" s="74"/>
      <c r="H5" s="74"/>
      <c r="I5" s="74"/>
      <c r="J5" s="74"/>
    </row>
    <row r="6" spans="1:10" x14ac:dyDescent="0.25">
      <c r="A6" s="73" t="str">
        <f t="shared" si="0"/>
        <v>6)</v>
      </c>
      <c r="B6" s="74" t="s">
        <v>142</v>
      </c>
      <c r="C6" s="74"/>
    </row>
    <row r="7" spans="1:10" ht="26.4" x14ac:dyDescent="0.25">
      <c r="A7" s="73" t="str">
        <f t="shared" si="0"/>
        <v>7)</v>
      </c>
      <c r="B7" s="74" t="s">
        <v>143</v>
      </c>
      <c r="C7" s="74"/>
    </row>
    <row r="8" spans="1:10" ht="26.4" x14ac:dyDescent="0.25">
      <c r="A8" s="73" t="str">
        <f t="shared" si="0"/>
        <v>8)</v>
      </c>
      <c r="B8" s="74" t="s">
        <v>144</v>
      </c>
      <c r="C8" s="74"/>
    </row>
    <row r="11" spans="1:10" ht="26.4" x14ac:dyDescent="0.25">
      <c r="A11" s="76">
        <v>1</v>
      </c>
      <c r="B11" s="77" t="str">
        <f>"You are considering buying a machine that will yield "&amp;DOLLAR(C13)&amp;" net cash flow in for the next ten years. If you must earn a minimum return on investment of "&amp;TEXT(C14,"00.00%")&amp;", should we buy a machine if it costs "&amp;DOLLAR(C15)&amp;"?"</f>
        <v>You are considering buying a machine that will yield $35,000.00 net cash flow in for the next ten years. If you must earn a minimum return on investment of 15.00%, should we buy a machine if it costs ($165,500.00)?</v>
      </c>
      <c r="C11" s="78"/>
    </row>
    <row r="13" spans="1:10" ht="14.4" x14ac:dyDescent="0.3">
      <c r="B13" s="79" t="s">
        <v>145</v>
      </c>
      <c r="C13" s="80">
        <v>35000</v>
      </c>
    </row>
    <row r="14" spans="1:10" x14ac:dyDescent="0.25">
      <c r="B14" s="79" t="s">
        <v>146</v>
      </c>
      <c r="C14" s="81">
        <v>0.15</v>
      </c>
    </row>
    <row r="15" spans="1:10" ht="14.4" x14ac:dyDescent="0.3">
      <c r="B15" s="79" t="s">
        <v>147</v>
      </c>
      <c r="C15" s="80">
        <v>-165500</v>
      </c>
    </row>
    <row r="16" spans="1:10" ht="14.4" x14ac:dyDescent="0.3">
      <c r="B16" s="79" t="s">
        <v>12</v>
      </c>
      <c r="C16" s="82">
        <v>10</v>
      </c>
    </row>
    <row r="17" spans="1:6" x14ac:dyDescent="0.25">
      <c r="B17" s="79" t="s">
        <v>148</v>
      </c>
      <c r="C17" s="83"/>
    </row>
    <row r="18" spans="1:6" x14ac:dyDescent="0.25">
      <c r="B18" s="79" t="s">
        <v>149</v>
      </c>
      <c r="C18" s="83"/>
      <c r="E18" s="75" t="s">
        <v>5</v>
      </c>
      <c r="F18" s="135">
        <v>0.15</v>
      </c>
    </row>
    <row r="19" spans="1:6" x14ac:dyDescent="0.25">
      <c r="B19" s="79" t="s">
        <v>25</v>
      </c>
      <c r="C19" s="83"/>
      <c r="E19" s="79" t="s">
        <v>25</v>
      </c>
      <c r="F19" s="83"/>
    </row>
    <row r="21" spans="1:6" x14ac:dyDescent="0.25">
      <c r="A21" s="76">
        <v>2</v>
      </c>
      <c r="B21" s="84" t="s">
        <v>0</v>
      </c>
      <c r="C21" s="85" t="s">
        <v>19</v>
      </c>
      <c r="E21" s="85" t="s">
        <v>19</v>
      </c>
    </row>
    <row r="22" spans="1:6" x14ac:dyDescent="0.25">
      <c r="B22" s="79">
        <v>0</v>
      </c>
      <c r="C22" s="86"/>
      <c r="E22" s="86">
        <f>C15</f>
        <v>-165500</v>
      </c>
    </row>
    <row r="23" spans="1:6" x14ac:dyDescent="0.25">
      <c r="B23" s="79">
        <v>1</v>
      </c>
      <c r="C23" s="86">
        <f t="shared" ref="C23:C32" si="1">C$13</f>
        <v>35000</v>
      </c>
      <c r="E23" s="86">
        <v>40000</v>
      </c>
    </row>
    <row r="24" spans="1:6" x14ac:dyDescent="0.25">
      <c r="B24" s="79">
        <v>2</v>
      </c>
      <c r="C24" s="86">
        <f t="shared" si="1"/>
        <v>35000</v>
      </c>
      <c r="E24" s="86">
        <v>40000</v>
      </c>
    </row>
    <row r="25" spans="1:6" x14ac:dyDescent="0.25">
      <c r="B25" s="79">
        <v>3</v>
      </c>
      <c r="C25" s="86">
        <f t="shared" si="1"/>
        <v>35000</v>
      </c>
      <c r="E25" s="86">
        <v>40000</v>
      </c>
    </row>
    <row r="26" spans="1:6" x14ac:dyDescent="0.25">
      <c r="B26" s="79">
        <v>4</v>
      </c>
      <c r="C26" s="86">
        <f t="shared" si="1"/>
        <v>35000</v>
      </c>
      <c r="E26" s="86">
        <v>35000</v>
      </c>
    </row>
    <row r="27" spans="1:6" x14ac:dyDescent="0.25">
      <c r="B27" s="79">
        <v>5</v>
      </c>
      <c r="C27" s="86">
        <f t="shared" si="1"/>
        <v>35000</v>
      </c>
      <c r="E27" s="86">
        <v>35000</v>
      </c>
    </row>
    <row r="28" spans="1:6" x14ac:dyDescent="0.25">
      <c r="B28" s="79">
        <v>6</v>
      </c>
      <c r="C28" s="86">
        <f t="shared" si="1"/>
        <v>35000</v>
      </c>
      <c r="E28" s="86">
        <v>35000</v>
      </c>
    </row>
    <row r="29" spans="1:6" x14ac:dyDescent="0.25">
      <c r="B29" s="79">
        <v>7</v>
      </c>
      <c r="C29" s="86">
        <f t="shared" si="1"/>
        <v>35000</v>
      </c>
      <c r="E29" s="86">
        <v>20000</v>
      </c>
    </row>
    <row r="30" spans="1:6" x14ac:dyDescent="0.25">
      <c r="B30" s="79">
        <v>8</v>
      </c>
      <c r="C30" s="86">
        <f t="shared" si="1"/>
        <v>35000</v>
      </c>
      <c r="E30" s="86">
        <v>10000</v>
      </c>
    </row>
    <row r="31" spans="1:6" x14ac:dyDescent="0.25">
      <c r="B31" s="79">
        <v>9</v>
      </c>
      <c r="C31" s="86">
        <f t="shared" si="1"/>
        <v>35000</v>
      </c>
      <c r="E31" s="86">
        <v>50000</v>
      </c>
    </row>
    <row r="32" spans="1:6" x14ac:dyDescent="0.25">
      <c r="B32" s="79">
        <v>10</v>
      </c>
      <c r="C32" s="86">
        <f t="shared" si="1"/>
        <v>35000</v>
      </c>
      <c r="E32" s="86">
        <v>2500</v>
      </c>
    </row>
    <row r="34" spans="1:7" x14ac:dyDescent="0.25">
      <c r="A34" s="76">
        <v>3</v>
      </c>
      <c r="B34" s="87" t="s">
        <v>5</v>
      </c>
      <c r="C34" s="87">
        <v>0.15</v>
      </c>
    </row>
    <row r="36" spans="1:7" x14ac:dyDescent="0.25">
      <c r="B36" s="88" t="s">
        <v>18</v>
      </c>
      <c r="C36" s="88" t="s">
        <v>15</v>
      </c>
      <c r="D36" s="88" t="s">
        <v>19</v>
      </c>
      <c r="E36" s="88" t="s">
        <v>150</v>
      </c>
      <c r="F36" s="88" t="s">
        <v>151</v>
      </c>
      <c r="G36" s="88" t="s">
        <v>20</v>
      </c>
    </row>
    <row r="37" spans="1:7" ht="14.4" x14ac:dyDescent="0.3">
      <c r="B37" s="89">
        <v>39083</v>
      </c>
      <c r="C37" s="90">
        <v>0</v>
      </c>
      <c r="D37" s="91">
        <v>-500</v>
      </c>
      <c r="E37" s="92">
        <f t="shared" ref="E37:E42" si="2">PV(C$34,C37,,-D37)</f>
        <v>-500</v>
      </c>
      <c r="F37" s="92">
        <f t="shared" ref="F37:F42" si="3">D37/(1+$C$34)^(ABS(B$37-B37)/365)</f>
        <v>-500</v>
      </c>
      <c r="G37" s="93"/>
    </row>
    <row r="38" spans="1:7" ht="14.4" x14ac:dyDescent="0.3">
      <c r="B38" s="94">
        <v>39448</v>
      </c>
      <c r="C38" s="95">
        <v>1</v>
      </c>
      <c r="D38" s="96">
        <v>200</v>
      </c>
      <c r="E38" s="97">
        <f t="shared" si="2"/>
        <v>173.91304347826087</v>
      </c>
      <c r="F38" s="92">
        <f t="shared" si="3"/>
        <v>173.91304347826087</v>
      </c>
      <c r="G38" s="98"/>
    </row>
    <row r="39" spans="1:7" ht="14.4" x14ac:dyDescent="0.3">
      <c r="B39" s="94">
        <v>40179</v>
      </c>
      <c r="C39" s="95">
        <v>3</v>
      </c>
      <c r="D39" s="96">
        <v>100</v>
      </c>
      <c r="E39" s="97">
        <f t="shared" si="2"/>
        <v>65.751623243198836</v>
      </c>
      <c r="F39" s="92">
        <f t="shared" si="3"/>
        <v>65.726451146168856</v>
      </c>
      <c r="G39" s="98"/>
    </row>
    <row r="40" spans="1:7" ht="14.4" x14ac:dyDescent="0.3">
      <c r="B40" s="94">
        <v>40544</v>
      </c>
      <c r="C40" s="95">
        <v>4</v>
      </c>
      <c r="D40" s="96">
        <v>100</v>
      </c>
      <c r="E40" s="97">
        <f t="shared" si="2"/>
        <v>57.175324559303334</v>
      </c>
      <c r="F40" s="92">
        <f t="shared" si="3"/>
        <v>57.153435779277267</v>
      </c>
      <c r="G40" s="98"/>
    </row>
    <row r="41" spans="1:7" ht="14.4" x14ac:dyDescent="0.3">
      <c r="B41" s="94">
        <v>40909</v>
      </c>
      <c r="C41" s="95">
        <v>5</v>
      </c>
      <c r="D41" s="96">
        <v>100</v>
      </c>
      <c r="E41" s="97">
        <f t="shared" si="2"/>
        <v>49.717673529828986</v>
      </c>
      <c r="F41" s="92">
        <f t="shared" si="3"/>
        <v>49.698639808067185</v>
      </c>
      <c r="G41" s="98"/>
    </row>
    <row r="42" spans="1:7" ht="14.4" x14ac:dyDescent="0.3">
      <c r="B42" s="94">
        <v>41275</v>
      </c>
      <c r="C42" s="95">
        <v>6</v>
      </c>
      <c r="D42" s="96">
        <v>100</v>
      </c>
      <c r="E42" s="97">
        <f t="shared" si="2"/>
        <v>43.232759591155649</v>
      </c>
      <c r="F42" s="92">
        <f t="shared" si="3"/>
        <v>43.199663802697209</v>
      </c>
      <c r="G42" s="98"/>
    </row>
    <row r="43" spans="1:7" ht="14.4" x14ac:dyDescent="0.3">
      <c r="B43" s="99"/>
      <c r="C43" s="88"/>
      <c r="D43" s="100"/>
      <c r="E43" s="93">
        <f>SUM(E37:E42)</f>
        <v>-110.20957559825231</v>
      </c>
      <c r="F43" s="93">
        <f>SUM(F37:F42)</f>
        <v>-110.30876598552859</v>
      </c>
      <c r="G43" s="98"/>
    </row>
    <row r="45" spans="1:7" x14ac:dyDescent="0.25">
      <c r="B45" s="101">
        <v>39814</v>
      </c>
    </row>
    <row r="46" spans="1:7" x14ac:dyDescent="0.25">
      <c r="B46" s="79">
        <f>B45-B38</f>
        <v>366</v>
      </c>
    </row>
  </sheetData>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C401B-6F61-4337-A703-0F82193515FD}">
  <sheetPr>
    <tabColor rgb="FFFF0000"/>
  </sheetPr>
  <dimension ref="A1:J46"/>
  <sheetViews>
    <sheetView topLeftCell="A10" zoomScale="70" zoomScaleNormal="70" workbookViewId="0"/>
  </sheetViews>
  <sheetFormatPr defaultColWidth="8.88671875" defaultRowHeight="13.2" x14ac:dyDescent="0.25"/>
  <cols>
    <col min="1" max="1" width="2.5546875" style="75" bestFit="1" customWidth="1"/>
    <col min="2" max="2" width="37.44140625" style="75" bestFit="1" customWidth="1"/>
    <col min="3" max="3" width="14" style="75" customWidth="1"/>
    <col min="4" max="4" width="10.44140625" style="75" customWidth="1"/>
    <col min="5" max="5" width="13.5546875" style="75" customWidth="1"/>
    <col min="6" max="6" width="13.33203125" style="75" customWidth="1"/>
    <col min="7" max="7" width="8" style="75" customWidth="1"/>
    <col min="8" max="8" width="8.88671875" style="75"/>
    <col min="9" max="9" width="13" style="75" bestFit="1" customWidth="1"/>
    <col min="10" max="10" width="13.88671875" style="75" bestFit="1" customWidth="1"/>
    <col min="11" max="16384" width="8.88671875" style="75"/>
  </cols>
  <sheetData>
    <row r="1" spans="1:10" ht="39.6" x14ac:dyDescent="0.25">
      <c r="A1" s="73" t="str">
        <f t="shared" ref="A1:A8" si="0">ROW()&amp;")"</f>
        <v>1)</v>
      </c>
      <c r="B1" s="74" t="s">
        <v>134</v>
      </c>
      <c r="C1" s="74"/>
    </row>
    <row r="2" spans="1:10" ht="39.6" x14ac:dyDescent="0.25">
      <c r="A2" s="73" t="str">
        <f t="shared" si="0"/>
        <v>2)</v>
      </c>
      <c r="B2" s="74" t="s">
        <v>135</v>
      </c>
      <c r="C2" s="74"/>
    </row>
    <row r="3" spans="1:10" x14ac:dyDescent="0.25">
      <c r="A3" s="73" t="str">
        <f t="shared" si="0"/>
        <v>3)</v>
      </c>
      <c r="B3" s="74" t="s">
        <v>136</v>
      </c>
      <c r="C3" s="74"/>
      <c r="D3" s="74" t="s">
        <v>137</v>
      </c>
      <c r="E3" s="74"/>
      <c r="F3" s="74"/>
      <c r="G3" s="74"/>
      <c r="H3" s="74"/>
      <c r="I3" s="74"/>
      <c r="J3" s="74"/>
    </row>
    <row r="4" spans="1:10" x14ac:dyDescent="0.25">
      <c r="A4" s="73" t="str">
        <f t="shared" si="0"/>
        <v>4)</v>
      </c>
      <c r="B4" s="74" t="s">
        <v>138</v>
      </c>
      <c r="C4" s="74"/>
      <c r="D4" s="74" t="s">
        <v>139</v>
      </c>
      <c r="E4" s="74"/>
      <c r="F4" s="74"/>
      <c r="G4" s="74"/>
      <c r="H4" s="74"/>
      <c r="I4" s="74"/>
      <c r="J4" s="74"/>
    </row>
    <row r="5" spans="1:10" x14ac:dyDescent="0.25">
      <c r="A5" s="73" t="str">
        <f t="shared" si="0"/>
        <v>5)</v>
      </c>
      <c r="B5" s="74" t="s">
        <v>140</v>
      </c>
      <c r="C5" s="74"/>
      <c r="D5" s="74" t="s">
        <v>141</v>
      </c>
      <c r="E5" s="74"/>
      <c r="F5" s="74"/>
      <c r="G5" s="74"/>
      <c r="H5" s="74"/>
      <c r="I5" s="74"/>
      <c r="J5" s="74"/>
    </row>
    <row r="6" spans="1:10" x14ac:dyDescent="0.25">
      <c r="A6" s="73" t="str">
        <f t="shared" si="0"/>
        <v>6)</v>
      </c>
      <c r="B6" s="74" t="s">
        <v>142</v>
      </c>
      <c r="C6" s="74"/>
    </row>
    <row r="7" spans="1:10" ht="26.4" x14ac:dyDescent="0.25">
      <c r="A7" s="73" t="str">
        <f t="shared" si="0"/>
        <v>7)</v>
      </c>
      <c r="B7" s="74" t="s">
        <v>143</v>
      </c>
      <c r="C7" s="74"/>
    </row>
    <row r="8" spans="1:10" ht="26.4" x14ac:dyDescent="0.25">
      <c r="A8" s="73" t="str">
        <f t="shared" si="0"/>
        <v>8)</v>
      </c>
      <c r="B8" s="74" t="s">
        <v>144</v>
      </c>
      <c r="C8" s="74"/>
    </row>
    <row r="11" spans="1:10" ht="26.4" x14ac:dyDescent="0.25">
      <c r="A11" s="76">
        <v>1</v>
      </c>
      <c r="B11" s="77" t="str">
        <f>"You are considering buying a machine that will yield "&amp;DOLLAR(C13)&amp;" net cash flow in for the next ten years. If you must earn a minimum return on investment of "&amp;TEXT(C14,"00.00%")&amp;", should we buy a machine if it costs "&amp;DOLLAR(C15)&amp;"?"</f>
        <v>You are considering buying a machine that will yield $35,000.00 net cash flow in for the next ten years. If you must earn a minimum return on investment of 15.00%, should we buy a machine if it costs ($165,500.00)?</v>
      </c>
      <c r="C11" s="78"/>
    </row>
    <row r="13" spans="1:10" ht="14.4" x14ac:dyDescent="0.3">
      <c r="B13" s="79" t="s">
        <v>145</v>
      </c>
      <c r="C13" s="80">
        <v>35000</v>
      </c>
    </row>
    <row r="14" spans="1:10" x14ac:dyDescent="0.25">
      <c r="B14" s="79" t="s">
        <v>146</v>
      </c>
      <c r="C14" s="81">
        <v>0.15</v>
      </c>
    </row>
    <row r="15" spans="1:10" ht="14.4" x14ac:dyDescent="0.3">
      <c r="B15" s="79" t="s">
        <v>147</v>
      </c>
      <c r="C15" s="80">
        <v>-165500</v>
      </c>
    </row>
    <row r="16" spans="1:10" ht="14.4" x14ac:dyDescent="0.3">
      <c r="B16" s="79" t="s">
        <v>12</v>
      </c>
      <c r="C16" s="82">
        <v>10</v>
      </c>
    </row>
    <row r="17" spans="1:6" x14ac:dyDescent="0.25">
      <c r="B17" s="79" t="s">
        <v>148</v>
      </c>
      <c r="C17" s="83">
        <f>PV(C14,C16,C13)</f>
        <v>-175656.90190489797</v>
      </c>
    </row>
    <row r="18" spans="1:6" x14ac:dyDescent="0.25">
      <c r="B18" s="79" t="s">
        <v>149</v>
      </c>
      <c r="C18" s="83">
        <f>C15-C17</f>
        <v>10156.901904897968</v>
      </c>
    </row>
    <row r="19" spans="1:6" x14ac:dyDescent="0.25">
      <c r="B19" s="79" t="s">
        <v>25</v>
      </c>
      <c r="C19" s="83">
        <f>NPV(C14,C23:C32)+C15</f>
        <v>10156.901904898114</v>
      </c>
      <c r="E19" s="79" t="s">
        <v>25</v>
      </c>
      <c r="F19" s="83">
        <f>NPV(C14,E23:E32)+E22</f>
        <v>3991.8607771394309</v>
      </c>
    </row>
    <row r="21" spans="1:6" x14ac:dyDescent="0.25">
      <c r="A21" s="76">
        <v>2</v>
      </c>
      <c r="B21" s="84" t="s">
        <v>0</v>
      </c>
      <c r="C21" s="85" t="s">
        <v>19</v>
      </c>
      <c r="E21" s="85" t="s">
        <v>19</v>
      </c>
    </row>
    <row r="22" spans="1:6" x14ac:dyDescent="0.25">
      <c r="B22" s="79">
        <v>0</v>
      </c>
      <c r="C22" s="86"/>
      <c r="E22" s="86">
        <f>C15</f>
        <v>-165500</v>
      </c>
    </row>
    <row r="23" spans="1:6" x14ac:dyDescent="0.25">
      <c r="B23" s="79">
        <v>1</v>
      </c>
      <c r="C23" s="83" cm="1">
        <f t="array" ref="C23:C32">_xlfn.SEQUENCE(B32,,C13,0)</f>
        <v>35000</v>
      </c>
      <c r="E23" s="86">
        <v>40000</v>
      </c>
    </row>
    <row r="24" spans="1:6" x14ac:dyDescent="0.25">
      <c r="B24" s="79">
        <v>2</v>
      </c>
      <c r="C24" s="83">
        <v>35000</v>
      </c>
      <c r="E24" s="86">
        <v>40000</v>
      </c>
    </row>
    <row r="25" spans="1:6" x14ac:dyDescent="0.25">
      <c r="B25" s="79">
        <v>3</v>
      </c>
      <c r="C25" s="83">
        <v>35000</v>
      </c>
      <c r="E25" s="86">
        <v>40000</v>
      </c>
    </row>
    <row r="26" spans="1:6" x14ac:dyDescent="0.25">
      <c r="B26" s="79">
        <v>4</v>
      </c>
      <c r="C26" s="83">
        <v>35000</v>
      </c>
      <c r="E26" s="86">
        <v>35000</v>
      </c>
    </row>
    <row r="27" spans="1:6" x14ac:dyDescent="0.25">
      <c r="B27" s="79">
        <v>5</v>
      </c>
      <c r="C27" s="83">
        <v>35000</v>
      </c>
      <c r="E27" s="86">
        <v>35000</v>
      </c>
    </row>
    <row r="28" spans="1:6" x14ac:dyDescent="0.25">
      <c r="B28" s="79">
        <v>6</v>
      </c>
      <c r="C28" s="83">
        <v>35000</v>
      </c>
      <c r="E28" s="86">
        <v>35000</v>
      </c>
    </row>
    <row r="29" spans="1:6" x14ac:dyDescent="0.25">
      <c r="B29" s="79">
        <v>7</v>
      </c>
      <c r="C29" s="83">
        <v>35000</v>
      </c>
      <c r="E29" s="86">
        <v>20000</v>
      </c>
    </row>
    <row r="30" spans="1:6" x14ac:dyDescent="0.25">
      <c r="B30" s="79">
        <v>8</v>
      </c>
      <c r="C30" s="83">
        <v>35000</v>
      </c>
      <c r="E30" s="86">
        <v>10000</v>
      </c>
    </row>
    <row r="31" spans="1:6" x14ac:dyDescent="0.25">
      <c r="B31" s="79">
        <v>9</v>
      </c>
      <c r="C31" s="83">
        <v>35000</v>
      </c>
      <c r="E31" s="86">
        <v>50000</v>
      </c>
    </row>
    <row r="32" spans="1:6" x14ac:dyDescent="0.25">
      <c r="B32" s="79">
        <v>10</v>
      </c>
      <c r="C32" s="83">
        <v>35000</v>
      </c>
      <c r="E32" s="86">
        <v>2500</v>
      </c>
    </row>
    <row r="34" spans="1:10" x14ac:dyDescent="0.25">
      <c r="A34" s="76">
        <v>3</v>
      </c>
      <c r="B34" s="87" t="s">
        <v>5</v>
      </c>
      <c r="C34" s="87">
        <v>0.15</v>
      </c>
    </row>
    <row r="35" spans="1:10" x14ac:dyDescent="0.25">
      <c r="I35" s="88" t="s">
        <v>150</v>
      </c>
      <c r="J35" s="88" t="s">
        <v>151</v>
      </c>
    </row>
    <row r="36" spans="1:10" x14ac:dyDescent="0.25">
      <c r="B36" s="88" t="s">
        <v>18</v>
      </c>
      <c r="C36" s="88" t="s">
        <v>15</v>
      </c>
      <c r="D36" s="88" t="s">
        <v>19</v>
      </c>
      <c r="E36" s="88" t="s">
        <v>150</v>
      </c>
      <c r="F36" s="88" t="s">
        <v>151</v>
      </c>
      <c r="G36" s="88" t="s">
        <v>20</v>
      </c>
      <c r="I36" s="141" t="s">
        <v>225</v>
      </c>
      <c r="J36" s="141" t="s">
        <v>225</v>
      </c>
    </row>
    <row r="37" spans="1:10" ht="14.4" x14ac:dyDescent="0.3">
      <c r="B37" s="89">
        <v>39083</v>
      </c>
      <c r="C37" s="90">
        <v>0</v>
      </c>
      <c r="D37" s="91">
        <v>-500</v>
      </c>
      <c r="E37" s="92">
        <f t="shared" ref="E37:E42" si="1">PV(C$34,C37,,-D37)</f>
        <v>-500</v>
      </c>
      <c r="F37" s="92">
        <f>D37/(1+$C$34)^(ABS(B$37-B37)/365)</f>
        <v>-500</v>
      </c>
      <c r="G37" s="93">
        <f>XNPV(C34,D37:D42,B37:B42)</f>
        <v>-110.30876598552859</v>
      </c>
      <c r="I37" s="140" cm="1">
        <f t="array" ref="I37:I42">PV(C34,C37:C42,,-D37:D42)</f>
        <v>-500</v>
      </c>
      <c r="J37" s="140" cm="1">
        <f t="array" ref="J37:J42">D37:D42/(1+C34)^(ABS(B37-B37:B42)/365)</f>
        <v>-500</v>
      </c>
    </row>
    <row r="38" spans="1:10" ht="14.4" x14ac:dyDescent="0.3">
      <c r="B38" s="94">
        <v>39448</v>
      </c>
      <c r="C38" s="95">
        <v>1</v>
      </c>
      <c r="D38" s="96">
        <v>200</v>
      </c>
      <c r="E38" s="97">
        <f t="shared" si="1"/>
        <v>173.91304347826087</v>
      </c>
      <c r="F38" s="92">
        <f t="shared" ref="F38:F42" si="2">D38/(1+$C$34)^(ABS(B$37-B38)/365)</f>
        <v>173.91304347826087</v>
      </c>
      <c r="G38" s="98"/>
      <c r="I38" s="140">
        <v>173.91304347826087</v>
      </c>
      <c r="J38" s="140">
        <v>173.91304347826087</v>
      </c>
    </row>
    <row r="39" spans="1:10" ht="14.4" x14ac:dyDescent="0.3">
      <c r="B39" s="94">
        <v>40179</v>
      </c>
      <c r="C39" s="95">
        <v>3</v>
      </c>
      <c r="D39" s="96">
        <v>100</v>
      </c>
      <c r="E39" s="97">
        <f t="shared" si="1"/>
        <v>65.751623243198836</v>
      </c>
      <c r="F39" s="92">
        <f t="shared" si="2"/>
        <v>65.726451146168856</v>
      </c>
      <c r="G39" s="98"/>
      <c r="I39" s="140">
        <v>65.751623243198836</v>
      </c>
      <c r="J39" s="140">
        <v>65.726451146168856</v>
      </c>
    </row>
    <row r="40" spans="1:10" ht="14.4" x14ac:dyDescent="0.3">
      <c r="B40" s="94">
        <v>40544</v>
      </c>
      <c r="C40" s="95">
        <v>4</v>
      </c>
      <c r="D40" s="96">
        <v>100</v>
      </c>
      <c r="E40" s="97">
        <f t="shared" si="1"/>
        <v>57.175324559303334</v>
      </c>
      <c r="F40" s="92">
        <f t="shared" si="2"/>
        <v>57.153435779277267</v>
      </c>
      <c r="G40" s="98"/>
      <c r="I40" s="140">
        <v>57.175324559303334</v>
      </c>
      <c r="J40" s="140">
        <v>57.153435779277267</v>
      </c>
    </row>
    <row r="41" spans="1:10" ht="14.4" x14ac:dyDescent="0.3">
      <c r="B41" s="94">
        <v>40909</v>
      </c>
      <c r="C41" s="95">
        <v>5</v>
      </c>
      <c r="D41" s="96">
        <v>100</v>
      </c>
      <c r="E41" s="97">
        <f t="shared" si="1"/>
        <v>49.717673529828986</v>
      </c>
      <c r="F41" s="92">
        <f t="shared" si="2"/>
        <v>49.698639808067185</v>
      </c>
      <c r="G41" s="98"/>
      <c r="I41" s="140">
        <v>49.717673529828986</v>
      </c>
      <c r="J41" s="140">
        <v>49.698639808067185</v>
      </c>
    </row>
    <row r="42" spans="1:10" ht="15" thickBot="1" x14ac:dyDescent="0.35">
      <c r="B42" s="94">
        <v>41275</v>
      </c>
      <c r="C42" s="95">
        <v>6</v>
      </c>
      <c r="D42" s="96">
        <v>100</v>
      </c>
      <c r="E42" s="97">
        <f t="shared" si="1"/>
        <v>43.232759591155649</v>
      </c>
      <c r="F42" s="92">
        <f t="shared" si="2"/>
        <v>43.199663802697209</v>
      </c>
      <c r="G42" s="98"/>
      <c r="I42" s="142">
        <v>43.232759591155649</v>
      </c>
      <c r="J42" s="142">
        <v>43.199663802697209</v>
      </c>
    </row>
    <row r="43" spans="1:10" ht="15" thickBot="1" x14ac:dyDescent="0.35">
      <c r="B43" s="99"/>
      <c r="C43" s="88"/>
      <c r="D43" s="100"/>
      <c r="E43" s="93">
        <f>SUM(E37:E42)</f>
        <v>-110.20957559825231</v>
      </c>
      <c r="F43" s="93">
        <f>SUM(F37:F42)</f>
        <v>-110.30876598552859</v>
      </c>
      <c r="G43" s="98"/>
      <c r="I43" s="143">
        <f>SUM(_xlfn.ANCHORARRAY(I37))</f>
        <v>-110.20957559825231</v>
      </c>
      <c r="J43" s="143">
        <f>SUM(_xlfn.ANCHORARRAY(J37))</f>
        <v>-110.30876598552859</v>
      </c>
    </row>
    <row r="44" spans="1:10" ht="13.8" thickTop="1" x14ac:dyDescent="0.25"/>
    <row r="45" spans="1:10" x14ac:dyDescent="0.25">
      <c r="B45" s="101">
        <v>39814</v>
      </c>
    </row>
    <row r="46" spans="1:10" x14ac:dyDescent="0.25">
      <c r="B46" s="79">
        <f>B45-B38</f>
        <v>366</v>
      </c>
    </row>
  </sheetData>
  <phoneticPr fontId="19"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5C0F-C2EC-4BD5-9B84-FCAF25789274}">
  <sheetPr>
    <tabColor rgb="FF0000FF"/>
  </sheetPr>
  <dimension ref="A1:F20"/>
  <sheetViews>
    <sheetView zoomScale="115" zoomScaleNormal="115" workbookViewId="0"/>
  </sheetViews>
  <sheetFormatPr defaultRowHeight="14.4" x14ac:dyDescent="0.3"/>
  <cols>
    <col min="2" max="2" width="11.109375" bestFit="1" customWidth="1"/>
    <col min="3" max="4" width="15.21875" bestFit="1" customWidth="1"/>
    <col min="5" max="6" width="21.6640625" bestFit="1" customWidth="1"/>
  </cols>
  <sheetData>
    <row r="1" spans="1:6" x14ac:dyDescent="0.3">
      <c r="A1" s="17" t="s">
        <v>47</v>
      </c>
      <c r="B1" s="17" t="s">
        <v>19</v>
      </c>
      <c r="C1" s="17" t="s">
        <v>174</v>
      </c>
      <c r="E1" s="7" t="s">
        <v>115</v>
      </c>
      <c r="F1" s="50">
        <v>0.15</v>
      </c>
    </row>
    <row r="2" spans="1:6" x14ac:dyDescent="0.3">
      <c r="A2" s="7">
        <v>0</v>
      </c>
      <c r="B2" s="38">
        <v>-150000</v>
      </c>
      <c r="C2" s="38"/>
      <c r="E2" s="7" t="s">
        <v>17</v>
      </c>
      <c r="F2" s="7">
        <v>3</v>
      </c>
    </row>
    <row r="3" spans="1:6" x14ac:dyDescent="0.3">
      <c r="A3" s="7">
        <v>1</v>
      </c>
      <c r="B3" s="38">
        <v>38500</v>
      </c>
      <c r="C3" s="38">
        <v>30000</v>
      </c>
      <c r="E3" s="7" t="s">
        <v>176</v>
      </c>
      <c r="F3" s="7">
        <v>0.3</v>
      </c>
    </row>
    <row r="4" spans="1:6" x14ac:dyDescent="0.3">
      <c r="A4" s="7">
        <v>2</v>
      </c>
      <c r="B4" s="38">
        <v>38500</v>
      </c>
      <c r="C4" s="38">
        <v>30000</v>
      </c>
    </row>
    <row r="5" spans="1:6" x14ac:dyDescent="0.3">
      <c r="A5" s="7">
        <v>3</v>
      </c>
      <c r="B5" s="38">
        <v>38500</v>
      </c>
      <c r="C5" s="38">
        <v>30000</v>
      </c>
      <c r="E5" s="7" t="s">
        <v>6</v>
      </c>
      <c r="F5" s="121"/>
    </row>
    <row r="6" spans="1:6" x14ac:dyDescent="0.3">
      <c r="A6" s="7">
        <v>4</v>
      </c>
      <c r="B6" s="38">
        <v>38500</v>
      </c>
      <c r="C6" s="38">
        <v>30000</v>
      </c>
      <c r="E6" s="7" t="s">
        <v>7</v>
      </c>
      <c r="F6" s="144"/>
    </row>
    <row r="7" spans="1:6" x14ac:dyDescent="0.3">
      <c r="A7" s="7">
        <v>5</v>
      </c>
      <c r="B7" s="38">
        <v>38500</v>
      </c>
      <c r="C7" s="38">
        <v>30000</v>
      </c>
      <c r="E7" s="7" t="s">
        <v>17</v>
      </c>
      <c r="F7" s="144"/>
    </row>
    <row r="8" spans="1:6" x14ac:dyDescent="0.3">
      <c r="A8" s="7">
        <v>6</v>
      </c>
      <c r="B8" s="38">
        <v>38500</v>
      </c>
      <c r="C8" s="38">
        <v>30000</v>
      </c>
      <c r="E8" s="7" t="s">
        <v>16</v>
      </c>
      <c r="F8" s="33"/>
    </row>
    <row r="9" spans="1:6" x14ac:dyDescent="0.3">
      <c r="A9" s="7">
        <v>7</v>
      </c>
      <c r="B9" s="38">
        <v>2000</v>
      </c>
      <c r="C9" s="38">
        <v>1000</v>
      </c>
      <c r="E9" s="7" t="s">
        <v>175</v>
      </c>
      <c r="F9" s="33"/>
    </row>
    <row r="10" spans="1:6" x14ac:dyDescent="0.3">
      <c r="B10" s="120"/>
      <c r="E10" s="7" t="s">
        <v>89</v>
      </c>
      <c r="F10" s="33"/>
    </row>
    <row r="12" spans="1:6" x14ac:dyDescent="0.3">
      <c r="D12" s="17" t="s">
        <v>15</v>
      </c>
      <c r="E12" s="17" t="s">
        <v>61</v>
      </c>
      <c r="F12" s="17" t="s">
        <v>61</v>
      </c>
    </row>
    <row r="13" spans="1:6" x14ac:dyDescent="0.3">
      <c r="D13" s="7">
        <v>1</v>
      </c>
      <c r="E13" s="33"/>
      <c r="F13" s="33"/>
    </row>
    <row r="14" spans="1:6" x14ac:dyDescent="0.3">
      <c r="D14" s="7">
        <v>2</v>
      </c>
      <c r="E14" s="33"/>
      <c r="F14" s="33"/>
    </row>
    <row r="15" spans="1:6" x14ac:dyDescent="0.3">
      <c r="D15" s="7">
        <v>3</v>
      </c>
      <c r="E15" s="33"/>
      <c r="F15" s="33"/>
    </row>
    <row r="16" spans="1:6" x14ac:dyDescent="0.3">
      <c r="D16" s="7">
        <v>4</v>
      </c>
      <c r="E16" s="33"/>
      <c r="F16" s="33"/>
    </row>
    <row r="17" spans="4:6" x14ac:dyDescent="0.3">
      <c r="D17" s="7">
        <v>5</v>
      </c>
      <c r="E17" s="33"/>
      <c r="F17" s="33"/>
    </row>
    <row r="18" spans="4:6" x14ac:dyDescent="0.3">
      <c r="D18" s="7">
        <v>6</v>
      </c>
      <c r="E18" s="33"/>
      <c r="F18" s="33"/>
    </row>
    <row r="19" spans="4:6" x14ac:dyDescent="0.3">
      <c r="D19" s="7">
        <v>7</v>
      </c>
      <c r="E19" s="33"/>
      <c r="F19" s="33"/>
    </row>
    <row r="20" spans="4:6" x14ac:dyDescent="0.3">
      <c r="D20" s="17" t="s">
        <v>60</v>
      </c>
      <c r="E20" s="4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3A5C-57E5-4BDE-B757-96AFACC2BB8D}">
  <sheetPr>
    <tabColor rgb="FFFF0000"/>
  </sheetPr>
  <dimension ref="A1:K20"/>
  <sheetViews>
    <sheetView zoomScale="115" zoomScaleNormal="115" workbookViewId="0"/>
  </sheetViews>
  <sheetFormatPr defaultRowHeight="14.4" x14ac:dyDescent="0.3"/>
  <cols>
    <col min="2" max="2" width="11.109375" bestFit="1" customWidth="1"/>
    <col min="3" max="4" width="15.21875" bestFit="1" customWidth="1"/>
    <col min="5" max="6" width="21.6640625" bestFit="1" customWidth="1"/>
  </cols>
  <sheetData>
    <row r="1" spans="1:11" x14ac:dyDescent="0.3">
      <c r="A1" s="17" t="s">
        <v>47</v>
      </c>
      <c r="B1" s="17" t="s">
        <v>19</v>
      </c>
      <c r="C1" s="17" t="s">
        <v>174</v>
      </c>
      <c r="E1" s="7" t="s">
        <v>115</v>
      </c>
      <c r="F1" s="50">
        <v>0.15</v>
      </c>
    </row>
    <row r="2" spans="1:11" x14ac:dyDescent="0.3">
      <c r="A2" s="7">
        <v>0</v>
      </c>
      <c r="B2" s="38">
        <v>-150000</v>
      </c>
      <c r="C2" s="38"/>
      <c r="E2" s="7" t="s">
        <v>17</v>
      </c>
      <c r="F2" s="7">
        <v>3</v>
      </c>
    </row>
    <row r="3" spans="1:11" x14ac:dyDescent="0.3">
      <c r="A3" s="7">
        <v>1</v>
      </c>
      <c r="B3" s="38">
        <v>38500</v>
      </c>
      <c r="C3" s="38">
        <v>30000</v>
      </c>
      <c r="E3" s="7" t="s">
        <v>176</v>
      </c>
      <c r="F3" s="7">
        <v>0.3</v>
      </c>
    </row>
    <row r="4" spans="1:11" x14ac:dyDescent="0.3">
      <c r="A4" s="7">
        <v>2</v>
      </c>
      <c r="B4" s="38">
        <v>38500</v>
      </c>
      <c r="C4" s="38">
        <v>30000</v>
      </c>
    </row>
    <row r="5" spans="1:11" x14ac:dyDescent="0.3">
      <c r="A5" s="7">
        <v>3</v>
      </c>
      <c r="B5" s="38">
        <v>38500</v>
      </c>
      <c r="C5" s="38">
        <v>30000</v>
      </c>
      <c r="E5" s="7" t="s">
        <v>6</v>
      </c>
      <c r="F5" s="121">
        <f>NPV(F1,B3:B9)+B2</f>
        <v>-3545.5422041198763</v>
      </c>
      <c r="G5" t="s">
        <v>214</v>
      </c>
      <c r="I5" s="7" t="s">
        <v>6</v>
      </c>
      <c r="J5" s="26">
        <f>XNPV(F1,B2:B9,_xlfn.SEQUENCE(ROWS(B2:B9),,365,365))</f>
        <v>-3545.5422041198931</v>
      </c>
    </row>
    <row r="6" spans="1:11" x14ac:dyDescent="0.3">
      <c r="A6" s="7">
        <v>4</v>
      </c>
      <c r="B6" s="38">
        <v>38500</v>
      </c>
      <c r="C6" s="38">
        <v>30000</v>
      </c>
      <c r="E6" s="7" t="s">
        <v>7</v>
      </c>
      <c r="F6" s="121">
        <f>IRR(B2:B9)</f>
        <v>0.14123981512487194</v>
      </c>
      <c r="G6" t="s">
        <v>214</v>
      </c>
      <c r="I6" s="7" t="s">
        <v>218</v>
      </c>
      <c r="J6" s="119">
        <f>MIRR(B2:B9,F1,F1)</f>
        <v>0.1460768641954624</v>
      </c>
    </row>
    <row r="7" spans="1:11" x14ac:dyDescent="0.3">
      <c r="A7" s="7">
        <v>5</v>
      </c>
      <c r="B7" s="38">
        <v>38500</v>
      </c>
      <c r="C7" s="38">
        <v>30000</v>
      </c>
      <c r="E7" s="7" t="s">
        <v>17</v>
      </c>
      <c r="F7" s="121">
        <f>E20</f>
        <v>3.8961038961038961</v>
      </c>
      <c r="G7" t="s">
        <v>214</v>
      </c>
      <c r="I7" s="7" t="s">
        <v>17</v>
      </c>
      <c r="J7" s="26" cm="1">
        <f t="array" ref="J7">LOOKUP(0,B2:B9,A2:A9-B2:B9/B3:B10)</f>
        <v>3.8961038961038961</v>
      </c>
      <c r="K7" s="145" cm="1">
        <f t="array" ref="K7">PayBackRule(B2:B9)</f>
        <v>3.8961038961038961</v>
      </c>
    </row>
    <row r="8" spans="1:11" x14ac:dyDescent="0.3">
      <c r="A8" s="7">
        <v>6</v>
      </c>
      <c r="B8" s="38">
        <v>38500</v>
      </c>
      <c r="C8" s="38">
        <v>30000</v>
      </c>
      <c r="E8" s="7" t="s">
        <v>16</v>
      </c>
      <c r="F8" s="33">
        <f>NPV(F1,B3:B9)/-B2</f>
        <v>0.97636305197253415</v>
      </c>
      <c r="G8" t="s">
        <v>214</v>
      </c>
    </row>
    <row r="9" spans="1:11" x14ac:dyDescent="0.3">
      <c r="A9" s="7">
        <v>7</v>
      </c>
      <c r="B9" s="38">
        <v>2000</v>
      </c>
      <c r="C9" s="38">
        <v>1000</v>
      </c>
      <c r="E9" s="7" t="s">
        <v>175</v>
      </c>
      <c r="F9" s="33">
        <f>NPV(F1,B3:B9)/-B2-1</f>
        <v>-2.3636948027465854E-2</v>
      </c>
      <c r="G9" t="s">
        <v>214</v>
      </c>
    </row>
    <row r="10" spans="1:11" x14ac:dyDescent="0.3">
      <c r="B10" s="120"/>
      <c r="E10" s="7" t="s">
        <v>89</v>
      </c>
      <c r="F10" s="33">
        <f>AVERAGE(C3:C9)/(-B2/2)</f>
        <v>0.34476190476190477</v>
      </c>
      <c r="G10" t="s">
        <v>215</v>
      </c>
    </row>
    <row r="12" spans="1:11" x14ac:dyDescent="0.3">
      <c r="D12" s="17" t="s">
        <v>15</v>
      </c>
      <c r="E12" s="17" t="s">
        <v>61</v>
      </c>
      <c r="F12" s="17" t="s">
        <v>61</v>
      </c>
    </row>
    <row r="13" spans="1:11" x14ac:dyDescent="0.3">
      <c r="D13" s="7">
        <v>1</v>
      </c>
      <c r="E13" s="33">
        <f>-B2-B3</f>
        <v>111500</v>
      </c>
      <c r="F13" s="33">
        <f>-$B$2-SUM($B$3:B3)</f>
        <v>111500</v>
      </c>
    </row>
    <row r="14" spans="1:11" x14ac:dyDescent="0.3">
      <c r="D14" s="7">
        <v>2</v>
      </c>
      <c r="E14" s="33">
        <f t="shared" ref="E14:E19" si="0">E13-B4</f>
        <v>73000</v>
      </c>
      <c r="F14" s="33">
        <f>-$B$2-SUM($B$3:B4)</f>
        <v>73000</v>
      </c>
    </row>
    <row r="15" spans="1:11" x14ac:dyDescent="0.3">
      <c r="D15" s="7">
        <v>3</v>
      </c>
      <c r="E15" s="33">
        <f t="shared" si="0"/>
        <v>34500</v>
      </c>
      <c r="F15" s="33">
        <f>-$B$2-SUM($B$3:B5)</f>
        <v>34500</v>
      </c>
    </row>
    <row r="16" spans="1:11" x14ac:dyDescent="0.3">
      <c r="D16" s="7">
        <v>4</v>
      </c>
      <c r="E16" s="33">
        <f t="shared" si="0"/>
        <v>-4000</v>
      </c>
      <c r="F16" s="33">
        <f>-$B$2-SUM($B$3:B6)</f>
        <v>-4000</v>
      </c>
    </row>
    <row r="17" spans="4:6" x14ac:dyDescent="0.3">
      <c r="D17" s="7">
        <v>5</v>
      </c>
      <c r="E17" s="33">
        <f t="shared" si="0"/>
        <v>-42500</v>
      </c>
      <c r="F17" s="33">
        <f>-$B$2-SUM($B$3:B7)</f>
        <v>-42500</v>
      </c>
    </row>
    <row r="18" spans="4:6" x14ac:dyDescent="0.3">
      <c r="D18" s="7">
        <v>6</v>
      </c>
      <c r="E18" s="33">
        <f t="shared" si="0"/>
        <v>-81000</v>
      </c>
      <c r="F18" s="33">
        <f>-$B$2-SUM($B$3:B8)</f>
        <v>-81000</v>
      </c>
    </row>
    <row r="19" spans="4:6" x14ac:dyDescent="0.3">
      <c r="D19" s="7">
        <v>7</v>
      </c>
      <c r="E19" s="33">
        <f t="shared" si="0"/>
        <v>-83000</v>
      </c>
      <c r="F19" s="33">
        <f>-$B$2-SUM($B$3:B9)</f>
        <v>-83000</v>
      </c>
    </row>
    <row r="20" spans="4:6" x14ac:dyDescent="0.3">
      <c r="D20" s="17" t="s">
        <v>60</v>
      </c>
      <c r="E20" s="41">
        <f>D15+E15/B6</f>
        <v>3.8961038961038961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5E0-007E-4DC8-9EE2-05A821471849}">
  <sheetPr>
    <tabColor rgb="FF0000FF"/>
  </sheetPr>
  <dimension ref="A1:D15"/>
  <sheetViews>
    <sheetView topLeftCell="A12" workbookViewId="0">
      <selection activeCell="B20" sqref="B20"/>
    </sheetView>
  </sheetViews>
  <sheetFormatPr defaultRowHeight="14.4" x14ac:dyDescent="0.3"/>
  <cols>
    <col min="1" max="1" width="5.21875" customWidth="1"/>
    <col min="2" max="2" width="101" customWidth="1"/>
  </cols>
  <sheetData>
    <row r="1" spans="1:4" ht="57.6" x14ac:dyDescent="0.3">
      <c r="A1">
        <v>1</v>
      </c>
      <c r="B1" s="122" t="s">
        <v>177</v>
      </c>
      <c r="D1" t="s">
        <v>179</v>
      </c>
    </row>
    <row r="2" spans="1:4" ht="57.6" x14ac:dyDescent="0.3">
      <c r="A2">
        <v>2</v>
      </c>
      <c r="B2" s="122" t="s">
        <v>178</v>
      </c>
    </row>
    <row r="3" spans="1:4" ht="172.8" x14ac:dyDescent="0.3">
      <c r="A3">
        <v>3</v>
      </c>
      <c r="B3" s="122" t="s">
        <v>180</v>
      </c>
    </row>
    <row r="4" spans="1:4" ht="172.8" x14ac:dyDescent="0.3">
      <c r="A4">
        <v>4</v>
      </c>
      <c r="B4" s="122" t="s">
        <v>181</v>
      </c>
    </row>
    <row r="5" spans="1:4" ht="115.2" x14ac:dyDescent="0.3">
      <c r="A5">
        <v>5</v>
      </c>
      <c r="B5" s="122" t="s">
        <v>182</v>
      </c>
    </row>
    <row r="6" spans="1:4" ht="172.8" x14ac:dyDescent="0.3">
      <c r="A6">
        <v>6</v>
      </c>
      <c r="B6" s="122" t="s">
        <v>183</v>
      </c>
    </row>
    <row r="7" spans="1:4" ht="86.4" x14ac:dyDescent="0.3">
      <c r="A7">
        <v>7</v>
      </c>
      <c r="B7" s="122" t="s">
        <v>184</v>
      </c>
    </row>
    <row r="8" spans="1:4" ht="288" x14ac:dyDescent="0.3">
      <c r="A8">
        <v>8</v>
      </c>
      <c r="B8" s="122" t="s">
        <v>185</v>
      </c>
    </row>
    <row r="9" spans="1:4" ht="129.6" x14ac:dyDescent="0.3">
      <c r="A9">
        <v>9</v>
      </c>
      <c r="B9" s="122" t="s">
        <v>186</v>
      </c>
    </row>
    <row r="10" spans="1:4" ht="57.6" x14ac:dyDescent="0.3">
      <c r="A10">
        <v>10</v>
      </c>
      <c r="B10" s="122" t="s">
        <v>187</v>
      </c>
    </row>
    <row r="11" spans="1:4" ht="86.4" x14ac:dyDescent="0.3">
      <c r="A11">
        <v>11</v>
      </c>
      <c r="B11" s="122" t="s">
        <v>188</v>
      </c>
    </row>
    <row r="12" spans="1:4" ht="28.8" x14ac:dyDescent="0.3">
      <c r="A12">
        <v>12</v>
      </c>
      <c r="B12" s="122" t="s">
        <v>189</v>
      </c>
    </row>
    <row r="13" spans="1:4" ht="72" x14ac:dyDescent="0.3">
      <c r="A13">
        <v>13</v>
      </c>
      <c r="B13" s="122" t="s">
        <v>190</v>
      </c>
    </row>
    <row r="14" spans="1:4" ht="187.2" x14ac:dyDescent="0.3">
      <c r="A14">
        <v>14</v>
      </c>
      <c r="B14" s="122" t="s">
        <v>191</v>
      </c>
    </row>
    <row r="15" spans="1:4" ht="201.6" x14ac:dyDescent="0.3">
      <c r="A15">
        <v>15</v>
      </c>
      <c r="B15" s="12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Data</vt:lpstr>
      <vt:lpstr>CB</vt:lpstr>
      <vt:lpstr>Ex(1)</vt:lpstr>
      <vt:lpstr>Ex(1an)</vt:lpstr>
      <vt:lpstr>Ex(2)</vt:lpstr>
      <vt:lpstr>Ex(2an)</vt:lpstr>
      <vt:lpstr>Ex(3)</vt:lpstr>
      <vt:lpstr>Ex(3an)</vt:lpstr>
      <vt:lpstr>Ex(4)</vt:lpstr>
      <vt:lpstr>Ex(4an)</vt:lpstr>
      <vt:lpstr>Ex(5)</vt:lpstr>
      <vt:lpstr>Ex(5an)</vt:lpstr>
      <vt:lpstr>Ex(5.5)</vt:lpstr>
      <vt:lpstr>EX(6)</vt:lpstr>
      <vt:lpstr>EX(6an)</vt:lpstr>
      <vt:lpstr>EX(6.5)</vt:lpstr>
      <vt:lpstr>pre-7</vt:lpstr>
      <vt:lpstr>Ex(7)</vt:lpstr>
      <vt:lpstr>Ex(7an)</vt:lpstr>
      <vt:lpstr>NPV P</vt:lpstr>
      <vt:lpstr>EX(8)</vt:lpstr>
      <vt:lpstr>EX(8an)</vt:lpstr>
      <vt:lpstr>Ex(9)</vt:lpstr>
      <vt:lpstr>Ex(9an)</vt:lpstr>
      <vt:lpstr>Ex(10)</vt:lpstr>
      <vt:lpstr>Ex(10an)</vt:lpstr>
      <vt:lpstr>Ex(11)</vt:lpstr>
      <vt:lpstr>Ex(11an)</vt:lpstr>
      <vt:lpstr>EX(12)</vt:lpstr>
      <vt:lpstr>Ex(12an)</vt:lpstr>
      <vt:lpstr>Ex(13)</vt:lpstr>
      <vt:lpstr>Ex(13an)</vt:lpstr>
      <vt:lpstr>CT&amp;CR1-15</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Girvin</dc:creator>
  <cp:lastModifiedBy>Girvin, Michael</cp:lastModifiedBy>
  <dcterms:created xsi:type="dcterms:W3CDTF">2010-11-03T19:39:12Z</dcterms:created>
  <dcterms:modified xsi:type="dcterms:W3CDTF">2025-02-06T07:56:37Z</dcterms:modified>
</cp:coreProperties>
</file>