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16"/>
  <workbookPr defaultThemeVersion="124226"/>
  <mc:AlternateContent xmlns:mc="http://schemas.openxmlformats.org/markup-compatibility/2006">
    <mc:Choice Requires="x15">
      <x15ac:absPath xmlns:x15ac="http://schemas.microsoft.com/office/spreadsheetml/2010/11/ac" url="C:\Users\mgirvin\Desktop\00-455-2025\02-VideosFilesHomework\Ch06\Files\"/>
    </mc:Choice>
  </mc:AlternateContent>
  <xr:revisionPtr revIDLastSave="0" documentId="8_{A940C8C9-94BD-409D-A1FB-12A533BA8F72}" xr6:coauthVersionLast="47" xr6:coauthVersionMax="47" xr10:uidLastSave="{00000000-0000-0000-0000-000000000000}"/>
  <bookViews>
    <workbookView xWindow="-108" yWindow="-108" windowWidth="23256" windowHeight="12576" tabRatio="431" xr2:uid="{EA270ADF-EC0F-473A-B184-8D69A7B8891C}"/>
  </bookViews>
  <sheets>
    <sheet name="1&amp;2" sheetId="1" r:id="rId1"/>
    <sheet name="1&amp;2an" sheetId="36" r:id="rId2"/>
    <sheet name="3&amp;4&amp;5" sheetId="2" r:id="rId3"/>
    <sheet name="3&amp;4&amp;5an" sheetId="37" r:id="rId4"/>
    <sheet name="6-10" sheetId="3" r:id="rId5"/>
    <sheet name="6-10an" sheetId="44" r:id="rId6"/>
    <sheet name="11" sheetId="40" r:id="rId7"/>
    <sheet name="11an" sheetId="45" r:id="rId8"/>
    <sheet name="12" sheetId="43" r:id="rId9"/>
    <sheet name="12an" sheetId="46" r:id="rId10"/>
    <sheet name="13" sheetId="48" r:id="rId11"/>
    <sheet name="13an" sheetId="67" r:id="rId12"/>
    <sheet name="13.5-1" sheetId="68" r:id="rId13"/>
    <sheet name="13.5-1an" sheetId="70" r:id="rId14"/>
    <sheet name="13.5-2" sheetId="47" r:id="rId15"/>
    <sheet name="13.5-3" sheetId="69" r:id="rId16"/>
    <sheet name="13.5-3an" sheetId="72" r:id="rId17"/>
    <sheet name="13.5-4D" sheetId="73" r:id="rId18"/>
    <sheet name="13.5-4Dan" sheetId="75" r:id="rId19"/>
    <sheet name="13.5-4P" sheetId="74" r:id="rId20"/>
    <sheet name="13.5-4Pan" sheetId="76" r:id="rId21"/>
    <sheet name="14" sheetId="49" r:id="rId22"/>
    <sheet name="14an" sheetId="53" r:id="rId23"/>
    <sheet name="14.5" sheetId="51" r:id="rId24"/>
    <sheet name="14.5an" sheetId="52" r:id="rId25"/>
    <sheet name="15" sheetId="56" r:id="rId26"/>
    <sheet name="15an" sheetId="57" r:id="rId27"/>
    <sheet name="HW Templates ==&gt;" sheetId="4" r:id="rId28"/>
    <sheet name="STP6.1" sheetId="5" r:id="rId29"/>
    <sheet name="STP6.1 (an)" sheetId="6" r:id="rId30"/>
    <sheet name="STP6.2" sheetId="7" r:id="rId31"/>
    <sheet name="STP6.2 (an)" sheetId="8" r:id="rId32"/>
    <sheet name="CTandCR 15a&amp;b" sheetId="9" r:id="rId33"/>
    <sheet name="CTandCR 15a&amp;b (an)" sheetId="10" r:id="rId34"/>
    <sheet name="Q&amp;P(2)" sheetId="11" r:id="rId35"/>
    <sheet name="Q&amp;P(2an)" sheetId="12" r:id="rId36"/>
    <sheet name="Q&amp;P(3)" sheetId="13" r:id="rId37"/>
    <sheet name="Q&amp;P(3an)" sheetId="14" r:id="rId38"/>
    <sheet name="Q&amp;P(4)" sheetId="15" r:id="rId39"/>
    <sheet name="Q&amp;P(4an)" sheetId="16" r:id="rId40"/>
    <sheet name="Q&amp;P(5)" sheetId="17" r:id="rId41"/>
    <sheet name="Q&amp;P(5an)" sheetId="18" r:id="rId42"/>
    <sheet name="Q&amp;P(6)" sheetId="19" r:id="rId43"/>
    <sheet name="Q&amp;P(6an)" sheetId="20" r:id="rId44"/>
    <sheet name="Q&amp;P(7)" sheetId="21" r:id="rId45"/>
    <sheet name="Q&amp;P(7an)" sheetId="22" r:id="rId46"/>
    <sheet name="Q&amp;P(9)" sheetId="23" r:id="rId47"/>
    <sheet name="Q&amp;P(9an)" sheetId="24" r:id="rId48"/>
    <sheet name="Q&amp;P(11)" sheetId="25" r:id="rId49"/>
    <sheet name="Q&amp;P(11an)" sheetId="26" r:id="rId50"/>
    <sheet name="Q&amp;P(12)" sheetId="27" r:id="rId51"/>
    <sheet name="Q&amp;P(12an)" sheetId="28" r:id="rId52"/>
    <sheet name="Q&amp;P(21)" sheetId="29" r:id="rId53"/>
    <sheet name="Q&amp;P(21an)" sheetId="30" r:id="rId54"/>
    <sheet name="Q&amp;P(23a&amp;b)" sheetId="31" r:id="rId55"/>
    <sheet name="Q&amp;P(23a&amp;b) (an)" sheetId="32" r:id="rId56"/>
    <sheet name="WOW6.1" sheetId="33" state="hidden" r:id="rId57"/>
    <sheet name="WOW6.2" sheetId="34" state="hidden" r:id="rId58"/>
    <sheet name="WOW6.3" sheetId="35" state="hidden" r:id="rId59"/>
  </sheets>
  <definedNames>
    <definedName name="_xlnm.Print_Area" localSheetId="14">'13.5-2'!$A$1:$E$9,'13.5-2'!$G$9:$K$13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 i="32" l="1"/>
  <c r="E1" i="32"/>
  <c r="D2" i="32"/>
  <c r="E2" i="32"/>
  <c r="D3" i="32"/>
  <c r="E3" i="32"/>
  <c r="B6" i="32"/>
  <c r="D7" i="32"/>
  <c r="E7" i="32"/>
  <c r="D8" i="32"/>
  <c r="E8" i="32"/>
  <c r="B9" i="32"/>
  <c r="D9" i="32"/>
  <c r="I9" i="32"/>
  <c r="I8" i="32" s="1"/>
  <c r="J9" i="32"/>
  <c r="B10" i="32"/>
  <c r="B11" i="32" s="1"/>
  <c r="E10" i="32"/>
  <c r="E9" i="32" s="1"/>
  <c r="B13" i="32"/>
  <c r="H26" i="32"/>
  <c r="D1" i="31"/>
  <c r="E1" i="31"/>
  <c r="D2" i="31"/>
  <c r="E2" i="31"/>
  <c r="D3" i="31"/>
  <c r="E3" i="31"/>
  <c r="D5" i="31"/>
  <c r="D7" i="31"/>
  <c r="E7" i="31"/>
  <c r="D8" i="31"/>
  <c r="E8" i="31"/>
  <c r="D9" i="31"/>
  <c r="B5" i="30"/>
  <c r="B6" i="30"/>
  <c r="B9" i="30"/>
  <c r="B10" i="30"/>
  <c r="B11" i="30"/>
  <c r="B12" i="30"/>
  <c r="B3" i="28"/>
  <c r="B4" i="28"/>
  <c r="B2" i="26"/>
  <c r="B4" i="26" s="1"/>
  <c r="B3" i="24"/>
  <c r="B4" i="24"/>
  <c r="D4" i="24"/>
  <c r="B6" i="24"/>
  <c r="B4" i="22"/>
  <c r="B7" i="22"/>
  <c r="B8" i="22"/>
  <c r="B9" i="22"/>
  <c r="B12" i="22"/>
  <c r="B13" i="22"/>
  <c r="B14" i="22" s="1"/>
  <c r="B15" i="22" s="1"/>
  <c r="B4" i="20"/>
  <c r="B7" i="20" s="1"/>
  <c r="B13" i="20" s="1"/>
  <c r="B14" i="20" s="1"/>
  <c r="B8" i="20"/>
  <c r="B9" i="20"/>
  <c r="B12" i="20"/>
  <c r="B4" i="19"/>
  <c r="B4" i="18"/>
  <c r="B7" i="18"/>
  <c r="B5" i="18" s="1"/>
  <c r="B4" i="16"/>
  <c r="B7" i="16"/>
  <c r="B8" i="16"/>
  <c r="B10" i="16"/>
  <c r="B11" i="16"/>
  <c r="B12" i="16" s="1"/>
  <c r="B14" i="16" s="1"/>
  <c r="B16" i="16" s="1"/>
  <c r="B15" i="16"/>
  <c r="B15" i="15"/>
  <c r="B4" i="14"/>
  <c r="B7" i="14"/>
  <c r="B8" i="14" s="1"/>
  <c r="D13" i="14" s="1"/>
  <c r="B10" i="14"/>
  <c r="B12" i="14"/>
  <c r="B13" i="14" s="1"/>
  <c r="B15" i="14" s="1"/>
  <c r="B14" i="14"/>
  <c r="B6" i="12"/>
  <c r="B9" i="12"/>
  <c r="B10" i="12"/>
  <c r="B11" i="12"/>
  <c r="B4" i="8"/>
  <c r="B7" i="8"/>
  <c r="B8" i="8" s="1"/>
  <c r="B12" i="8" s="1"/>
  <c r="B10" i="8"/>
  <c r="D14" i="7"/>
  <c r="E14" i="7"/>
  <c r="B4" i="6"/>
  <c r="B7" i="6"/>
  <c r="B8" i="6" s="1"/>
  <c r="D13" i="6" s="1"/>
  <c r="B10" i="6"/>
  <c r="B12" i="6"/>
  <c r="B13" i="6" s="1"/>
  <c r="B15" i="6" s="1"/>
  <c r="B14" i="6"/>
  <c r="D14" i="6"/>
  <c r="B4" i="57"/>
  <c r="B5" i="57"/>
  <c r="B9" i="52"/>
  <c r="C9" i="52"/>
  <c r="B10" i="52"/>
  <c r="C10" i="52"/>
  <c r="D10" i="52"/>
  <c r="B11" i="52"/>
  <c r="C11" i="52"/>
  <c r="D11" i="52"/>
  <c r="B12" i="52"/>
  <c r="C12" i="52"/>
  <c r="D12" i="52" s="1"/>
  <c r="B13" i="52"/>
  <c r="C13" i="52"/>
  <c r="D13" i="52" s="1"/>
  <c r="A19" i="52"/>
  <c r="B19" i="52"/>
  <c r="C19" i="52"/>
  <c r="B9" i="51"/>
  <c r="C9" i="51"/>
  <c r="D10" i="51"/>
  <c r="D11" i="51"/>
  <c r="D12" i="51"/>
  <c r="D13" i="51"/>
  <c r="A19" i="51"/>
  <c r="B2" i="53"/>
  <c r="B8" i="53"/>
  <c r="C8" i="53"/>
  <c r="B9" i="53"/>
  <c r="C9" i="53"/>
  <c r="B10" i="53"/>
  <c r="C10" i="53"/>
  <c r="B11" i="53"/>
  <c r="C11" i="53"/>
  <c r="B12" i="53"/>
  <c r="C12" i="53"/>
  <c r="B2" i="49"/>
  <c r="B8" i="49"/>
  <c r="C8" i="49"/>
  <c r="B4" i="76"/>
  <c r="G4" i="76"/>
  <c r="B6" i="76"/>
  <c r="D6" i="76"/>
  <c r="B7" i="76"/>
  <c r="E7" i="76"/>
  <c r="B8" i="76"/>
  <c r="B14" i="76"/>
  <c r="G8" i="76" s="1"/>
  <c r="B15" i="76"/>
  <c r="B16" i="76"/>
  <c r="B17" i="76"/>
  <c r="B18" i="76"/>
  <c r="B4" i="74"/>
  <c r="B6" i="74"/>
  <c r="B7" i="74"/>
  <c r="B8" i="74"/>
  <c r="B10" i="74"/>
  <c r="E13" i="74"/>
  <c r="B14" i="74"/>
  <c r="C14" i="74"/>
  <c r="D14" i="74"/>
  <c r="E14" i="74"/>
  <c r="F14" i="74"/>
  <c r="B15" i="74"/>
  <c r="C15" i="74"/>
  <c r="D15" i="74"/>
  <c r="E15" i="74"/>
  <c r="F15" i="74"/>
  <c r="B16" i="74"/>
  <c r="C16" i="74"/>
  <c r="D16" i="74"/>
  <c r="E16" i="74"/>
  <c r="F16" i="74"/>
  <c r="B17" i="74"/>
  <c r="C17" i="74"/>
  <c r="D17" i="74"/>
  <c r="E17" i="74"/>
  <c r="F17" i="74"/>
  <c r="B18" i="74"/>
  <c r="C18" i="74"/>
  <c r="D18" i="74"/>
  <c r="E18" i="74"/>
  <c r="F18" i="74"/>
  <c r="B19" i="74"/>
  <c r="C19" i="74"/>
  <c r="D19" i="74"/>
  <c r="E19" i="74"/>
  <c r="F19" i="74"/>
  <c r="B20" i="74"/>
  <c r="C20" i="74"/>
  <c r="D20" i="74"/>
  <c r="E20" i="74"/>
  <c r="F20" i="74"/>
  <c r="B21" i="74"/>
  <c r="C21" i="74"/>
  <c r="D21" i="74"/>
  <c r="E21" i="74"/>
  <c r="F21" i="74"/>
  <c r="B22" i="74"/>
  <c r="C22" i="74"/>
  <c r="D22" i="74"/>
  <c r="E22" i="74"/>
  <c r="F22" i="74"/>
  <c r="B23" i="74"/>
  <c r="C23" i="74"/>
  <c r="D23" i="74"/>
  <c r="E23" i="74"/>
  <c r="F23" i="74"/>
  <c r="B24" i="74"/>
  <c r="C24" i="74"/>
  <c r="D24" i="74"/>
  <c r="E24" i="74"/>
  <c r="F24" i="74"/>
  <c r="B25" i="74"/>
  <c r="C25" i="74"/>
  <c r="D25" i="74"/>
  <c r="E25" i="74"/>
  <c r="F25" i="74"/>
  <c r="B26" i="74"/>
  <c r="C26" i="74"/>
  <c r="D26" i="74"/>
  <c r="E26" i="74"/>
  <c r="F26" i="74"/>
  <c r="B27" i="74"/>
  <c r="C27" i="74"/>
  <c r="D27" i="74"/>
  <c r="E27" i="74"/>
  <c r="F27" i="74"/>
  <c r="B28" i="74"/>
  <c r="C28" i="74"/>
  <c r="F28" i="74" s="1"/>
  <c r="D28" i="74"/>
  <c r="E28" i="74"/>
  <c r="B29" i="74"/>
  <c r="B30" i="74"/>
  <c r="B31" i="74"/>
  <c r="B32" i="74"/>
  <c r="B33" i="74"/>
  <c r="B4" i="75"/>
  <c r="G4" i="75"/>
  <c r="B6" i="75"/>
  <c r="D6" i="75"/>
  <c r="B7" i="75"/>
  <c r="B8" i="75"/>
  <c r="E8" i="75"/>
  <c r="B10" i="75"/>
  <c r="E13" i="75"/>
  <c r="B14" i="75"/>
  <c r="G7" i="75" s="1"/>
  <c r="C14" i="75"/>
  <c r="D14" i="75"/>
  <c r="G8" i="75" s="1"/>
  <c r="E14" i="75"/>
  <c r="F14" i="75"/>
  <c r="B15" i="75"/>
  <c r="C15" i="75"/>
  <c r="D15" i="75"/>
  <c r="E15" i="75"/>
  <c r="F15" i="75"/>
  <c r="B16" i="75"/>
  <c r="C16" i="75"/>
  <c r="D16" i="75"/>
  <c r="E16" i="75"/>
  <c r="F16" i="75"/>
  <c r="B17" i="75"/>
  <c r="C17" i="75"/>
  <c r="D17" i="75"/>
  <c r="E17" i="75"/>
  <c r="F17" i="75"/>
  <c r="B18" i="75"/>
  <c r="C18" i="75"/>
  <c r="D18" i="75"/>
  <c r="E18" i="75"/>
  <c r="F18" i="75"/>
  <c r="B19" i="75"/>
  <c r="C19" i="75"/>
  <c r="D19" i="75"/>
  <c r="E19" i="75"/>
  <c r="F19" i="75"/>
  <c r="B20" i="75"/>
  <c r="C20" i="75"/>
  <c r="D20" i="75"/>
  <c r="E20" i="75"/>
  <c r="F20" i="75"/>
  <c r="B21" i="75"/>
  <c r="C21" i="75"/>
  <c r="D21" i="75"/>
  <c r="E21" i="75"/>
  <c r="F21" i="75"/>
  <c r="B22" i="75"/>
  <c r="C22" i="75"/>
  <c r="D22" i="75"/>
  <c r="E22" i="75"/>
  <c r="F22" i="75"/>
  <c r="B23" i="75"/>
  <c r="C23" i="75"/>
  <c r="D23" i="75"/>
  <c r="E23" i="75"/>
  <c r="F23" i="75"/>
  <c r="B24" i="75"/>
  <c r="C24" i="75"/>
  <c r="D24" i="75"/>
  <c r="E24" i="75"/>
  <c r="F24" i="75"/>
  <c r="B25" i="75"/>
  <c r="C25" i="75"/>
  <c r="D25" i="75"/>
  <c r="E25" i="75"/>
  <c r="F25" i="75"/>
  <c r="B26" i="75"/>
  <c r="C26" i="75"/>
  <c r="D26" i="75"/>
  <c r="E26" i="75"/>
  <c r="F26" i="75"/>
  <c r="B27" i="75"/>
  <c r="C27" i="75"/>
  <c r="D27" i="75"/>
  <c r="E27" i="75"/>
  <c r="F27" i="75"/>
  <c r="B28" i="75"/>
  <c r="C28" i="75"/>
  <c r="D28" i="75"/>
  <c r="E28" i="75"/>
  <c r="F28" i="75"/>
  <c r="B29" i="75"/>
  <c r="C29" i="75"/>
  <c r="D29" i="75"/>
  <c r="E29" i="75"/>
  <c r="F29" i="75"/>
  <c r="B30" i="75"/>
  <c r="C30" i="75"/>
  <c r="D30" i="75"/>
  <c r="E30" i="75"/>
  <c r="F30" i="75"/>
  <c r="B31" i="75"/>
  <c r="C31" i="75"/>
  <c r="D31" i="75"/>
  <c r="E31" i="75"/>
  <c r="F31" i="75"/>
  <c r="B32" i="75"/>
  <c r="C32" i="75"/>
  <c r="D32" i="75"/>
  <c r="E32" i="75"/>
  <c r="F32" i="75"/>
  <c r="B33" i="75"/>
  <c r="C33" i="75"/>
  <c r="D33" i="75"/>
  <c r="E33" i="75"/>
  <c r="F33" i="75"/>
  <c r="B4" i="73"/>
  <c r="B6" i="73"/>
  <c r="B7" i="73"/>
  <c r="B8" i="73"/>
  <c r="B10" i="73"/>
  <c r="E13" i="73"/>
  <c r="B14" i="73"/>
  <c r="C14" i="73"/>
  <c r="D14" i="73"/>
  <c r="E14" i="73"/>
  <c r="F14" i="73"/>
  <c r="B15" i="73"/>
  <c r="C15" i="73"/>
  <c r="D15" i="73"/>
  <c r="E15" i="73"/>
  <c r="F15" i="73"/>
  <c r="B4" i="72"/>
  <c r="B6" i="72"/>
  <c r="B7" i="72"/>
  <c r="B8" i="72"/>
  <c r="B10" i="72"/>
  <c r="E13" i="72" s="1"/>
  <c r="B14" i="72"/>
  <c r="B15" i="72"/>
  <c r="B16" i="72"/>
  <c r="B17" i="72"/>
  <c r="B18" i="72"/>
  <c r="B19" i="72"/>
  <c r="B20" i="72"/>
  <c r="B21" i="72"/>
  <c r="B22" i="72"/>
  <c r="B23" i="72"/>
  <c r="B24" i="72"/>
  <c r="B25" i="72"/>
  <c r="B26" i="72"/>
  <c r="B4" i="69"/>
  <c r="B6" i="69"/>
  <c r="B7" i="69"/>
  <c r="B8" i="69"/>
  <c r="B10" i="69"/>
  <c r="A2" i="47"/>
  <c r="E2" i="47"/>
  <c r="B4" i="70"/>
  <c r="B6" i="70"/>
  <c r="B7" i="70"/>
  <c r="B8" i="70"/>
  <c r="B10" i="70"/>
  <c r="C10" i="70" s="1"/>
  <c r="B4" i="68"/>
  <c r="B6" i="68"/>
  <c r="B7" i="68"/>
  <c r="B8" i="68"/>
  <c r="B7" i="67"/>
  <c r="B8" i="67" s="1"/>
  <c r="B9" i="67"/>
  <c r="B10" i="67"/>
  <c r="C12" i="67"/>
  <c r="B7" i="48"/>
  <c r="B8" i="48" s="1"/>
  <c r="B9" i="48"/>
  <c r="B10" i="48"/>
  <c r="B12" i="48" s="1"/>
  <c r="C11" i="48" s="1"/>
  <c r="C12" i="48"/>
  <c r="B5" i="46"/>
  <c r="B8" i="46"/>
  <c r="B10" i="46"/>
  <c r="B11" i="46" s="1"/>
  <c r="B12" i="46" s="1"/>
  <c r="B13" i="46" s="1"/>
  <c r="B8" i="45"/>
  <c r="B9" i="45"/>
  <c r="G3" i="44"/>
  <c r="K3" i="44"/>
  <c r="K7" i="44" s="1"/>
  <c r="K9" i="44" s="1"/>
  <c r="G4" i="44"/>
  <c r="K4" i="44"/>
  <c r="G5" i="44"/>
  <c r="K5" i="44"/>
  <c r="G6" i="44"/>
  <c r="K6" i="44"/>
  <c r="G7" i="44"/>
  <c r="C8" i="44"/>
  <c r="G8" i="44"/>
  <c r="K8" i="44"/>
  <c r="C9" i="44"/>
  <c r="G9" i="44"/>
  <c r="C10" i="44"/>
  <c r="G10" i="44"/>
  <c r="K10" i="44"/>
  <c r="G11" i="44"/>
  <c r="C12" i="44"/>
  <c r="G12" i="44"/>
  <c r="K12" i="44"/>
  <c r="C13" i="44"/>
  <c r="G13" i="44"/>
  <c r="C14" i="44"/>
  <c r="G14" i="44"/>
  <c r="C18" i="44"/>
  <c r="G18" i="44"/>
  <c r="C19" i="44"/>
  <c r="G19" i="44"/>
  <c r="C20" i="44"/>
  <c r="G20" i="44"/>
  <c r="C21" i="44"/>
  <c r="G21" i="44"/>
  <c r="C22" i="44"/>
  <c r="G22" i="44"/>
  <c r="C23" i="44"/>
  <c r="G23" i="44"/>
  <c r="C24" i="44"/>
  <c r="G24" i="44"/>
  <c r="C25" i="44"/>
  <c r="G25" i="44"/>
  <c r="C26" i="44"/>
  <c r="G26" i="44"/>
  <c r="C27" i="44"/>
  <c r="G27" i="44"/>
  <c r="G3" i="3"/>
  <c r="K3" i="3"/>
  <c r="G4" i="3"/>
  <c r="K4" i="3"/>
  <c r="G5" i="3"/>
  <c r="K5" i="3"/>
  <c r="G6" i="3"/>
  <c r="G20" i="3" s="1"/>
  <c r="K6" i="3"/>
  <c r="G7" i="3"/>
  <c r="G21" i="3" s="1"/>
  <c r="K7" i="3"/>
  <c r="G11" i="3"/>
  <c r="G24" i="3" s="1"/>
  <c r="C18" i="3"/>
  <c r="G18" i="3"/>
  <c r="C19" i="3"/>
  <c r="G19" i="3"/>
  <c r="C20" i="3"/>
  <c r="C21" i="3"/>
  <c r="C22" i="3"/>
  <c r="G22" i="3"/>
  <c r="C23" i="3"/>
  <c r="G23" i="3"/>
  <c r="C24" i="3"/>
  <c r="C25" i="3"/>
  <c r="G25" i="3"/>
  <c r="C3" i="37"/>
  <c r="C7" i="37"/>
  <c r="C11" i="37"/>
  <c r="C3" i="36"/>
  <c r="C5" i="36"/>
  <c r="C7" i="36"/>
  <c r="B10" i="36"/>
  <c r="C10" i="36"/>
  <c r="B11" i="36"/>
  <c r="C11" i="36"/>
  <c r="B12" i="36"/>
  <c r="C12" i="36"/>
  <c r="C13" i="36"/>
  <c r="C15" i="36"/>
  <c r="C5" i="1"/>
  <c r="B10" i="1"/>
  <c r="B11" i="1"/>
  <c r="C11" i="1"/>
  <c r="B12" i="1"/>
  <c r="E11" i="32" l="1"/>
  <c r="E13" i="32" s="1"/>
  <c r="E27" i="32"/>
  <c r="D14" i="8"/>
  <c r="B11" i="8"/>
  <c r="E14" i="8"/>
  <c r="B10" i="76"/>
  <c r="B19" i="76"/>
  <c r="B20" i="76"/>
  <c r="B21" i="76"/>
  <c r="B22" i="76"/>
  <c r="B23" i="76"/>
  <c r="B25" i="76"/>
  <c r="B26" i="76"/>
  <c r="B27" i="76"/>
  <c r="B28" i="76"/>
  <c r="B29" i="76"/>
  <c r="B30" i="76"/>
  <c r="B31" i="76"/>
  <c r="B32" i="76"/>
  <c r="B33" i="76"/>
  <c r="B24" i="76"/>
  <c r="C29" i="74"/>
  <c r="F2" i="75"/>
  <c r="I4" i="75" s="1"/>
  <c r="F3" i="75"/>
  <c r="B18" i="73"/>
  <c r="B20" i="73"/>
  <c r="B19" i="73"/>
  <c r="B21" i="73"/>
  <c r="B22" i="73"/>
  <c r="B23" i="73"/>
  <c r="B24" i="73"/>
  <c r="B25" i="73"/>
  <c r="B26" i="73"/>
  <c r="B27" i="73"/>
  <c r="B28" i="73"/>
  <c r="B29" i="73"/>
  <c r="B30" i="73"/>
  <c r="B31" i="73"/>
  <c r="B32" i="73"/>
  <c r="B33" i="73"/>
  <c r="B17" i="73"/>
  <c r="B16" i="73"/>
  <c r="C16" i="73"/>
  <c r="B30" i="72"/>
  <c r="B27" i="72"/>
  <c r="B32" i="72"/>
  <c r="B33" i="72"/>
  <c r="B28" i="72"/>
  <c r="B29" i="72"/>
  <c r="B31" i="72"/>
  <c r="C14" i="72"/>
  <c r="B25" i="67"/>
  <c r="B27" i="67"/>
  <c r="B26" i="67"/>
  <c r="B24" i="67"/>
  <c r="B23" i="67"/>
  <c r="B22" i="67"/>
  <c r="B21" i="67"/>
  <c r="B20" i="67"/>
  <c r="B19" i="67"/>
  <c r="B18" i="67"/>
  <c r="B17" i="67"/>
  <c r="B16" i="67"/>
  <c r="B12" i="67"/>
  <c r="C11" i="67" s="1"/>
  <c r="D11" i="45"/>
  <c r="B10" i="45"/>
  <c r="B11" i="45" s="1"/>
  <c r="K14" i="44"/>
  <c r="K13" i="44"/>
  <c r="F6" i="75"/>
  <c r="D28" i="32" l="1"/>
  <c r="F28" i="32" s="1"/>
  <c r="E28" i="32"/>
  <c r="B16" i="8"/>
  <c r="B14" i="8"/>
  <c r="G3" i="76"/>
  <c r="F2" i="76"/>
  <c r="E13" i="76"/>
  <c r="F29" i="74"/>
  <c r="D29" i="74"/>
  <c r="E29" i="74" s="1"/>
  <c r="F16" i="73"/>
  <c r="D16" i="73"/>
  <c r="E16" i="73" s="1"/>
  <c r="F14" i="72"/>
  <c r="D14" i="72"/>
  <c r="E14" i="72" s="1"/>
  <c r="D29" i="32" l="1"/>
  <c r="C14" i="76"/>
  <c r="C17" i="73"/>
  <c r="C15" i="72"/>
  <c r="C30" i="74"/>
  <c r="D14" i="76" l="1"/>
  <c r="F14" i="76"/>
  <c r="F17" i="73"/>
  <c r="D17" i="73"/>
  <c r="E17" i="73" s="1"/>
  <c r="C18" i="73"/>
  <c r="F15" i="72"/>
  <c r="D15" i="72"/>
  <c r="E15" i="72" s="1"/>
  <c r="C16" i="72"/>
  <c r="D30" i="74"/>
  <c r="E30" i="74" s="1"/>
  <c r="F30" i="74"/>
  <c r="F29" i="32"/>
  <c r="H29" i="32" s="1"/>
  <c r="E29" i="32"/>
  <c r="E14" i="76" l="1"/>
  <c r="F7" i="76"/>
  <c r="F6" i="76" s="1"/>
  <c r="F18" i="73"/>
  <c r="D18" i="73"/>
  <c r="E18" i="73" s="1"/>
  <c r="F16" i="72"/>
  <c r="D16" i="72"/>
  <c r="E16" i="72" s="1"/>
  <c r="D30" i="32"/>
  <c r="C31" i="74"/>
  <c r="C15" i="76" l="1"/>
  <c r="C19" i="73"/>
  <c r="C17" i="72"/>
  <c r="D31" i="74"/>
  <c r="E31" i="74" s="1"/>
  <c r="F31" i="74"/>
  <c r="C32" i="74"/>
  <c r="F30" i="32"/>
  <c r="E30" i="32"/>
  <c r="F15" i="76" l="1"/>
  <c r="D15" i="76"/>
  <c r="E15" i="76" s="1"/>
  <c r="F19" i="73"/>
  <c r="D19" i="73"/>
  <c r="E19" i="73" s="1"/>
  <c r="C20" i="73"/>
  <c r="F17" i="72"/>
  <c r="D17" i="72"/>
  <c r="E17" i="72" s="1"/>
  <c r="F32" i="74"/>
  <c r="D32" i="74"/>
  <c r="E32" i="74" s="1"/>
  <c r="C33" i="74" s="1"/>
  <c r="D31" i="32"/>
  <c r="F31" i="32" s="1"/>
  <c r="H31" i="32" s="1"/>
  <c r="E31" i="32"/>
  <c r="C16" i="76" l="1"/>
  <c r="F20" i="73"/>
  <c r="D20" i="73"/>
  <c r="E20" i="73" s="1"/>
  <c r="C18" i="72"/>
  <c r="F33" i="74"/>
  <c r="D33" i="74"/>
  <c r="E33" i="74" s="1"/>
  <c r="D32" i="32"/>
  <c r="D16" i="76" l="1"/>
  <c r="E16" i="76" s="1"/>
  <c r="F16" i="76"/>
  <c r="C17" i="76"/>
  <c r="C21" i="73"/>
  <c r="F18" i="72"/>
  <c r="D18" i="72"/>
  <c r="E18" i="72" s="1"/>
  <c r="C19" i="72"/>
  <c r="F32" i="32"/>
  <c r="E32" i="32"/>
  <c r="F17" i="76" l="1"/>
  <c r="D17" i="76"/>
  <c r="E17" i="76" s="1"/>
  <c r="F21" i="73"/>
  <c r="D21" i="73"/>
  <c r="E21" i="73" s="1"/>
  <c r="C22" i="73"/>
  <c r="F19" i="72"/>
  <c r="D19" i="72"/>
  <c r="E19" i="72" s="1"/>
  <c r="D33" i="32"/>
  <c r="F33" i="32" s="1"/>
  <c r="E33" i="32"/>
  <c r="F22" i="73" l="1"/>
  <c r="D22" i="73"/>
  <c r="E22" i="73" s="1"/>
  <c r="C20" i="72"/>
  <c r="D34" i="32"/>
  <c r="C18" i="76"/>
  <c r="C23" i="73" l="1"/>
  <c r="F20" i="72"/>
  <c r="D20" i="72"/>
  <c r="E20" i="72" s="1"/>
  <c r="D18" i="76"/>
  <c r="E18" i="76" s="1"/>
  <c r="F18" i="76"/>
  <c r="F34" i="32"/>
  <c r="E34" i="32"/>
  <c r="F23" i="73" l="1"/>
  <c r="D23" i="73"/>
  <c r="E23" i="73" s="1"/>
  <c r="C24" i="73"/>
  <c r="C21" i="72"/>
  <c r="C19" i="76"/>
  <c r="D35" i="32"/>
  <c r="F35" i="32" s="1"/>
  <c r="E35" i="32"/>
  <c r="F24" i="73" l="1"/>
  <c r="D24" i="73"/>
  <c r="E24" i="73" s="1"/>
  <c r="F21" i="72"/>
  <c r="D21" i="72"/>
  <c r="E21" i="72" s="1"/>
  <c r="F19" i="76"/>
  <c r="D19" i="76"/>
  <c r="E19" i="76" s="1"/>
  <c r="D36" i="32"/>
  <c r="C25" i="73" l="1"/>
  <c r="C22" i="72"/>
  <c r="C20" i="76"/>
  <c r="F36" i="32"/>
  <c r="E36" i="32"/>
  <c r="F25" i="73" l="1"/>
  <c r="D25" i="73"/>
  <c r="E25" i="73" s="1"/>
  <c r="F22" i="72"/>
  <c r="D22" i="72"/>
  <c r="E22" i="72" s="1"/>
  <c r="C23" i="72"/>
  <c r="F20" i="76"/>
  <c r="D20" i="76"/>
  <c r="E20" i="76" s="1"/>
  <c r="C21" i="76"/>
  <c r="E37" i="32"/>
  <c r="D37" i="32"/>
  <c r="F37" i="32" s="1"/>
  <c r="F23" i="72" l="1"/>
  <c r="D23" i="72"/>
  <c r="E23" i="72" s="1"/>
  <c r="F21" i="76"/>
  <c r="D21" i="76"/>
  <c r="E21" i="76" s="1"/>
  <c r="D38" i="32"/>
  <c r="C26" i="73"/>
  <c r="C24" i="72" l="1"/>
  <c r="C22" i="76"/>
  <c r="D26" i="73"/>
  <c r="E26" i="73" s="1"/>
  <c r="F26" i="73"/>
  <c r="F38" i="32"/>
  <c r="E38" i="32"/>
  <c r="D24" i="72" l="1"/>
  <c r="E24" i="72" s="1"/>
  <c r="F24" i="72"/>
  <c r="C25" i="72"/>
  <c r="F22" i="76"/>
  <c r="D22" i="76"/>
  <c r="E22" i="76" s="1"/>
  <c r="C23" i="76"/>
  <c r="C27" i="73"/>
  <c r="D39" i="32"/>
  <c r="F25" i="72" l="1"/>
  <c r="D25" i="72"/>
  <c r="E25" i="72" s="1"/>
  <c r="F23" i="76"/>
  <c r="D23" i="76"/>
  <c r="E23" i="76" s="1"/>
  <c r="F27" i="73"/>
  <c r="D27" i="73"/>
  <c r="E27" i="73" s="1"/>
  <c r="F39" i="32"/>
  <c r="E39" i="32"/>
  <c r="C26" i="72" l="1"/>
  <c r="C24" i="76"/>
  <c r="C28" i="73"/>
  <c r="D40" i="32"/>
  <c r="F40" i="32" s="1"/>
  <c r="E40" i="32"/>
  <c r="F26" i="72" l="1"/>
  <c r="D26" i="72"/>
  <c r="E26" i="72" s="1"/>
  <c r="C27" i="72"/>
  <c r="F24" i="76"/>
  <c r="D24" i="76"/>
  <c r="E24" i="76" s="1"/>
  <c r="C25" i="76"/>
  <c r="F28" i="73"/>
  <c r="D28" i="73"/>
  <c r="E28" i="73" s="1"/>
  <c r="C29" i="73"/>
  <c r="D41" i="32"/>
  <c r="F41" i="32" s="1"/>
  <c r="E41" i="32"/>
  <c r="F27" i="72" l="1"/>
  <c r="D27" i="72"/>
  <c r="E27" i="72" s="1"/>
  <c r="F25" i="76"/>
  <c r="D25" i="76"/>
  <c r="E25" i="76" s="1"/>
  <c r="F29" i="73"/>
  <c r="D29" i="73"/>
  <c r="E29" i="73" s="1"/>
  <c r="D42" i="32"/>
  <c r="F42" i="32" s="1"/>
  <c r="E42" i="32"/>
  <c r="C28" i="72" l="1"/>
  <c r="C26" i="76"/>
  <c r="C30" i="73"/>
  <c r="D43" i="32"/>
  <c r="F43" i="32" s="1"/>
  <c r="E43" i="32"/>
  <c r="F28" i="72" l="1"/>
  <c r="D28" i="72"/>
  <c r="E28" i="72" s="1"/>
  <c r="C29" i="72"/>
  <c r="F26" i="76"/>
  <c r="D26" i="76"/>
  <c r="E26" i="76" s="1"/>
  <c r="C27" i="76"/>
  <c r="F30" i="73"/>
  <c r="D30" i="73"/>
  <c r="E30" i="73" s="1"/>
  <c r="C31" i="73"/>
  <c r="D44" i="32"/>
  <c r="F29" i="72" l="1"/>
  <c r="D29" i="72"/>
  <c r="E29" i="72" s="1"/>
  <c r="F27" i="76"/>
  <c r="D27" i="76"/>
  <c r="E27" i="76" s="1"/>
  <c r="F31" i="73"/>
  <c r="D31" i="73"/>
  <c r="E31" i="73" s="1"/>
  <c r="F44" i="32"/>
  <c r="E44" i="32"/>
  <c r="C30" i="72" l="1"/>
  <c r="C28" i="76"/>
  <c r="C32" i="73"/>
  <c r="D45" i="32"/>
  <c r="F30" i="72" l="1"/>
  <c r="D30" i="72"/>
  <c r="E30" i="72" s="1"/>
  <c r="F28" i="76"/>
  <c r="D28" i="76"/>
  <c r="E28" i="76" s="1"/>
  <c r="F32" i="73"/>
  <c r="D32" i="73"/>
  <c r="E32" i="73" s="1"/>
  <c r="C33" i="73" s="1"/>
  <c r="F45" i="32"/>
  <c r="E45" i="32"/>
  <c r="F33" i="73" l="1"/>
  <c r="D33" i="73"/>
  <c r="E33" i="73" s="1"/>
  <c r="D46" i="32"/>
  <c r="C31" i="72"/>
  <c r="C29" i="76"/>
  <c r="D31" i="72" l="1"/>
  <c r="E31" i="72" s="1"/>
  <c r="F31" i="72"/>
  <c r="D29" i="76"/>
  <c r="E29" i="76" s="1"/>
  <c r="F29" i="76"/>
  <c r="F46" i="32"/>
  <c r="E46" i="32"/>
  <c r="C32" i="72" l="1"/>
  <c r="C30" i="76"/>
  <c r="D47" i="32"/>
  <c r="F47" i="32" s="1"/>
  <c r="E47" i="32"/>
  <c r="F32" i="72" l="1"/>
  <c r="D32" i="72"/>
  <c r="E32" i="72" s="1"/>
  <c r="F30" i="76"/>
  <c r="D30" i="76"/>
  <c r="E30" i="76" s="1"/>
  <c r="D48" i="32"/>
  <c r="C33" i="72" l="1"/>
  <c r="C31" i="76"/>
  <c r="F48" i="32"/>
  <c r="E48" i="32"/>
  <c r="F33" i="72" l="1"/>
  <c r="D33" i="72"/>
  <c r="E33" i="72" s="1"/>
  <c r="F31" i="76"/>
  <c r="D31" i="76"/>
  <c r="E31" i="76" s="1"/>
  <c r="D49" i="32"/>
  <c r="F49" i="32" s="1"/>
  <c r="E49" i="32"/>
  <c r="D50" i="32" l="1"/>
  <c r="C32" i="76"/>
  <c r="D32" i="76" l="1"/>
  <c r="E32" i="76" s="1"/>
  <c r="F32" i="76"/>
  <c r="F50" i="32"/>
  <c r="E50" i="32"/>
  <c r="C33" i="76" l="1"/>
  <c r="D51" i="32"/>
  <c r="F51" i="32" s="1"/>
  <c r="E51" i="32"/>
  <c r="F33" i="76" l="1"/>
  <c r="D33" i="76"/>
  <c r="E33" i="76" s="1"/>
  <c r="D52" i="32"/>
  <c r="F52" i="32" l="1"/>
  <c r="E52" i="32"/>
  <c r="D53" i="32" l="1"/>
  <c r="F53" i="32" l="1"/>
  <c r="E53" i="32"/>
  <c r="E54" i="32" l="1"/>
  <c r="D54" i="32"/>
  <c r="F54" i="32" s="1"/>
  <c r="D55" i="32" l="1"/>
  <c r="F55" i="32" l="1"/>
  <c r="E55" i="32"/>
  <c r="D56" i="32" l="1"/>
  <c r="F56" i="32" l="1"/>
  <c r="E56" i="32"/>
  <c r="D57" i="32" l="1"/>
  <c r="F57" i="32" s="1"/>
  <c r="E57" i="32"/>
  <c r="D58" i="32" l="1"/>
  <c r="F58" i="32" s="1"/>
  <c r="E58" i="32"/>
  <c r="D59" i="32" l="1"/>
  <c r="F59" i="32" l="1"/>
  <c r="E59" i="32"/>
  <c r="D60" i="32" l="1"/>
  <c r="F60" i="32" l="1"/>
  <c r="E60" i="32"/>
  <c r="E61" i="32" l="1"/>
  <c r="D61" i="32"/>
  <c r="F61" i="32" s="1"/>
  <c r="D62" i="32" l="1"/>
  <c r="F62" i="32" l="1"/>
  <c r="E62" i="32"/>
  <c r="D63" i="32" l="1"/>
  <c r="F63" i="32" l="1"/>
  <c r="E63" i="32"/>
  <c r="D64" i="32" l="1"/>
  <c r="F64" i="32" l="1"/>
  <c r="E64" i="32"/>
  <c r="D65" i="32" l="1"/>
  <c r="F65" i="32" l="1"/>
  <c r="E65" i="32"/>
  <c r="D66" i="32" l="1"/>
  <c r="F66" i="32" l="1"/>
  <c r="E66" i="32"/>
  <c r="D67" i="32" l="1"/>
  <c r="F67" i="32" l="1"/>
  <c r="E67" i="3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Michael Girvin</author>
  </authors>
  <commentList>
    <comment ref="H27" authorId="0" shapeId="0" xr:uid="{0D36B2BF-9403-4FE1-AEC2-25655C74768A}">
      <text>
        <r>
          <rPr>
            <b/>
            <sz val="8"/>
            <color indexed="81"/>
            <rFont val="Tahoma"/>
            <family val="2"/>
          </rPr>
          <t xml:space="preserve">Notice the cash flow for the zeroes is a cash inflow. This is because of the tax deductibility of the imputed interest expense. That is, the company gets to write off the interest expense for the year, even though the company did not have a cash flow for the interest expense. This reduces the company’s tax liability, which is a cash inflow.
  During the life of the bond, the zero generates cash inflows to the firm in the form of the interest tax shield of debt. We should note an important point here: If you find the PV of the cash flows from the coupon bond and the zero coupon bond, they will be the same. This is because of the much larger repayment amount for the zeroes. 
</t>
        </r>
      </text>
    </comment>
  </commentList>
</comments>
</file>

<file path=xl/sharedStrings.xml><?xml version="1.0" encoding="utf-8"?>
<sst xmlns="http://schemas.openxmlformats.org/spreadsheetml/2006/main" count="822" uniqueCount="196">
  <si>
    <t>Point of View =</t>
  </si>
  <si>
    <t>Bondholder's</t>
  </si>
  <si>
    <t>Face Value = Par Value =</t>
  </si>
  <si>
    <t># of Bonds Issued =</t>
  </si>
  <si>
    <t>Total Face Value = FV =</t>
  </si>
  <si>
    <t>Coupon Rate =</t>
  </si>
  <si>
    <t># Compounding periods per Year = n =</t>
  </si>
  <si>
    <t>Coupon Rate/n =</t>
  </si>
  <si>
    <t>Periodic Coupon payments (Interest $ Amount) = PMT =</t>
  </si>
  <si>
    <t>Years To Maturity = x =</t>
  </si>
  <si>
    <t>Total Number of Periods = n*x =</t>
  </si>
  <si>
    <t>Discount Rate = Required Yield = i = YTM =</t>
  </si>
  <si>
    <t>YTM/n =</t>
  </si>
  <si>
    <t>check:</t>
  </si>
  <si>
    <t xml:space="preserve">Bond Value = Bond Price = PV (using PV function) = </t>
  </si>
  <si>
    <t xml:space="preserve"> &lt;&lt;</t>
  </si>
  <si>
    <t>Effective Annual Yield = (1+YTM/n)^n -1 =</t>
  </si>
  <si>
    <t>Words:</t>
  </si>
  <si>
    <t>Bond Value = Bond Price =</t>
  </si>
  <si>
    <t>check FV:</t>
  </si>
  <si>
    <t>15 a</t>
  </si>
  <si>
    <t>15 b</t>
  </si>
  <si>
    <t>The Price of a Bond and the YTM are inversely related. If the YTM goes up, the Bond Price goes down (more interest is taken out during discounting). If the YTM goes down, the Bond Price goes up (less interest is taken out during discounting).</t>
  </si>
  <si>
    <t>Bonds that sell at a Premium over Par do so because the Coupon Rate of the Bond is greater than the YTM (Bondholders are willing to pay more to get a Coupon Rate that is higher than the YTM (market rate).
Bonds that sell at a Discount compared to Par do so because the Coupon Rate of the Bond is less than the YTM (Bondholders are only willing to pay less than par because they are getting a Coupon Rate that is lower than the YTM (market rate).
Coupon Rate &gt; YTM ==&gt; Sell at Premium
Coupon Rate = YTM ==&gt; Sell at Par
Coupon Rate &lt; YTM ==&gt; Sell at Discount</t>
  </si>
  <si>
    <t>Years to Maturity =</t>
  </si>
  <si>
    <t>Bond Face =</t>
  </si>
  <si>
    <t>made up number</t>
  </si>
  <si>
    <t>n =</t>
  </si>
  <si>
    <t>PMT =</t>
  </si>
  <si>
    <t>YTM when originally issued =</t>
  </si>
  <si>
    <t>YTM today =</t>
  </si>
  <si>
    <t>Price when Issued</t>
  </si>
  <si>
    <t>Price Today</t>
  </si>
  <si>
    <t>Check:</t>
  </si>
  <si>
    <t>Effective Annual Yield = (1+YTM/n)^n =</t>
  </si>
  <si>
    <t>Effective Annual Yield (Math) =</t>
  </si>
  <si>
    <t>Bond Issuer's</t>
  </si>
  <si>
    <t>Type = 0 =</t>
  </si>
  <si>
    <t>Years to Maturity on Contract =</t>
  </si>
  <si>
    <t>Number of Years ago that Bond Was Issued =1</t>
  </si>
  <si>
    <t>Years Left In Contract = X =</t>
  </si>
  <si>
    <t>n *x =</t>
  </si>
  <si>
    <t>Coupon Rate /n =</t>
  </si>
  <si>
    <t>Periodic Interest PMT = PMT =</t>
  </si>
  <si>
    <t>Face Value = Par Value = FV =</t>
  </si>
  <si>
    <t>YTM =</t>
  </si>
  <si>
    <t>Bond Price =</t>
  </si>
  <si>
    <t>Current Bond Price (% of Par)</t>
  </si>
  <si>
    <t>Current Bond Price =</t>
  </si>
  <si>
    <t>YTM = YTM/n*n =</t>
  </si>
  <si>
    <t>Nominal Rate = R =</t>
  </si>
  <si>
    <t>Inflation Rate = h =</t>
  </si>
  <si>
    <t>Real Rate = r = (1+R)/(1+h)-1 =</t>
  </si>
  <si>
    <t>Approximate r = R - h</t>
  </si>
  <si>
    <t>Inflation Rate = h = (1+R)/(1+r)-1 =</t>
  </si>
  <si>
    <t>Real Rate = r =</t>
  </si>
  <si>
    <t>Point of View</t>
  </si>
  <si>
    <t>Bondholder</t>
  </si>
  <si>
    <t>1 Bond = Face Value</t>
  </si>
  <si>
    <t>Coupon Rate</t>
  </si>
  <si>
    <t>n</t>
  </si>
  <si>
    <t>Coupon Rate/n</t>
  </si>
  <si>
    <t>Interest Payment</t>
  </si>
  <si>
    <t>Clean Price (without accrued interest) =</t>
  </si>
  <si>
    <t>Months until Interest is Paid</t>
  </si>
  <si>
    <t>Months in 1 period</t>
  </si>
  <si>
    <t>Partial Interest That belongs to Buyer</t>
  </si>
  <si>
    <t>Part of Interest that belongs to seller of Bond</t>
  </si>
  <si>
    <t>Invoice Price</t>
  </si>
  <si>
    <t>Total Face Value =</t>
  </si>
  <si>
    <t>Zero Coupons</t>
  </si>
  <si>
    <t>Coupon PMT =</t>
  </si>
  <si>
    <t>Tax Rate =</t>
  </si>
  <si>
    <t>Face Value =</t>
  </si>
  <si>
    <t>Number Needed =</t>
  </si>
  <si>
    <t>Price of All Bonds =</t>
  </si>
  <si>
    <t>Price of 1 Bond =</t>
  </si>
  <si>
    <t>20 Year Repayment = Last PMT + FV =</t>
  </si>
  <si>
    <t>20 Year Repayment = (Face Value)*Number Needed =</t>
  </si>
  <si>
    <t>n = Semiannual required by law</t>
  </si>
  <si>
    <t>Book answer shows rounded numbers, but calculation done on un-rounded numbers.</t>
  </si>
  <si>
    <t>book answer check:</t>
  </si>
  <si>
    <t>PV</t>
  </si>
  <si>
    <t xml:space="preserve"> ** Bond Issuer records tax expense (cash flow benefit in) on tax return and bondholder records interest revenue (cash flow disadvantage out) on tax return.</t>
  </si>
  <si>
    <t>Coupon Bond  OUT Cash Flow Year 1:</t>
  </si>
  <si>
    <t>Period</t>
  </si>
  <si>
    <t>Interest</t>
  </si>
  <si>
    <t>Balance</t>
  </si>
  <si>
    <t>Cash Flow Benefit to Issuer</t>
  </si>
  <si>
    <t>Zeroes IN Cash Flow In Year 1:</t>
  </si>
  <si>
    <t>Milk Price now</t>
  </si>
  <si>
    <t>r = (1+R)/(1+h)-1 =</t>
  </si>
  <si>
    <t>Amount now in bank</t>
  </si>
  <si>
    <t>APR (n=1) = R = Nominal</t>
  </si>
  <si>
    <t>Bank amount in 1 year</t>
  </si>
  <si>
    <t xml:space="preserve">Milk price in 1 year </t>
  </si>
  <si>
    <t>Real Rate of return is = how much more can we buy with our money!!!</t>
  </si>
  <si>
    <t>Number of milk cartons bought</t>
  </si>
  <si>
    <t>Total price (Buying power = 100 cartons)</t>
  </si>
  <si>
    <t>R</t>
  </si>
  <si>
    <t>h</t>
  </si>
  <si>
    <t>Change in buying power</t>
  </si>
  <si>
    <t xml:space="preserve">Change in Buying Power = </t>
  </si>
  <si>
    <t>Nominal Rate = (Annual Rate, n = 1)</t>
  </si>
  <si>
    <t>Inflation</t>
  </si>
  <si>
    <t>Change in buying power = Real Rate</t>
  </si>
  <si>
    <t>r</t>
  </si>
  <si>
    <t>Just like the stock market, going up looks bigger than going down (going down you can only loose 100%, but up can be bigger than 100%)</t>
  </si>
  <si>
    <t>Interest Only - Coupon Bond</t>
  </si>
  <si>
    <t>i/n</t>
  </si>
  <si>
    <t>x</t>
  </si>
  <si>
    <t>x*n</t>
  </si>
  <si>
    <t>Deep Discount - Zero Coupon Bonds</t>
  </si>
  <si>
    <t>YTM</t>
  </si>
  <si>
    <t>YTM/n</t>
  </si>
  <si>
    <t>PMT</t>
  </si>
  <si>
    <t>Point of View: Bond Issuer</t>
  </si>
  <si>
    <t>Point of View: Bondholder #1</t>
  </si>
  <si>
    <t>Bond Issue Date</t>
  </si>
  <si>
    <t>Point of View: Bondholder #2 (This person buys the bond from Bondholder #1)</t>
  </si>
  <si>
    <t>Day #1 buys bond</t>
  </si>
  <si>
    <t>Day #2 buys bond</t>
  </si>
  <si>
    <t>Bond Price = PV</t>
  </si>
  <si>
    <t>Total Number of Periods</t>
  </si>
  <si>
    <t>n = assumed to be semi-annual =</t>
  </si>
  <si>
    <t>Years To Maturity</t>
  </si>
  <si>
    <t>Effective Annual Yield</t>
  </si>
  <si>
    <t>check</t>
  </si>
  <si>
    <t>Total Periods</t>
  </si>
  <si>
    <t>Quoted Price</t>
  </si>
  <si>
    <t>Coupon Payment</t>
  </si>
  <si>
    <t>YTM (Market) Rate For Similar Securities</t>
  </si>
  <si>
    <t>Coupon Rate On Bond (Used To Calculate Interest PMT)</t>
  </si>
  <si>
    <t>Record Bond At Premium</t>
  </si>
  <si>
    <r>
      <t xml:space="preserve">Record Bond </t>
    </r>
    <r>
      <rPr>
        <sz val="8"/>
        <rFont val="Arial"/>
        <family val="2"/>
      </rPr>
      <t>Without</t>
    </r>
    <r>
      <rPr>
        <sz val="11"/>
        <color theme="1"/>
        <rFont val="Calibri"/>
        <family val="2"/>
        <scheme val="minor"/>
      </rPr>
      <t xml:space="preserve"> </t>
    </r>
    <r>
      <rPr>
        <sz val="8"/>
        <rFont val="Arial"/>
        <family val="2"/>
      </rPr>
      <t>Pre. Or Dis.</t>
    </r>
  </si>
  <si>
    <t>Record Bond At Discount</t>
  </si>
  <si>
    <t>Selling Price For Bond</t>
  </si>
  <si>
    <t>Record Bond With No Premium Or Discount</t>
  </si>
  <si>
    <t>Assumptions</t>
  </si>
  <si>
    <t>Increments</t>
  </si>
  <si>
    <t>Below 1.00
(Example: 93 or 0.93 or 93%)</t>
  </si>
  <si>
    <t>Above 1.00
(Example: 107 or 1.07 or 107%)</t>
  </si>
  <si>
    <t>YTM and Price move in opposite Directions</t>
  </si>
  <si>
    <t>Bond Issuer</t>
  </si>
  <si>
    <t>Face Value = FV =</t>
  </si>
  <si>
    <t>Maturity = years = x =</t>
  </si>
  <si>
    <t xml:space="preserve">Coupon Rate = </t>
  </si>
  <si>
    <t xml:space="preserve">Coupon Rate/n = </t>
  </si>
  <si>
    <t>Semiannual Coupon Payment =</t>
  </si>
  <si>
    <t>Total # of Coupon Payments =</t>
  </si>
  <si>
    <t>Bond Price = PV =</t>
  </si>
  <si>
    <t>YTM Rate Start</t>
  </si>
  <si>
    <t>YTM Rate Increment =</t>
  </si>
  <si>
    <t>Bond Face Value = FV =</t>
  </si>
  <si>
    <t xml:space="preserve">n = </t>
  </si>
  <si>
    <t>Time To Maturity</t>
  </si>
  <si>
    <t>Years To Maturity =</t>
  </si>
  <si>
    <t>The Lower The Coupon Rate, The More YTM Affects Bond Price</t>
  </si>
  <si>
    <t>Difference</t>
  </si>
  <si>
    <t>Proportionally larger FV causes lower PV than Higher Coupon Bond.</t>
  </si>
  <si>
    <t>Higher Coupon Payments earlier are less affected by discounting than the Bond with a lower coupon rate.</t>
  </si>
  <si>
    <t>The Longer The Maturity, The More YTM Affects Bond Price</t>
  </si>
  <si>
    <t>Tax Bracket</t>
  </si>
  <si>
    <t>Corportae Bond Pays Coupon =</t>
  </si>
  <si>
    <t>Muni Bond Pays Coupon =</t>
  </si>
  <si>
    <t>After Tax Rate For Muni</t>
  </si>
  <si>
    <t>After Tax For Corporate</t>
  </si>
  <si>
    <t>Bond Price</t>
  </si>
  <si>
    <t>PMT Coupon PMT</t>
  </si>
  <si>
    <t>Face Value = FV</t>
  </si>
  <si>
    <t>i = Coupon Rate</t>
  </si>
  <si>
    <t>FV = Face Value</t>
  </si>
  <si>
    <t>PMT = Coupon PMT</t>
  </si>
  <si>
    <t>1 Year 10% Coupon Bond is priced at 100.936%</t>
  </si>
  <si>
    <t>Face</t>
  </si>
  <si>
    <t>Interest PMT = Coupon PMT</t>
  </si>
  <si>
    <t>Price = PV</t>
  </si>
  <si>
    <t>Effective Annual Rate</t>
  </si>
  <si>
    <t>YTM Discount Rate</t>
  </si>
  <si>
    <t>1.00
(Example: 100 or 1.00 or 100%)</t>
  </si>
  <si>
    <t>Coupon PMT</t>
  </si>
  <si>
    <t>PV = Price</t>
  </si>
  <si>
    <t>Coupon</t>
  </si>
  <si>
    <t>YTM Interest</t>
  </si>
  <si>
    <t>Pricipal Addition</t>
  </si>
  <si>
    <t>Carrying Balance</t>
  </si>
  <si>
    <t>Principal Addition</t>
  </si>
  <si>
    <t>Date</t>
  </si>
  <si>
    <t>Description</t>
  </si>
  <si>
    <t>DR</t>
  </si>
  <si>
    <t>CR</t>
  </si>
  <si>
    <t>Cash</t>
  </si>
  <si>
    <t>Bonds Payable</t>
  </si>
  <si>
    <t>Discount On BP</t>
  </si>
  <si>
    <t>Interest Expense</t>
  </si>
  <si>
    <t>Premium On BP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</si>
</sst>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8" formatCode="&quot;$&quot;#,##0.00_);[Red]\(&quot;$&quot;#,##0.00\)"/>
    <numFmt numFmtId="44" formatCode="_(&quot;$&quot;* #,##0.00_);_(&quot;$&quot;* \(#,##0.00\);_(&quot;$&quot;* &quot;-&quot;??_);_(@_)"/>
    <numFmt numFmtId="43" formatCode="_(* #,##0.00_);_(* \(#,##0.00\);_(* &quot;-&quot;??_);_(@_)"/>
    <numFmt numFmtId="164" formatCode="0.000000%"/>
    <numFmt numFmtId="165" formatCode="0.000000000000000000%"/>
    <numFmt numFmtId="166" formatCode="0.0000%"/>
    <numFmt numFmtId="169" formatCode="_(* #,##0.0000_);_(* \(#,##0.0000\);_(* &quot;-&quot;??_);_(@_)"/>
    <numFmt numFmtId="170" formatCode="0.0000"/>
    <numFmt numFmtId="172" formatCode="0.0%"/>
    <numFmt numFmtId="179" formatCode="&quot;$&quot;#,##0.00"/>
    <numFmt numFmtId="184" formatCode="_(* #,##0.0000000_);_(* \(#,##0.0000000\);_(* &quot;-&quot;??_);_(@_)"/>
    <numFmt numFmtId="185" formatCode="0.00000000"/>
    <numFmt numFmtId="186" formatCode="0.000000"/>
  </numFmts>
  <fonts count="12" x14ac:knownFonts="1">
    <font>
      <sz val="11"/>
      <color theme="1"/>
      <name val="Calibri"/>
      <family val="2"/>
      <scheme val="minor"/>
    </font>
    <font>
      <b/>
      <sz val="8"/>
      <color indexed="81"/>
      <name val="Tahoma"/>
      <family val="2"/>
    </font>
    <font>
      <sz val="10"/>
      <name val="Arial"/>
      <family val="2"/>
    </font>
    <font>
      <sz val="10"/>
      <color indexed="9"/>
      <name val="Arial"/>
      <family val="2"/>
    </font>
    <font>
      <sz val="8"/>
      <name val="Arial"/>
      <family val="2"/>
    </font>
    <font>
      <sz val="11"/>
      <color theme="1"/>
      <name val="Calibri"/>
      <family val="2"/>
      <scheme val="minor"/>
    </font>
    <font>
      <sz val="11"/>
      <color theme="0"/>
      <name val="Calibri"/>
      <family val="2"/>
      <scheme val="minor"/>
    </font>
    <font>
      <b/>
      <sz val="11"/>
      <color theme="1"/>
      <name val="Calibri"/>
      <family val="2"/>
      <scheme val="minor"/>
    </font>
    <font>
      <sz val="10"/>
      <color theme="0"/>
      <name val="Arial"/>
      <family val="2"/>
    </font>
    <font>
      <sz val="18"/>
      <color theme="0"/>
      <name val="Calibri"/>
      <family val="2"/>
      <scheme val="minor"/>
    </font>
    <font>
      <b/>
      <sz val="11"/>
      <name val="Calibri"/>
      <family val="2"/>
      <scheme val="minor"/>
    </font>
    <font>
      <b/>
      <sz val="14"/>
      <color rgb="FF000000"/>
      <name val="Calibri"/>
      <family val="2"/>
      <scheme val="minor"/>
    </font>
  </fonts>
  <fills count="13">
    <fill>
      <patternFill patternType="none"/>
    </fill>
    <fill>
      <patternFill patternType="gray125"/>
    </fill>
    <fill>
      <patternFill patternType="solid">
        <fgColor indexed="10"/>
        <bgColor indexed="64"/>
      </patternFill>
    </fill>
    <fill>
      <patternFill patternType="solid">
        <fgColor indexed="12"/>
        <bgColor indexed="64"/>
      </patternFill>
    </fill>
    <fill>
      <patternFill patternType="solid">
        <fgColor rgb="FFCCFFCC"/>
        <bgColor indexed="64"/>
      </patternFill>
    </fill>
    <fill>
      <patternFill patternType="solid">
        <fgColor rgb="FFFFFF00"/>
        <bgColor indexed="64"/>
      </patternFill>
    </fill>
    <fill>
      <patternFill patternType="solid">
        <fgColor rgb="FFFF0000"/>
        <bgColor indexed="64"/>
      </patternFill>
    </fill>
    <fill>
      <patternFill patternType="solid">
        <fgColor rgb="FF002060"/>
        <bgColor indexed="64"/>
      </patternFill>
    </fill>
    <fill>
      <patternFill patternType="solid">
        <fgColor rgb="FFCCFFFF"/>
        <bgColor indexed="64"/>
      </patternFill>
    </fill>
    <fill>
      <patternFill patternType="solid">
        <fgColor rgb="FF0070C0"/>
        <bgColor indexed="64"/>
      </patternFill>
    </fill>
    <fill>
      <patternFill patternType="solid">
        <fgColor theme="5" tint="0.79998168889431442"/>
        <bgColor indexed="64"/>
      </patternFill>
    </fill>
    <fill>
      <patternFill patternType="solid">
        <fgColor theme="6" tint="-0.499984740745262"/>
        <bgColor indexed="64"/>
      </patternFill>
    </fill>
    <fill>
      <patternFill patternType="solid">
        <fgColor rgb="FFFFFF99"/>
        <bgColor indexed="64"/>
      </patternFill>
    </fill>
  </fills>
  <borders count="12">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ck">
        <color indexed="64"/>
      </left>
      <right style="thick">
        <color indexed="64"/>
      </right>
      <top/>
      <bottom style="thick">
        <color indexed="64"/>
      </bottom>
      <diagonal/>
    </border>
    <border>
      <left style="thick">
        <color indexed="64"/>
      </left>
      <right style="thick">
        <color indexed="64"/>
      </right>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s>
  <cellStyleXfs count="9">
    <xf numFmtId="0" fontId="0" fillId="0" borderId="0"/>
    <xf numFmtId="43" fontId="5" fillId="0" borderId="0" applyFont="0" applyFill="0" applyBorder="0" applyAlignment="0" applyProtection="0"/>
    <xf numFmtId="43" fontId="2" fillId="0" borderId="0" applyFont="0" applyFill="0" applyBorder="0" applyAlignment="0" applyProtection="0"/>
    <xf numFmtId="44" fontId="5" fillId="0" borderId="0" applyFont="0" applyFill="0" applyBorder="0" applyAlignment="0" applyProtection="0"/>
    <xf numFmtId="0" fontId="5" fillId="4" borderId="1" applyBorder="0">
      <alignment horizontal="centerContinuous" wrapText="1"/>
    </xf>
    <xf numFmtId="0" fontId="2" fillId="0" borderId="0"/>
    <xf numFmtId="9" fontId="5" fillId="0" borderId="0" applyFont="0" applyFill="0" applyBorder="0" applyAlignment="0" applyProtection="0"/>
    <xf numFmtId="9" fontId="2" fillId="0" borderId="0" applyFont="0" applyFill="0" applyBorder="0" applyAlignment="0" applyProtection="0"/>
    <xf numFmtId="0" fontId="5" fillId="5" borderId="1" applyBorder="0">
      <alignment horizontal="centerContinuous" wrapText="1"/>
    </xf>
  </cellStyleXfs>
  <cellXfs count="125">
    <xf numFmtId="0" fontId="0" fillId="0" borderId="0" xfId="0"/>
    <xf numFmtId="0" fontId="0" fillId="0" borderId="2" xfId="0" applyBorder="1"/>
    <xf numFmtId="8" fontId="0" fillId="0" borderId="2" xfId="0" applyNumberFormat="1" applyBorder="1"/>
    <xf numFmtId="8" fontId="0" fillId="4" borderId="2" xfId="0" applyNumberFormat="1" applyFill="1" applyBorder="1"/>
    <xf numFmtId="10" fontId="0" fillId="0" borderId="2" xfId="0" applyNumberFormat="1" applyBorder="1"/>
    <xf numFmtId="10" fontId="5" fillId="4" borderId="2" xfId="6" applyNumberFormat="1" applyFont="1" applyFill="1" applyBorder="1"/>
    <xf numFmtId="0" fontId="0" fillId="4" borderId="2" xfId="0" applyFill="1" applyBorder="1"/>
    <xf numFmtId="10" fontId="5" fillId="0" borderId="2" xfId="6" applyNumberFormat="1" applyFont="1" applyBorder="1"/>
    <xf numFmtId="0" fontId="0" fillId="0" borderId="2" xfId="0" applyFill="1" applyBorder="1"/>
    <xf numFmtId="0" fontId="0" fillId="4" borderId="1" xfId="0" applyFill="1" applyBorder="1" applyAlignment="1">
      <alignment horizontal="centerContinuous" vertical="top" wrapText="1"/>
    </xf>
    <xf numFmtId="0" fontId="0" fillId="4" borderId="3" xfId="0" applyFill="1" applyBorder="1" applyAlignment="1">
      <alignment horizontal="centerContinuous" vertical="top" wrapText="1"/>
    </xf>
    <xf numFmtId="0" fontId="0" fillId="4" borderId="4" xfId="0" applyFill="1" applyBorder="1" applyAlignment="1">
      <alignment horizontal="centerContinuous" vertical="top" wrapText="1"/>
    </xf>
    <xf numFmtId="0" fontId="0" fillId="0" borderId="0" xfId="0" applyAlignment="1">
      <alignment vertical="top" wrapText="1"/>
    </xf>
    <xf numFmtId="164" fontId="5" fillId="4" borderId="2" xfId="6" applyNumberFormat="1" applyFont="1" applyFill="1" applyBorder="1"/>
    <xf numFmtId="8" fontId="0" fillId="0" borderId="2" xfId="0" applyNumberFormat="1" applyFill="1" applyBorder="1"/>
    <xf numFmtId="10" fontId="5" fillId="0" borderId="2" xfId="6" applyNumberFormat="1" applyFont="1" applyFill="1" applyBorder="1"/>
    <xf numFmtId="0" fontId="0" fillId="4" borderId="1" xfId="0" applyFill="1" applyBorder="1" applyAlignment="1">
      <alignment horizontal="centerContinuous" wrapText="1"/>
    </xf>
    <xf numFmtId="0" fontId="0" fillId="4" borderId="3" xfId="0" applyFill="1" applyBorder="1" applyAlignment="1">
      <alignment horizontal="centerContinuous" wrapText="1"/>
    </xf>
    <xf numFmtId="0" fontId="0" fillId="4" borderId="4" xfId="0" applyFill="1" applyBorder="1" applyAlignment="1">
      <alignment horizontal="centerContinuous" wrapText="1"/>
    </xf>
    <xf numFmtId="4" fontId="5" fillId="0" borderId="2" xfId="1" applyNumberFormat="1" applyFont="1" applyBorder="1"/>
    <xf numFmtId="4" fontId="5" fillId="4" borderId="2" xfId="1" applyNumberFormat="1" applyFont="1" applyFill="1" applyBorder="1"/>
    <xf numFmtId="0" fontId="0" fillId="4" borderId="5" xfId="0" applyFill="1" applyBorder="1" applyAlignment="1">
      <alignment horizontal="centerContinuous" wrapText="1"/>
    </xf>
    <xf numFmtId="0" fontId="0" fillId="4" borderId="2" xfId="0" applyNumberFormat="1" applyFill="1" applyBorder="1"/>
    <xf numFmtId="4" fontId="0" fillId="0" borderId="2" xfId="0" applyNumberFormat="1" applyBorder="1"/>
    <xf numFmtId="4" fontId="0" fillId="4" borderId="2" xfId="0" applyNumberFormat="1" applyFill="1" applyBorder="1"/>
    <xf numFmtId="0" fontId="0" fillId="0" borderId="2" xfId="0" applyNumberFormat="1" applyBorder="1"/>
    <xf numFmtId="0" fontId="0" fillId="4" borderId="4" xfId="0" applyFill="1" applyBorder="1" applyAlignment="1">
      <alignment wrapText="1"/>
    </xf>
    <xf numFmtId="165" fontId="0" fillId="4" borderId="2" xfId="0" applyNumberFormat="1" applyFill="1" applyBorder="1"/>
    <xf numFmtId="0" fontId="0" fillId="4" borderId="2" xfId="0" applyFill="1" applyBorder="1" applyAlignment="1">
      <alignment wrapText="1"/>
    </xf>
    <xf numFmtId="0" fontId="0" fillId="0" borderId="0" xfId="0" applyAlignment="1">
      <alignment wrapText="1"/>
    </xf>
    <xf numFmtId="10" fontId="0" fillId="4" borderId="2" xfId="0" applyNumberFormat="1" applyFill="1" applyBorder="1"/>
    <xf numFmtId="166" fontId="0" fillId="4" borderId="2" xfId="0" applyNumberFormat="1" applyFill="1" applyBorder="1"/>
    <xf numFmtId="8" fontId="5" fillId="0" borderId="2" xfId="1" applyNumberFormat="1" applyFont="1" applyBorder="1"/>
    <xf numFmtId="43" fontId="5" fillId="4" borderId="2" xfId="1" applyFont="1" applyFill="1" applyBorder="1"/>
    <xf numFmtId="0" fontId="0" fillId="0" borderId="2" xfId="0" applyBorder="1" applyAlignment="1">
      <alignment wrapText="1"/>
    </xf>
    <xf numFmtId="8" fontId="0" fillId="0" borderId="0" xfId="0" applyNumberFormat="1"/>
    <xf numFmtId="0" fontId="0" fillId="0" borderId="0" xfId="0" applyBorder="1" applyAlignment="1">
      <alignment wrapText="1"/>
    </xf>
    <xf numFmtId="8" fontId="0" fillId="0" borderId="0" xfId="0" applyNumberFormat="1" applyBorder="1"/>
    <xf numFmtId="0" fontId="0" fillId="0" borderId="0" xfId="0" applyBorder="1" applyAlignment="1"/>
    <xf numFmtId="0" fontId="6" fillId="6" borderId="2" xfId="0" applyFont="1" applyFill="1" applyBorder="1" applyAlignment="1">
      <alignment horizontal="centerContinuous" wrapText="1"/>
    </xf>
    <xf numFmtId="0" fontId="6" fillId="6" borderId="2" xfId="0" applyFont="1" applyFill="1" applyBorder="1"/>
    <xf numFmtId="0" fontId="6" fillId="7" borderId="6" xfId="0" applyFont="1" applyFill="1" applyBorder="1" applyAlignment="1">
      <alignment wrapText="1"/>
    </xf>
    <xf numFmtId="0" fontId="6" fillId="7" borderId="6" xfId="0" applyFont="1" applyFill="1" applyBorder="1"/>
    <xf numFmtId="8" fontId="0" fillId="8" borderId="2" xfId="0" applyNumberFormat="1" applyFill="1" applyBorder="1"/>
    <xf numFmtId="8" fontId="0" fillId="8" borderId="2" xfId="0" applyNumberFormat="1" applyFill="1" applyBorder="1" applyAlignment="1">
      <alignment wrapText="1"/>
    </xf>
    <xf numFmtId="0" fontId="2" fillId="0" borderId="2" xfId="5" applyBorder="1"/>
    <xf numFmtId="0" fontId="2" fillId="0" borderId="0" xfId="5"/>
    <xf numFmtId="8" fontId="2" fillId="0" borderId="0" xfId="5" applyNumberFormat="1"/>
    <xf numFmtId="9" fontId="2" fillId="0" borderId="2" xfId="5" applyNumberFormat="1" applyBorder="1"/>
    <xf numFmtId="166" fontId="5" fillId="4" borderId="2" xfId="7" applyNumberFormat="1" applyFont="1" applyFill="1" applyBorder="1"/>
    <xf numFmtId="166" fontId="2" fillId="4" borderId="2" xfId="5" applyNumberFormat="1" applyFill="1" applyBorder="1"/>
    <xf numFmtId="0" fontId="2" fillId="0" borderId="0" xfId="5" applyAlignment="1">
      <alignment wrapText="1"/>
    </xf>
    <xf numFmtId="0" fontId="8" fillId="7" borderId="2" xfId="5" applyFont="1" applyFill="1" applyBorder="1"/>
    <xf numFmtId="8" fontId="2" fillId="0" borderId="2" xfId="5" applyNumberFormat="1" applyFont="1" applyBorder="1"/>
    <xf numFmtId="8" fontId="2" fillId="4" borderId="2" xfId="5" applyNumberFormat="1" applyFont="1" applyFill="1" applyBorder="1"/>
    <xf numFmtId="0" fontId="5" fillId="0" borderId="2" xfId="2" applyNumberFormat="1" applyFont="1" applyBorder="1"/>
    <xf numFmtId="169" fontId="5" fillId="4" borderId="2" xfId="2" applyNumberFormat="1" applyFont="1" applyFill="1" applyBorder="1"/>
    <xf numFmtId="0" fontId="2" fillId="0" borderId="2" xfId="5" applyBorder="1" applyAlignment="1">
      <alignment wrapText="1"/>
    </xf>
    <xf numFmtId="170" fontId="2" fillId="0" borderId="0" xfId="5" applyNumberFormat="1"/>
    <xf numFmtId="0" fontId="2" fillId="0" borderId="0" xfId="5" applyNumberFormat="1"/>
    <xf numFmtId="10" fontId="5" fillId="0" borderId="2" xfId="6" applyNumberFormat="1" applyFont="1" applyBorder="1"/>
    <xf numFmtId="10" fontId="5" fillId="4" borderId="2" xfId="6" applyNumberFormat="1" applyFont="1" applyFill="1" applyBorder="1"/>
    <xf numFmtId="0" fontId="6" fillId="9" borderId="2" xfId="0" applyFont="1" applyFill="1" applyBorder="1"/>
    <xf numFmtId="0" fontId="0" fillId="10" borderId="2" xfId="0" applyFill="1" applyBorder="1"/>
    <xf numFmtId="0" fontId="6" fillId="11" borderId="0" xfId="0" applyFont="1" applyFill="1" applyAlignment="1">
      <alignment horizontal="centerContinuous" wrapText="1"/>
    </xf>
    <xf numFmtId="0" fontId="6" fillId="6" borderId="0" xfId="0" applyFont="1" applyFill="1" applyAlignment="1">
      <alignment horizontal="centerContinuous" wrapText="1"/>
    </xf>
    <xf numFmtId="14" fontId="0" fillId="0" borderId="2" xfId="0" applyNumberFormat="1" applyBorder="1"/>
    <xf numFmtId="4" fontId="0" fillId="0" borderId="2" xfId="0" applyNumberFormat="1" applyFill="1" applyBorder="1"/>
    <xf numFmtId="0" fontId="0" fillId="0" borderId="2" xfId="0" applyNumberFormat="1" applyFill="1" applyBorder="1"/>
    <xf numFmtId="166" fontId="5" fillId="4" borderId="2" xfId="6" applyNumberFormat="1" applyFont="1" applyFill="1" applyBorder="1"/>
    <xf numFmtId="9" fontId="0" fillId="0" borderId="2" xfId="0" applyNumberFormat="1" applyBorder="1"/>
    <xf numFmtId="9" fontId="2" fillId="0" borderId="7" xfId="5" applyNumberFormat="1" applyBorder="1" applyAlignment="1">
      <alignment horizontal="center"/>
    </xf>
    <xf numFmtId="9" fontId="2" fillId="0" borderId="8" xfId="5" applyNumberFormat="1" applyBorder="1" applyAlignment="1">
      <alignment horizontal="center"/>
    </xf>
    <xf numFmtId="172" fontId="2" fillId="0" borderId="7" xfId="5" applyNumberFormat="1" applyBorder="1" applyAlignment="1">
      <alignment horizontal="center"/>
    </xf>
    <xf numFmtId="0" fontId="2" fillId="0" borderId="0" xfId="5" applyAlignment="1">
      <alignment horizontal="center"/>
    </xf>
    <xf numFmtId="0" fontId="2" fillId="0" borderId="2" xfId="5" applyBorder="1" applyAlignment="1">
      <alignment horizontal="center" wrapText="1"/>
    </xf>
    <xf numFmtId="0" fontId="2" fillId="0" borderId="0" xfId="5" applyAlignment="1">
      <alignment horizontal="center" wrapText="1"/>
    </xf>
    <xf numFmtId="9" fontId="2" fillId="0" borderId="0" xfId="5" applyNumberFormat="1" applyAlignment="1">
      <alignment horizontal="center" wrapText="1"/>
    </xf>
    <xf numFmtId="9" fontId="2" fillId="0" borderId="7" xfId="5" applyNumberFormat="1" applyBorder="1" applyAlignment="1">
      <alignment horizontal="center" wrapText="1"/>
    </xf>
    <xf numFmtId="9" fontId="2" fillId="0" borderId="7" xfId="5" applyNumberFormat="1" applyBorder="1" applyAlignment="1">
      <alignment horizontal="center" vertical="top" wrapText="1"/>
    </xf>
    <xf numFmtId="172" fontId="2" fillId="0" borderId="7" xfId="5" applyNumberFormat="1" applyBorder="1" applyAlignment="1">
      <alignment horizontal="center" wrapText="1"/>
    </xf>
    <xf numFmtId="9" fontId="2" fillId="0" borderId="0" xfId="5" applyNumberFormat="1" applyAlignment="1">
      <alignment horizontal="center"/>
    </xf>
    <xf numFmtId="0" fontId="3" fillId="2" borderId="0" xfId="5" applyFont="1" applyFill="1" applyAlignment="1">
      <alignment horizontal="center"/>
    </xf>
    <xf numFmtId="9" fontId="2" fillId="0" borderId="0" xfId="5" applyNumberFormat="1"/>
    <xf numFmtId="0" fontId="9" fillId="7" borderId="2" xfId="0" applyFont="1" applyFill="1" applyBorder="1" applyAlignment="1">
      <alignment horizontal="centerContinuous" wrapText="1"/>
    </xf>
    <xf numFmtId="44" fontId="5" fillId="0" borderId="2" xfId="3" applyFont="1" applyBorder="1"/>
    <xf numFmtId="179" fontId="5" fillId="0" borderId="2" xfId="3" applyNumberFormat="1" applyFont="1" applyBorder="1"/>
    <xf numFmtId="0" fontId="0" fillId="12" borderId="2" xfId="0" applyFill="1" applyBorder="1"/>
    <xf numFmtId="10" fontId="5" fillId="12" borderId="2" xfId="6" applyNumberFormat="1" applyFont="1" applyFill="1" applyBorder="1"/>
    <xf numFmtId="0" fontId="0" fillId="12" borderId="1" xfId="0" applyFill="1" applyBorder="1"/>
    <xf numFmtId="0" fontId="0" fillId="12" borderId="9" xfId="0" applyFill="1" applyBorder="1"/>
    <xf numFmtId="0" fontId="0" fillId="12" borderId="10" xfId="0" applyFill="1" applyBorder="1"/>
    <xf numFmtId="179" fontId="5" fillId="0" borderId="2" xfId="3" applyNumberFormat="1" applyFont="1" applyFill="1" applyBorder="1"/>
    <xf numFmtId="0" fontId="0" fillId="12" borderId="2" xfId="0" applyFill="1" applyBorder="1" applyAlignment="1">
      <alignment horizontal="center" vertical="center"/>
    </xf>
    <xf numFmtId="10" fontId="10" fillId="12" borderId="2" xfId="6" applyNumberFormat="1" applyFont="1" applyFill="1" applyBorder="1" applyAlignment="1">
      <alignment vertical="center"/>
    </xf>
    <xf numFmtId="0" fontId="0" fillId="12" borderId="11" xfId="0" applyFill="1" applyBorder="1"/>
    <xf numFmtId="4" fontId="5" fillId="12" borderId="2" xfId="1" applyNumberFormat="1" applyFont="1" applyFill="1" applyBorder="1" applyAlignment="1">
      <alignment vertical="center"/>
    </xf>
    <xf numFmtId="0" fontId="0" fillId="0" borderId="0" xfId="0" applyBorder="1"/>
    <xf numFmtId="0" fontId="11" fillId="0" borderId="0" xfId="0" applyFont="1" applyAlignment="1">
      <alignment horizontal="left" readingOrder="1"/>
    </xf>
    <xf numFmtId="0" fontId="7" fillId="0" borderId="0" xfId="0" applyFont="1"/>
    <xf numFmtId="0" fontId="6" fillId="7" borderId="2" xfId="0" applyFont="1" applyFill="1" applyBorder="1"/>
    <xf numFmtId="9" fontId="6" fillId="7" borderId="2" xfId="6" applyFont="1" applyFill="1" applyBorder="1"/>
    <xf numFmtId="0" fontId="0" fillId="5" borderId="2" xfId="0" applyFill="1" applyBorder="1"/>
    <xf numFmtId="0" fontId="0" fillId="12" borderId="1" xfId="0" applyFill="1" applyBorder="1" applyAlignment="1">
      <alignment horizontal="centerContinuous" wrapText="1"/>
    </xf>
    <xf numFmtId="0" fontId="0" fillId="12" borderId="3" xfId="0" applyFill="1" applyBorder="1" applyAlignment="1">
      <alignment horizontal="centerContinuous" wrapText="1"/>
    </xf>
    <xf numFmtId="0" fontId="0" fillId="12" borderId="4" xfId="0" applyFill="1" applyBorder="1" applyAlignment="1">
      <alignment horizontal="centerContinuous" wrapText="1"/>
    </xf>
    <xf numFmtId="184" fontId="5" fillId="4" borderId="2" xfId="2" applyNumberFormat="1" applyFont="1" applyFill="1" applyBorder="1"/>
    <xf numFmtId="10" fontId="5" fillId="0" borderId="0" xfId="6" applyNumberFormat="1" applyFont="1"/>
    <xf numFmtId="185" fontId="0" fillId="4" borderId="2" xfId="0" applyNumberFormat="1" applyFill="1" applyBorder="1"/>
    <xf numFmtId="186" fontId="0" fillId="0" borderId="0" xfId="0" applyNumberFormat="1"/>
    <xf numFmtId="179" fontId="0" fillId="4" borderId="2" xfId="0" applyNumberFormat="1" applyFill="1" applyBorder="1"/>
    <xf numFmtId="179" fontId="0" fillId="0" borderId="2" xfId="0" applyNumberFormat="1" applyFill="1" applyBorder="1"/>
    <xf numFmtId="0" fontId="0" fillId="0" borderId="0" xfId="0" applyFill="1"/>
    <xf numFmtId="179" fontId="0" fillId="0" borderId="2" xfId="0" applyNumberFormat="1" applyBorder="1"/>
    <xf numFmtId="9" fontId="0" fillId="4" borderId="2" xfId="0" applyNumberFormat="1" applyFill="1" applyBorder="1"/>
    <xf numFmtId="9" fontId="0" fillId="12" borderId="2" xfId="0" applyNumberFormat="1" applyFill="1" applyBorder="1"/>
    <xf numFmtId="8" fontId="0" fillId="12" borderId="2" xfId="0" applyNumberFormat="1" applyFill="1" applyBorder="1"/>
    <xf numFmtId="0" fontId="6" fillId="7" borderId="2" xfId="0" applyFont="1" applyFill="1" applyBorder="1" applyAlignment="1">
      <alignment wrapText="1"/>
    </xf>
    <xf numFmtId="0" fontId="0" fillId="0" borderId="2" xfId="0" applyBorder="1" applyAlignment="1">
      <alignment horizontal="left" indent="1"/>
    </xf>
    <xf numFmtId="0" fontId="0" fillId="0" borderId="1" xfId="0" applyBorder="1" applyAlignment="1"/>
    <xf numFmtId="172" fontId="5" fillId="0" borderId="2" xfId="6" applyNumberFormat="1" applyFont="1" applyBorder="1"/>
    <xf numFmtId="0" fontId="6" fillId="9" borderId="2" xfId="0" applyFont="1" applyFill="1" applyBorder="1" applyAlignment="1">
      <alignment horizontal="right"/>
    </xf>
    <xf numFmtId="0" fontId="3" fillId="3" borderId="0" xfId="5" applyFont="1" applyFill="1" applyAlignment="1">
      <alignment horizontal="center"/>
    </xf>
    <xf numFmtId="0" fontId="3" fillId="2" borderId="0" xfId="5" applyFont="1" applyFill="1" applyAlignment="1">
      <alignment horizontal="center"/>
    </xf>
    <xf numFmtId="0" fontId="0" fillId="0" borderId="2" xfId="0" applyBorder="1" applyAlignment="1">
      <alignment horizontal="center" wrapText="1"/>
    </xf>
  </cellXfs>
  <cellStyles count="9">
    <cellStyle name="Comma" xfId="1" builtinId="3"/>
    <cellStyle name="Comma 3" xfId="2" xr:uid="{07ED8B34-EBAE-4586-A76D-5DDCDEF8F1F8}"/>
    <cellStyle name="Currency" xfId="3" builtinId="4"/>
    <cellStyle name="GreenCAS" xfId="4" xr:uid="{CF907A61-74A3-46DB-80DC-8C961C16E06B}"/>
    <cellStyle name="Normal" xfId="0" builtinId="0"/>
    <cellStyle name="Normal 3" xfId="5" xr:uid="{D936B7D6-2DAE-4DE1-8ABD-243CD8CF618C}"/>
    <cellStyle name="Percent" xfId="6" builtinId="5"/>
    <cellStyle name="Percent 3" xfId="7" xr:uid="{5CEF5078-3663-4F8F-9855-7F63742FB613}"/>
    <cellStyle name="YellowCAS" xfId="8" xr:uid="{57D5297F-4E4E-4F37-AAB7-6828A723473A}"/>
  </cellStyles>
  <dxfs count="40">
    <dxf>
      <font>
        <color theme="0"/>
      </font>
      <fill>
        <patternFill>
          <bgColor rgb="FFFF0000"/>
        </patternFill>
      </fill>
    </dxf>
    <dxf>
      <font>
        <b/>
        <i val="0"/>
      </font>
      <fill>
        <patternFill>
          <bgColor rgb="FF00FF00"/>
        </patternFill>
      </fill>
    </dxf>
    <dxf>
      <font>
        <color theme="0"/>
      </font>
      <fill>
        <patternFill>
          <bgColor rgb="FFFF0000"/>
        </patternFill>
      </fill>
    </dxf>
    <dxf>
      <font>
        <b/>
        <i val="0"/>
      </font>
      <fill>
        <patternFill>
          <bgColor rgb="FF00FF00"/>
        </patternFill>
      </fill>
    </dxf>
    <dxf>
      <font>
        <color theme="0"/>
      </font>
      <fill>
        <patternFill>
          <bgColor rgb="FFFF0000"/>
        </patternFill>
      </fill>
    </dxf>
    <dxf>
      <font>
        <b/>
        <i val="0"/>
      </font>
      <fill>
        <patternFill>
          <bgColor rgb="FF00FF00"/>
        </patternFill>
      </fill>
    </dxf>
    <dxf>
      <font>
        <color theme="0"/>
      </font>
      <fill>
        <patternFill>
          <bgColor rgb="FFFF0000"/>
        </patternFill>
      </fill>
    </dxf>
    <dxf>
      <font>
        <b/>
        <i val="0"/>
      </font>
      <fill>
        <patternFill>
          <bgColor rgb="FF00FF00"/>
        </patternFill>
      </fill>
    </dxf>
    <dxf>
      <font>
        <color theme="0"/>
      </font>
      <fill>
        <patternFill>
          <bgColor rgb="FFFF0000"/>
        </patternFill>
      </fill>
    </dxf>
    <dxf>
      <font>
        <b/>
        <i val="0"/>
      </font>
      <fill>
        <patternFill>
          <bgColor rgb="FF00FF00"/>
        </patternFill>
      </fill>
    </dxf>
    <dxf>
      <font>
        <color theme="0"/>
      </font>
      <fill>
        <patternFill>
          <bgColor rgb="FFFF0000"/>
        </patternFill>
      </fill>
    </dxf>
    <dxf>
      <font>
        <b/>
        <i val="0"/>
      </font>
      <fill>
        <patternFill>
          <bgColor rgb="FF00FF00"/>
        </patternFill>
      </fill>
    </dxf>
    <dxf>
      <font>
        <color theme="0"/>
      </font>
      <fill>
        <patternFill>
          <bgColor rgb="FFFF0000"/>
        </patternFill>
      </fill>
    </dxf>
    <dxf>
      <font>
        <b/>
        <i val="0"/>
      </font>
      <fill>
        <patternFill>
          <bgColor rgb="FF00FF00"/>
        </patternFill>
      </fill>
    </dxf>
    <dxf>
      <font>
        <color theme="0"/>
      </font>
      <fill>
        <patternFill>
          <bgColor rgb="FFFF0000"/>
        </patternFill>
      </fill>
    </dxf>
    <dxf>
      <font>
        <b/>
        <i val="0"/>
      </font>
      <fill>
        <patternFill>
          <bgColor rgb="FF00FF00"/>
        </patternFill>
      </fill>
    </dxf>
    <dxf>
      <font>
        <color theme="0"/>
      </font>
      <fill>
        <patternFill>
          <bgColor rgb="FFFF0000"/>
        </patternFill>
      </fill>
    </dxf>
    <dxf>
      <font>
        <b/>
        <i val="0"/>
      </font>
      <fill>
        <patternFill>
          <bgColor rgb="FF00FF00"/>
        </patternFill>
      </fill>
    </dxf>
    <dxf>
      <font>
        <color theme="0"/>
      </font>
      <fill>
        <patternFill>
          <bgColor rgb="FFFF0000"/>
        </patternFill>
      </fill>
    </dxf>
    <dxf>
      <font>
        <b/>
        <i val="0"/>
      </font>
      <fill>
        <patternFill>
          <bgColor rgb="FF00FF00"/>
        </patternFill>
      </fill>
    </dxf>
    <dxf>
      <font>
        <color theme="0"/>
      </font>
      <fill>
        <patternFill>
          <bgColor rgb="FFFF0000"/>
        </patternFill>
      </fill>
    </dxf>
    <dxf>
      <font>
        <b/>
        <i val="0"/>
      </font>
      <fill>
        <patternFill>
          <bgColor rgb="FF00FF00"/>
        </patternFill>
      </fill>
    </dxf>
    <dxf>
      <font>
        <color theme="0"/>
      </font>
      <fill>
        <patternFill>
          <bgColor rgb="FFFF0000"/>
        </patternFill>
      </fill>
    </dxf>
    <dxf>
      <font>
        <b/>
        <i val="0"/>
      </font>
      <fill>
        <patternFill>
          <bgColor rgb="FF00FF00"/>
        </patternFill>
      </fill>
    </dxf>
    <dxf>
      <font>
        <color theme="0"/>
      </font>
      <fill>
        <patternFill>
          <bgColor rgb="FFFF0000"/>
        </patternFill>
      </fill>
    </dxf>
    <dxf>
      <font>
        <b/>
        <i val="0"/>
      </font>
      <fill>
        <patternFill>
          <bgColor rgb="FF00FF00"/>
        </patternFill>
      </fill>
    </dxf>
    <dxf>
      <font>
        <color theme="0"/>
      </font>
      <fill>
        <patternFill>
          <bgColor rgb="FFFF0000"/>
        </patternFill>
      </fill>
    </dxf>
    <dxf>
      <font>
        <b/>
        <i val="0"/>
      </font>
      <fill>
        <patternFill>
          <bgColor rgb="FF00FF00"/>
        </patternFill>
      </fill>
    </dxf>
    <dxf>
      <font>
        <color theme="0"/>
      </font>
      <fill>
        <patternFill>
          <bgColor rgb="FFFF0000"/>
        </patternFill>
      </fill>
    </dxf>
    <dxf>
      <font>
        <b/>
        <i val="0"/>
      </font>
      <fill>
        <patternFill>
          <bgColor rgb="FF00FF00"/>
        </patternFill>
      </fill>
    </dxf>
    <dxf>
      <font>
        <color theme="0"/>
      </font>
      <fill>
        <patternFill>
          <bgColor rgb="FFFF0000"/>
        </patternFill>
      </fill>
    </dxf>
    <dxf>
      <font>
        <b/>
        <i val="0"/>
      </font>
      <fill>
        <patternFill>
          <bgColor rgb="FF00FF00"/>
        </patternFill>
      </fill>
    </dxf>
    <dxf>
      <font>
        <b/>
        <i val="0"/>
      </font>
      <fill>
        <patternFill>
          <bgColor rgb="FF00FF00"/>
        </patternFill>
      </fill>
    </dxf>
    <dxf>
      <font>
        <color theme="0"/>
      </font>
      <fill>
        <patternFill>
          <bgColor rgb="FFFF0000"/>
        </patternFill>
      </fill>
    </dxf>
    <dxf>
      <font>
        <color theme="0"/>
      </font>
      <fill>
        <patternFill>
          <bgColor rgb="FFFF0000"/>
        </patternFill>
      </fill>
    </dxf>
    <dxf>
      <font>
        <b/>
        <i val="0"/>
      </font>
      <fill>
        <patternFill>
          <bgColor rgb="FF00FF00"/>
        </patternFill>
      </fill>
    </dxf>
    <dxf>
      <font>
        <b/>
        <i val="0"/>
      </font>
      <fill>
        <patternFill>
          <bgColor rgb="FF00FF00"/>
        </patternFill>
      </fill>
    </dxf>
    <dxf>
      <font>
        <color theme="0"/>
      </font>
      <fill>
        <patternFill>
          <bgColor rgb="FFFF0000"/>
        </patternFill>
      </fill>
    </dxf>
    <dxf>
      <font>
        <color theme="0"/>
      </font>
      <fill>
        <patternFill>
          <bgColor rgb="FFFF0000"/>
        </patternFill>
      </fill>
    </dxf>
    <dxf>
      <font>
        <b/>
        <i val="0"/>
      </font>
      <fill>
        <patternFill>
          <bgColor rgb="FF00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smoothMarker"/>
        <c:varyColors val="0"/>
        <c:ser>
          <c:idx val="0"/>
          <c:order val="0"/>
          <c:tx>
            <c:strRef>
              <c:f>'13an'!$B$15</c:f>
              <c:strCache>
                <c:ptCount val="1"/>
                <c:pt idx="0">
                  <c:v>Bond Price</c:v>
                </c:pt>
              </c:strCache>
            </c:strRef>
          </c:tx>
          <c:marker>
            <c:symbol val="none"/>
          </c:marker>
          <c:xVal>
            <c:numRef>
              <c:f>'13an'!$A$16:$A$27</c:f>
              <c:numCache>
                <c:formatCode>General</c:formatCode>
                <c:ptCount val="12"/>
                <c:pt idx="0">
                  <c:v>0.04</c:v>
                </c:pt>
                <c:pt idx="1">
                  <c:v>0.05</c:v>
                </c:pt>
                <c:pt idx="2">
                  <c:v>0.06</c:v>
                </c:pt>
                <c:pt idx="3">
                  <c:v>7.0000000000000007E-2</c:v>
                </c:pt>
                <c:pt idx="4">
                  <c:v>0.08</c:v>
                </c:pt>
                <c:pt idx="5">
                  <c:v>0.09</c:v>
                </c:pt>
                <c:pt idx="6">
                  <c:v>0.1</c:v>
                </c:pt>
                <c:pt idx="7">
                  <c:v>0.11</c:v>
                </c:pt>
                <c:pt idx="8">
                  <c:v>0.12</c:v>
                </c:pt>
                <c:pt idx="9">
                  <c:v>0.13</c:v>
                </c:pt>
                <c:pt idx="10">
                  <c:v>0.14000000000000001</c:v>
                </c:pt>
                <c:pt idx="11">
                  <c:v>0.15</c:v>
                </c:pt>
              </c:numCache>
            </c:numRef>
          </c:xVal>
          <c:yVal>
            <c:numRef>
              <c:f>'13an'!$B$16:$B$27</c:f>
              <c:numCache>
                <c:formatCode>"$"#,##0.00</c:formatCode>
                <c:ptCount val="12"/>
                <c:pt idx="0">
                  <c:v>1347.6088667704648</c:v>
                </c:pt>
                <c:pt idx="1">
                  <c:v>1154.5432824252873</c:v>
                </c:pt>
                <c:pt idx="2">
                  <c:v>1000.0000000000001</c:v>
                </c:pt>
                <c:pt idx="3">
                  <c:v>875.27632940875753</c:v>
                </c:pt>
                <c:pt idx="4">
                  <c:v>773.76510025522612</c:v>
                </c:pt>
                <c:pt idx="5">
                  <c:v>690.42966942691328</c:v>
                </c:pt>
                <c:pt idx="6">
                  <c:v>621.41420949859764</c:v>
                </c:pt>
                <c:pt idx="7">
                  <c:v>563.75364590517847</c:v>
                </c:pt>
                <c:pt idx="8">
                  <c:v>515.15716884285905</c:v>
                </c:pt>
                <c:pt idx="9">
                  <c:v>473.84619893079423</c:v>
                </c:pt>
                <c:pt idx="10">
                  <c:v>438.43275398257578</c:v>
                </c:pt>
                <c:pt idx="11">
                  <c:v>407.82786622770544</c:v>
                </c:pt>
              </c:numCache>
            </c:numRef>
          </c:yVal>
          <c:smooth val="1"/>
          <c:extLst>
            <c:ext xmlns:c16="http://schemas.microsoft.com/office/drawing/2014/chart" uri="{C3380CC4-5D6E-409C-BE32-E72D297353CC}">
              <c16:uniqueId val="{00000000-E745-4637-B1E8-A3D66BDEA5D3}"/>
            </c:ext>
          </c:extLst>
        </c:ser>
        <c:dLbls>
          <c:showLegendKey val="0"/>
          <c:showVal val="0"/>
          <c:showCatName val="0"/>
          <c:showSerName val="0"/>
          <c:showPercent val="0"/>
          <c:showBubbleSize val="0"/>
        </c:dLbls>
        <c:axId val="1510606559"/>
        <c:axId val="1"/>
      </c:scatterChart>
      <c:valAx>
        <c:axId val="1510606559"/>
        <c:scaling>
          <c:orientation val="minMax"/>
        </c:scaling>
        <c:delete val="0"/>
        <c:axPos val="b"/>
        <c:title>
          <c:tx>
            <c:strRef>
              <c:f>'13an'!$A$15</c:f>
              <c:strCache>
                <c:ptCount val="1"/>
                <c:pt idx="0">
                  <c:v>YTM Discount Rate</c:v>
                </c:pt>
              </c:strCache>
            </c:strRef>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crossBetween val="midCat"/>
      </c:valAx>
      <c:valAx>
        <c:axId val="1"/>
        <c:scaling>
          <c:orientation val="minMax"/>
        </c:scaling>
        <c:delete val="0"/>
        <c:axPos val="l"/>
        <c:majorGridlines/>
        <c:title>
          <c:tx>
            <c:strRef>
              <c:f>'13an'!$B$15</c:f>
              <c:strCache>
                <c:ptCount val="1"/>
                <c:pt idx="0">
                  <c:v>Bond Price</c:v>
                </c:pt>
              </c:strCache>
            </c:strRef>
          </c:tx>
          <c:overlay val="0"/>
          <c:txPr>
            <a:bodyPr rot="-5400000" vert="horz"/>
            <a:lstStyle/>
            <a:p>
              <a:pPr>
                <a:defRPr/>
              </a:pPr>
              <a:endParaRPr lang="en-US"/>
            </a:p>
          </c:txPr>
        </c:title>
        <c:numFmt formatCode="&quot;$&quot;#,##0.00" sourceLinked="1"/>
        <c:majorTickMark val="out"/>
        <c:minorTickMark val="none"/>
        <c:tickLblPos val="nextTo"/>
        <c:crossAx val="1510606559"/>
        <c:crosses val="autoZero"/>
        <c:crossBetween val="midCat"/>
      </c:valAx>
    </c:plotArea>
    <c:legend>
      <c:legendPos val="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'14an'!$E$12</c:f>
          <c:strCache>
            <c:ptCount val="1"/>
            <c:pt idx="0">
              <c:v>The Longer The Maturity, The More YTM Affects Bond Price</c:v>
            </c:pt>
          </c:strCache>
        </c:strRef>
      </c:tx>
      <c:overlay val="0"/>
      <c:txPr>
        <a:bodyPr/>
        <a:lstStyle/>
        <a:p>
          <a:pPr>
            <a:defRPr sz="1200" b="1" i="0" u="none" strike="noStrike" baseline="0">
              <a:solidFill>
                <a:srgbClr val="000000"/>
              </a:solidFill>
              <a:latin typeface="Calibri"/>
              <a:ea typeface="Calibri"/>
              <a:cs typeface="Calibri"/>
            </a:defRPr>
          </a:pPr>
          <a:endParaRPr lang="en-US"/>
        </a:p>
      </c:txPr>
    </c:title>
    <c:autoTitleDeleted val="0"/>
    <c:plotArea>
      <c:layout/>
      <c:lineChart>
        <c:grouping val="standard"/>
        <c:varyColors val="0"/>
        <c:ser>
          <c:idx val="0"/>
          <c:order val="0"/>
          <c:tx>
            <c:strRef>
              <c:f>'14an'!$B$8</c:f>
              <c:strCache>
                <c:ptCount val="1"/>
                <c:pt idx="0">
                  <c:v>years = 1</c:v>
                </c:pt>
              </c:strCache>
            </c:strRef>
          </c:tx>
          <c:marker>
            <c:symbol val="none"/>
          </c:marker>
          <c:dLbls>
            <c:spPr>
              <a:noFill/>
              <a:ln>
                <a:noFill/>
              </a:ln>
              <a:effectLst/>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'14an'!$A$9:$A$12</c:f>
              <c:numCache>
                <c:formatCode>0%</c:formatCode>
                <c:ptCount val="4"/>
                <c:pt idx="0">
                  <c:v>0.05</c:v>
                </c:pt>
                <c:pt idx="1">
                  <c:v>0.1</c:v>
                </c:pt>
                <c:pt idx="2">
                  <c:v>0.15000000000000002</c:v>
                </c:pt>
                <c:pt idx="3">
                  <c:v>0.2</c:v>
                </c:pt>
              </c:numCache>
            </c:numRef>
          </c:cat>
          <c:val>
            <c:numRef>
              <c:f>'14an'!$B$9:$B$12</c:f>
              <c:numCache>
                <c:formatCode>"$"#,##0.00_);[Red]\("$"#,##0.00\)</c:formatCode>
                <c:ptCount val="4"/>
                <c:pt idx="0">
                  <c:v>1047.6190476190475</c:v>
                </c:pt>
                <c:pt idx="1">
                  <c:v>999.99999999999989</c:v>
                </c:pt>
                <c:pt idx="2">
                  <c:v>956.52173913043487</c:v>
                </c:pt>
                <c:pt idx="3">
                  <c:v>916.66666666666674</c:v>
                </c:pt>
              </c:numCache>
            </c:numRef>
          </c:val>
          <c:smooth val="0"/>
          <c:extLst>
            <c:ext xmlns:c16="http://schemas.microsoft.com/office/drawing/2014/chart" uri="{C3380CC4-5D6E-409C-BE32-E72D297353CC}">
              <c16:uniqueId val="{00000000-36D6-46AD-A6C7-F6AFFB20A231}"/>
            </c:ext>
          </c:extLst>
        </c:ser>
        <c:ser>
          <c:idx val="1"/>
          <c:order val="1"/>
          <c:tx>
            <c:strRef>
              <c:f>'14an'!$C$8</c:f>
              <c:strCache>
                <c:ptCount val="1"/>
                <c:pt idx="0">
                  <c:v>years = 30</c:v>
                </c:pt>
              </c:strCache>
            </c:strRef>
          </c:tx>
          <c:marker>
            <c:symbol val="none"/>
          </c:marker>
          <c:dLbls>
            <c:spPr>
              <a:noFill/>
              <a:ln>
                <a:noFill/>
              </a:ln>
              <a:effectLst/>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'14an'!$A$9:$A$12</c:f>
              <c:numCache>
                <c:formatCode>0%</c:formatCode>
                <c:ptCount val="4"/>
                <c:pt idx="0">
                  <c:v>0.05</c:v>
                </c:pt>
                <c:pt idx="1">
                  <c:v>0.1</c:v>
                </c:pt>
                <c:pt idx="2">
                  <c:v>0.15000000000000002</c:v>
                </c:pt>
                <c:pt idx="3">
                  <c:v>0.2</c:v>
                </c:pt>
              </c:numCache>
            </c:numRef>
          </c:cat>
          <c:val>
            <c:numRef>
              <c:f>'14an'!$C$9:$C$12</c:f>
              <c:numCache>
                <c:formatCode>"$"#,##0.00_);[Red]\("$"#,##0.00\)</c:formatCode>
                <c:ptCount val="4"/>
                <c:pt idx="0">
                  <c:v>1768.6225513441418</c:v>
                </c:pt>
                <c:pt idx="1">
                  <c:v>1000.0000000000001</c:v>
                </c:pt>
                <c:pt idx="2">
                  <c:v>671.70101816462818</c:v>
                </c:pt>
                <c:pt idx="3">
                  <c:v>502.10636011654367</c:v>
                </c:pt>
              </c:numCache>
            </c:numRef>
          </c:val>
          <c:smooth val="0"/>
          <c:extLst>
            <c:ext xmlns:c16="http://schemas.microsoft.com/office/drawing/2014/chart" uri="{C3380CC4-5D6E-409C-BE32-E72D297353CC}">
              <c16:uniqueId val="{00000001-36D6-46AD-A6C7-F6AFFB20A231}"/>
            </c:ext>
          </c:extLst>
        </c:ser>
        <c:dLbls>
          <c:showLegendKey val="0"/>
          <c:showVal val="0"/>
          <c:showCatName val="0"/>
          <c:showSerName val="0"/>
          <c:showPercent val="0"/>
          <c:showBubbleSize val="0"/>
        </c:dLbls>
        <c:smooth val="0"/>
        <c:axId val="1510610879"/>
        <c:axId val="1"/>
      </c:lineChart>
      <c:catAx>
        <c:axId val="1510610879"/>
        <c:scaling>
          <c:orientation val="minMax"/>
        </c:scaling>
        <c:delete val="0"/>
        <c:axPos val="b"/>
        <c:title>
          <c:tx>
            <c:rich>
              <a:bodyPr/>
              <a:lstStyle/>
              <a:p>
                <a:pPr>
                  <a:defRPr sz="1000" b="1" i="0" u="none" strike="noStrike" baseline="0">
                    <a:solidFill>
                      <a:srgbClr val="000000"/>
                    </a:solidFill>
                    <a:latin typeface="Calibri"/>
                    <a:ea typeface="Calibri"/>
                    <a:cs typeface="Calibri"/>
                  </a:defRPr>
                </a:pPr>
                <a:r>
                  <a:rPr lang="en-US"/>
                  <a:t>YTM</a:t>
                </a:r>
              </a:p>
            </c:rich>
          </c:tx>
          <c:overlay val="0"/>
        </c:title>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Bond Value</a:t>
                </a:r>
              </a:p>
            </c:rich>
          </c:tx>
          <c:overlay val="0"/>
        </c:title>
        <c:numFmt formatCode="&quot;$&quot;#,##0.00_);[Red]\(&quot;$&quot;#,##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510610879"/>
        <c:crosses val="autoZero"/>
        <c:crossBetween val="between"/>
      </c:valAx>
    </c:plotArea>
    <c:legend>
      <c:legendPos val="r"/>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n-US"/>
              <a:t>The Lower The Coupon Rate, The More YTM Affects Bond Price</a:t>
            </a:r>
          </a:p>
        </c:rich>
      </c:tx>
      <c:layout>
        <c:manualLayout>
          <c:xMode val="edge"/>
          <c:yMode val="edge"/>
          <c:x val="0.1388286186448916"/>
          <c:y val="3.8194457131373656E-2"/>
        </c:manualLayout>
      </c:layout>
      <c:overlay val="0"/>
    </c:title>
    <c:autoTitleDeleted val="0"/>
    <c:plotArea>
      <c:layout/>
      <c:lineChart>
        <c:grouping val="standard"/>
        <c:varyColors val="0"/>
        <c:ser>
          <c:idx val="0"/>
          <c:order val="0"/>
          <c:tx>
            <c:strRef>
              <c:f>'14.5an'!$C$9</c:f>
              <c:strCache>
                <c:ptCount val="1"/>
                <c:pt idx="0">
                  <c:v>5.00% Coupon Rate</c:v>
                </c:pt>
              </c:strCache>
            </c:strRef>
          </c:tx>
          <c:marker>
            <c:symbol val="none"/>
          </c:marker>
          <c:cat>
            <c:numRef>
              <c:f>'14.5an'!$B$10:$B$13</c:f>
              <c:numCache>
                <c:formatCode>"$"#,##0.00_);[Red]\("$"#,##0.00\)</c:formatCode>
                <c:ptCount val="4"/>
                <c:pt idx="0">
                  <c:v>768.34795212445567</c:v>
                </c:pt>
                <c:pt idx="1">
                  <c:v>347.56007863895042</c:v>
                </c:pt>
                <c:pt idx="2">
                  <c:v>245.35502460086119</c:v>
                </c:pt>
                <c:pt idx="3">
                  <c:v>178.784247808</c:v>
                </c:pt>
              </c:numCache>
            </c:numRef>
          </c:cat>
          <c:val>
            <c:numRef>
              <c:f>'14.5an'!$C$10:$C$13</c:f>
              <c:numCache>
                <c:formatCode>"$"#,##0.00_);[Red]\("$"#,##0.00\)</c:formatCode>
                <c:ptCount val="4"/>
                <c:pt idx="0">
                  <c:v>1000</c:v>
                </c:pt>
                <c:pt idx="1">
                  <c:v>498.12313741457729</c:v>
                </c:pt>
                <c:pt idx="2">
                  <c:v>371.12918716738432</c:v>
                </c:pt>
                <c:pt idx="3">
                  <c:v>285.89934591999997</c:v>
                </c:pt>
              </c:numCache>
            </c:numRef>
          </c:val>
          <c:smooth val="0"/>
          <c:extLst>
            <c:ext xmlns:c16="http://schemas.microsoft.com/office/drawing/2014/chart" uri="{C3380CC4-5D6E-409C-BE32-E72D297353CC}">
              <c16:uniqueId val="{00000000-8CD4-4296-8F85-7E7A88242176}"/>
            </c:ext>
          </c:extLst>
        </c:ser>
        <c:ser>
          <c:idx val="1"/>
          <c:order val="1"/>
          <c:tx>
            <c:strRef>
              <c:f>'14.5an'!$B$9</c:f>
              <c:strCache>
                <c:ptCount val="1"/>
                <c:pt idx="0">
                  <c:v>2.00% Coupon Rate</c:v>
                </c:pt>
              </c:strCache>
            </c:strRef>
          </c:tx>
          <c:marker>
            <c:symbol val="none"/>
          </c:marker>
          <c:cat>
            <c:numRef>
              <c:f>'14.5an'!$B$10:$B$13</c:f>
              <c:numCache>
                <c:formatCode>"$"#,##0.00_);[Red]\("$"#,##0.00\)</c:formatCode>
                <c:ptCount val="4"/>
                <c:pt idx="0">
                  <c:v>768.34795212445567</c:v>
                </c:pt>
                <c:pt idx="1">
                  <c:v>347.56007863895042</c:v>
                </c:pt>
                <c:pt idx="2">
                  <c:v>245.35502460086119</c:v>
                </c:pt>
                <c:pt idx="3">
                  <c:v>178.784247808</c:v>
                </c:pt>
              </c:numCache>
            </c:numRef>
          </c:cat>
          <c:val>
            <c:numRef>
              <c:f>'14.5an'!$B$10:$B$13</c:f>
              <c:numCache>
                <c:formatCode>"$"#,##0.00_);[Red]\("$"#,##0.00\)</c:formatCode>
                <c:ptCount val="4"/>
                <c:pt idx="0">
                  <c:v>768.34795212445567</c:v>
                </c:pt>
                <c:pt idx="1">
                  <c:v>347.56007863895042</c:v>
                </c:pt>
                <c:pt idx="2">
                  <c:v>245.35502460086119</c:v>
                </c:pt>
                <c:pt idx="3">
                  <c:v>178.784247808</c:v>
                </c:pt>
              </c:numCache>
            </c:numRef>
          </c:val>
          <c:smooth val="0"/>
          <c:extLst>
            <c:ext xmlns:c16="http://schemas.microsoft.com/office/drawing/2014/chart" uri="{C3380CC4-5D6E-409C-BE32-E72D297353CC}">
              <c16:uniqueId val="{00000001-8CD4-4296-8F85-7E7A88242176}"/>
            </c:ext>
          </c:extLst>
        </c:ser>
        <c:dLbls>
          <c:showLegendKey val="0"/>
          <c:showVal val="0"/>
          <c:showCatName val="0"/>
          <c:showSerName val="0"/>
          <c:showPercent val="0"/>
          <c:showBubbleSize val="0"/>
        </c:dLbls>
        <c:smooth val="0"/>
        <c:axId val="1510606079"/>
        <c:axId val="1"/>
      </c:lineChart>
      <c:catAx>
        <c:axId val="1510606079"/>
        <c:scaling>
          <c:orientation val="minMax"/>
        </c:scaling>
        <c:delete val="0"/>
        <c:axPos val="b"/>
        <c:title>
          <c:tx>
            <c:rich>
              <a:bodyPr/>
              <a:lstStyle/>
              <a:p>
                <a:pPr>
                  <a:defRPr sz="1000" b="1" i="0" u="none" strike="noStrike" baseline="0">
                    <a:solidFill>
                      <a:srgbClr val="000000"/>
                    </a:solidFill>
                    <a:latin typeface="Calibri"/>
                    <a:ea typeface="Calibri"/>
                    <a:cs typeface="Calibri"/>
                  </a:defRPr>
                </a:pPr>
                <a:r>
                  <a:rPr lang="en-US"/>
                  <a:t>YTM</a:t>
                </a:r>
              </a:p>
            </c:rich>
          </c:tx>
          <c:overlay val="0"/>
        </c:title>
        <c:numFmt formatCode="&quot;$&quot;#,##0.00_);[Red]\(&quot;$&quot;#,##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Bond Price</a:t>
                </a:r>
              </a:p>
            </c:rich>
          </c:tx>
          <c:overlay val="0"/>
        </c:title>
        <c:numFmt formatCode="&quot;$&quot;#,##0.00_);[Red]\(&quot;$&quot;#,##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510606079"/>
        <c:crosses val="autoZero"/>
        <c:crossBetween val="between"/>
      </c:valAx>
    </c:plotArea>
    <c:legend>
      <c:legendPos val="r"/>
      <c:layout>
        <c:manualLayout>
          <c:xMode val="edge"/>
          <c:yMode val="edge"/>
          <c:wMode val="edge"/>
          <c:hMode val="edge"/>
          <c:x val="0.68050549236900937"/>
          <c:y val="0.54987424715762034"/>
          <c:w val="0.97757888597258669"/>
          <c:h val="0.70942324204834017"/>
        </c:manualLayout>
      </c:layout>
      <c:overlay val="0"/>
      <c:txPr>
        <a:bodyPr/>
        <a:lstStyle/>
        <a:p>
          <a:pPr>
            <a:defRPr sz="77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2</xdr:col>
      <xdr:colOff>99060</xdr:colOff>
      <xdr:row>13</xdr:row>
      <xdr:rowOff>22860</xdr:rowOff>
    </xdr:from>
    <xdr:to>
      <xdr:col>8</xdr:col>
      <xdr:colOff>289560</xdr:colOff>
      <xdr:row>27</xdr:row>
      <xdr:rowOff>175260</xdr:rowOff>
    </xdr:to>
    <xdr:graphicFrame macro="">
      <xdr:nvGraphicFramePr>
        <xdr:cNvPr id="126999" name="Chart 1">
          <a:extLst>
            <a:ext uri="{FF2B5EF4-FFF2-40B4-BE49-F238E27FC236}">
              <a16:creationId xmlns:a16="http://schemas.microsoft.com/office/drawing/2014/main" id="{FFB88215-0136-F8AD-A8A9-3E8EC19DCC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541020</xdr:colOff>
      <xdr:row>2</xdr:row>
      <xdr:rowOff>7620</xdr:rowOff>
    </xdr:from>
    <xdr:to>
      <xdr:col>0</xdr:col>
      <xdr:colOff>541020</xdr:colOff>
      <xdr:row>4</xdr:row>
      <xdr:rowOff>0</xdr:rowOff>
    </xdr:to>
    <xdr:sp macro="" textlink="">
      <xdr:nvSpPr>
        <xdr:cNvPr id="14832" name="Line 1">
          <a:extLst>
            <a:ext uri="{FF2B5EF4-FFF2-40B4-BE49-F238E27FC236}">
              <a16:creationId xmlns:a16="http://schemas.microsoft.com/office/drawing/2014/main" id="{10D5876A-92E6-2FD0-E034-D1D568EC4D7C}"/>
            </a:ext>
          </a:extLst>
        </xdr:cNvPr>
        <xdr:cNvSpPr>
          <a:spLocks noChangeShapeType="1"/>
        </xdr:cNvSpPr>
      </xdr:nvSpPr>
      <xdr:spPr bwMode="auto">
        <a:xfrm>
          <a:off x="541020" y="350520"/>
          <a:ext cx="0" cy="335280"/>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678180</xdr:colOff>
      <xdr:row>10</xdr:row>
      <xdr:rowOff>7620</xdr:rowOff>
    </xdr:from>
    <xdr:to>
      <xdr:col>6</xdr:col>
      <xdr:colOff>678180</xdr:colOff>
      <xdr:row>12</xdr:row>
      <xdr:rowOff>0</xdr:rowOff>
    </xdr:to>
    <xdr:sp macro="" textlink="">
      <xdr:nvSpPr>
        <xdr:cNvPr id="14833" name="Line 4">
          <a:extLst>
            <a:ext uri="{FF2B5EF4-FFF2-40B4-BE49-F238E27FC236}">
              <a16:creationId xmlns:a16="http://schemas.microsoft.com/office/drawing/2014/main" id="{882F2049-B0FF-3A8D-BFF0-06DEEB4308D7}"/>
            </a:ext>
          </a:extLst>
        </xdr:cNvPr>
        <xdr:cNvSpPr>
          <a:spLocks noChangeShapeType="1"/>
        </xdr:cNvSpPr>
      </xdr:nvSpPr>
      <xdr:spPr bwMode="auto">
        <a:xfrm>
          <a:off x="4549140" y="2240280"/>
          <a:ext cx="0" cy="335280"/>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685800</xdr:colOff>
      <xdr:row>10</xdr:row>
      <xdr:rowOff>22860</xdr:rowOff>
    </xdr:from>
    <xdr:to>
      <xdr:col>8</xdr:col>
      <xdr:colOff>685800</xdr:colOff>
      <xdr:row>12</xdr:row>
      <xdr:rowOff>15240</xdr:rowOff>
    </xdr:to>
    <xdr:sp macro="" textlink="">
      <xdr:nvSpPr>
        <xdr:cNvPr id="14834" name="Line 5">
          <a:extLst>
            <a:ext uri="{FF2B5EF4-FFF2-40B4-BE49-F238E27FC236}">
              <a16:creationId xmlns:a16="http://schemas.microsoft.com/office/drawing/2014/main" id="{E0997525-C4C2-2D0F-6678-083FFB67AC46}"/>
            </a:ext>
          </a:extLst>
        </xdr:cNvPr>
        <xdr:cNvSpPr>
          <a:spLocks noChangeShapeType="1"/>
        </xdr:cNvSpPr>
      </xdr:nvSpPr>
      <xdr:spPr bwMode="auto">
        <a:xfrm>
          <a:off x="5829300" y="2255520"/>
          <a:ext cx="0" cy="335280"/>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678180</xdr:colOff>
      <xdr:row>10</xdr:row>
      <xdr:rowOff>22860</xdr:rowOff>
    </xdr:from>
    <xdr:to>
      <xdr:col>10</xdr:col>
      <xdr:colOff>678180</xdr:colOff>
      <xdr:row>12</xdr:row>
      <xdr:rowOff>15240</xdr:rowOff>
    </xdr:to>
    <xdr:sp macro="" textlink="">
      <xdr:nvSpPr>
        <xdr:cNvPr id="14835" name="Line 6">
          <a:extLst>
            <a:ext uri="{FF2B5EF4-FFF2-40B4-BE49-F238E27FC236}">
              <a16:creationId xmlns:a16="http://schemas.microsoft.com/office/drawing/2014/main" id="{D6DDF231-AE9D-BB5C-3B9D-CC60EA573276}"/>
            </a:ext>
          </a:extLst>
        </xdr:cNvPr>
        <xdr:cNvSpPr>
          <a:spLocks noChangeShapeType="1"/>
        </xdr:cNvSpPr>
      </xdr:nvSpPr>
      <xdr:spPr bwMode="auto">
        <a:xfrm>
          <a:off x="7094220" y="2255520"/>
          <a:ext cx="0" cy="335280"/>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541020</xdr:colOff>
      <xdr:row>2</xdr:row>
      <xdr:rowOff>7620</xdr:rowOff>
    </xdr:from>
    <xdr:to>
      <xdr:col>2</xdr:col>
      <xdr:colOff>541020</xdr:colOff>
      <xdr:row>3</xdr:row>
      <xdr:rowOff>167640</xdr:rowOff>
    </xdr:to>
    <xdr:sp macro="" textlink="">
      <xdr:nvSpPr>
        <xdr:cNvPr id="14836" name="Line 1">
          <a:extLst>
            <a:ext uri="{FF2B5EF4-FFF2-40B4-BE49-F238E27FC236}">
              <a16:creationId xmlns:a16="http://schemas.microsoft.com/office/drawing/2014/main" id="{B2A77B67-AB1A-DEC4-2694-EAB805DA539A}"/>
            </a:ext>
          </a:extLst>
        </xdr:cNvPr>
        <xdr:cNvSpPr>
          <a:spLocks noChangeShapeType="1"/>
        </xdr:cNvSpPr>
      </xdr:nvSpPr>
      <xdr:spPr bwMode="auto">
        <a:xfrm>
          <a:off x="1684020" y="350520"/>
          <a:ext cx="0" cy="335280"/>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510540</xdr:colOff>
      <xdr:row>2</xdr:row>
      <xdr:rowOff>0</xdr:rowOff>
    </xdr:from>
    <xdr:to>
      <xdr:col>4</xdr:col>
      <xdr:colOff>510540</xdr:colOff>
      <xdr:row>3</xdr:row>
      <xdr:rowOff>160020</xdr:rowOff>
    </xdr:to>
    <xdr:sp macro="" textlink="">
      <xdr:nvSpPr>
        <xdr:cNvPr id="14837" name="Line 1">
          <a:extLst>
            <a:ext uri="{FF2B5EF4-FFF2-40B4-BE49-F238E27FC236}">
              <a16:creationId xmlns:a16="http://schemas.microsoft.com/office/drawing/2014/main" id="{ECF30A42-C3C5-A8A3-237E-D01E22962965}"/>
            </a:ext>
          </a:extLst>
        </xdr:cNvPr>
        <xdr:cNvSpPr>
          <a:spLocks noChangeShapeType="1"/>
        </xdr:cNvSpPr>
      </xdr:nvSpPr>
      <xdr:spPr bwMode="auto">
        <a:xfrm>
          <a:off x="2796540" y="342900"/>
          <a:ext cx="0" cy="335280"/>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541020</xdr:colOff>
      <xdr:row>6</xdr:row>
      <xdr:rowOff>7620</xdr:rowOff>
    </xdr:from>
    <xdr:to>
      <xdr:col>0</xdr:col>
      <xdr:colOff>541020</xdr:colOff>
      <xdr:row>8</xdr:row>
      <xdr:rowOff>0</xdr:rowOff>
    </xdr:to>
    <xdr:sp macro="" textlink="">
      <xdr:nvSpPr>
        <xdr:cNvPr id="14838" name="Line 1">
          <a:extLst>
            <a:ext uri="{FF2B5EF4-FFF2-40B4-BE49-F238E27FC236}">
              <a16:creationId xmlns:a16="http://schemas.microsoft.com/office/drawing/2014/main" id="{B49A1ED1-32F5-4EAF-090F-27EA0EAEEB44}"/>
            </a:ext>
          </a:extLst>
        </xdr:cNvPr>
        <xdr:cNvSpPr>
          <a:spLocks noChangeShapeType="1"/>
        </xdr:cNvSpPr>
      </xdr:nvSpPr>
      <xdr:spPr bwMode="auto">
        <a:xfrm>
          <a:off x="541020" y="1036320"/>
          <a:ext cx="0" cy="335280"/>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541020</xdr:colOff>
      <xdr:row>6</xdr:row>
      <xdr:rowOff>7620</xdr:rowOff>
    </xdr:from>
    <xdr:to>
      <xdr:col>2</xdr:col>
      <xdr:colOff>541020</xdr:colOff>
      <xdr:row>7</xdr:row>
      <xdr:rowOff>167640</xdr:rowOff>
    </xdr:to>
    <xdr:sp macro="" textlink="">
      <xdr:nvSpPr>
        <xdr:cNvPr id="14839" name="Line 1">
          <a:extLst>
            <a:ext uri="{FF2B5EF4-FFF2-40B4-BE49-F238E27FC236}">
              <a16:creationId xmlns:a16="http://schemas.microsoft.com/office/drawing/2014/main" id="{8E34063C-23E7-482F-C104-29D7453394D6}"/>
            </a:ext>
          </a:extLst>
        </xdr:cNvPr>
        <xdr:cNvSpPr>
          <a:spLocks noChangeShapeType="1"/>
        </xdr:cNvSpPr>
      </xdr:nvSpPr>
      <xdr:spPr bwMode="auto">
        <a:xfrm>
          <a:off x="1684020" y="1036320"/>
          <a:ext cx="0" cy="335280"/>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510540</xdr:colOff>
      <xdr:row>6</xdr:row>
      <xdr:rowOff>0</xdr:rowOff>
    </xdr:from>
    <xdr:to>
      <xdr:col>4</xdr:col>
      <xdr:colOff>510540</xdr:colOff>
      <xdr:row>7</xdr:row>
      <xdr:rowOff>160020</xdr:rowOff>
    </xdr:to>
    <xdr:sp macro="" textlink="">
      <xdr:nvSpPr>
        <xdr:cNvPr id="14840" name="Line 1">
          <a:extLst>
            <a:ext uri="{FF2B5EF4-FFF2-40B4-BE49-F238E27FC236}">
              <a16:creationId xmlns:a16="http://schemas.microsoft.com/office/drawing/2014/main" id="{48A1EA7D-9B49-7B04-6D78-7666940590B8}"/>
            </a:ext>
          </a:extLst>
        </xdr:cNvPr>
        <xdr:cNvSpPr>
          <a:spLocks noChangeShapeType="1"/>
        </xdr:cNvSpPr>
      </xdr:nvSpPr>
      <xdr:spPr bwMode="auto">
        <a:xfrm>
          <a:off x="2796540" y="1028700"/>
          <a:ext cx="0" cy="335280"/>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259080</xdr:colOff>
      <xdr:row>12</xdr:row>
      <xdr:rowOff>167640</xdr:rowOff>
    </xdr:from>
    <xdr:to>
      <xdr:col>11</xdr:col>
      <xdr:colOff>45720</xdr:colOff>
      <xdr:row>27</xdr:row>
      <xdr:rowOff>167640</xdr:rowOff>
    </xdr:to>
    <xdr:graphicFrame macro="">
      <xdr:nvGraphicFramePr>
        <xdr:cNvPr id="32819" name="Chart 1">
          <a:extLst>
            <a:ext uri="{FF2B5EF4-FFF2-40B4-BE49-F238E27FC236}">
              <a16:creationId xmlns:a16="http://schemas.microsoft.com/office/drawing/2014/main" id="{D752830E-1444-A7A0-6D11-18F9FC3E78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2</xdr:row>
      <xdr:rowOff>167640</xdr:rowOff>
    </xdr:from>
    <xdr:to>
      <xdr:col>12</xdr:col>
      <xdr:colOff>160020</xdr:colOff>
      <xdr:row>20</xdr:row>
      <xdr:rowOff>106680</xdr:rowOff>
    </xdr:to>
    <xdr:graphicFrame macro="">
      <xdr:nvGraphicFramePr>
        <xdr:cNvPr id="18487" name="Chart 1">
          <a:extLst>
            <a:ext uri="{FF2B5EF4-FFF2-40B4-BE49-F238E27FC236}">
              <a16:creationId xmlns:a16="http://schemas.microsoft.com/office/drawing/2014/main" id="{EBC3A581-8726-8C2A-2DA8-28C849D8DA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F0026-0F50-433A-8B06-5BE9B2DAB619}">
  <sheetPr>
    <tabColor rgb="FF0000FF"/>
  </sheetPr>
  <dimension ref="A1:G22"/>
  <sheetViews>
    <sheetView tabSelected="1" zoomScale="135" zoomScaleNormal="135" workbookViewId="0">
      <selection activeCell="C3" sqref="C3"/>
    </sheetView>
  </sheetViews>
  <sheetFormatPr defaultRowHeight="14.4" x14ac:dyDescent="0.3"/>
  <cols>
    <col min="1" max="1" width="2" bestFit="1" customWidth="1"/>
    <col min="2" max="2" width="42.33203125" bestFit="1" customWidth="1"/>
    <col min="3" max="3" width="12.33203125" customWidth="1"/>
    <col min="4" max="4" width="3.5546875" customWidth="1"/>
    <col min="5" max="5" width="17.5546875" bestFit="1" customWidth="1"/>
    <col min="6" max="6" width="21.33203125" bestFit="1" customWidth="1"/>
    <col min="7" max="7" width="12.88671875" customWidth="1"/>
  </cols>
  <sheetData>
    <row r="1" spans="1:7" x14ac:dyDescent="0.3">
      <c r="B1" s="52" t="s">
        <v>90</v>
      </c>
      <c r="C1" s="53">
        <v>3.39</v>
      </c>
      <c r="D1" s="46"/>
      <c r="G1" s="46"/>
    </row>
    <row r="2" spans="1:7" x14ac:dyDescent="0.3">
      <c r="B2" s="52" t="s">
        <v>97</v>
      </c>
      <c r="C2" s="45">
        <v>100</v>
      </c>
      <c r="D2" s="46"/>
      <c r="G2" s="46"/>
    </row>
    <row r="3" spans="1:7" x14ac:dyDescent="0.3">
      <c r="B3" s="52" t="s">
        <v>98</v>
      </c>
      <c r="C3" s="54"/>
      <c r="D3" s="46"/>
      <c r="G3" s="46"/>
    </row>
    <row r="4" spans="1:7" x14ac:dyDescent="0.3">
      <c r="B4" s="46"/>
      <c r="C4" s="47"/>
      <c r="D4" s="46"/>
      <c r="G4" s="46"/>
    </row>
    <row r="5" spans="1:7" x14ac:dyDescent="0.3">
      <c r="B5" s="52" t="s">
        <v>92</v>
      </c>
      <c r="C5" s="53">
        <f>C1*C2</f>
        <v>339</v>
      </c>
      <c r="D5" s="46"/>
      <c r="E5" s="46"/>
      <c r="F5" s="46"/>
      <c r="G5" s="46"/>
    </row>
    <row r="6" spans="1:7" x14ac:dyDescent="0.3">
      <c r="B6" s="52" t="s">
        <v>93</v>
      </c>
      <c r="C6" s="48">
        <v>0.1</v>
      </c>
      <c r="D6" s="46"/>
      <c r="E6" s="46" t="s">
        <v>99</v>
      </c>
      <c r="F6" s="46"/>
      <c r="G6" s="46"/>
    </row>
    <row r="7" spans="1:7" x14ac:dyDescent="0.3">
      <c r="B7" s="52" t="s">
        <v>94</v>
      </c>
      <c r="C7" s="54"/>
      <c r="D7" s="46"/>
      <c r="E7" s="46"/>
      <c r="F7" s="46"/>
      <c r="G7" s="46"/>
    </row>
    <row r="8" spans="1:7" x14ac:dyDescent="0.3">
      <c r="B8" s="46"/>
      <c r="C8" s="47"/>
      <c r="D8" s="46"/>
      <c r="E8" s="46"/>
      <c r="F8" s="46"/>
      <c r="G8" s="46"/>
    </row>
    <row r="9" spans="1:7" x14ac:dyDescent="0.3">
      <c r="B9" s="52" t="s">
        <v>95</v>
      </c>
      <c r="C9" s="53">
        <v>3.56</v>
      </c>
      <c r="D9" s="46"/>
      <c r="E9" s="46"/>
      <c r="F9" s="46"/>
      <c r="G9" s="46"/>
    </row>
    <row r="10" spans="1:7" x14ac:dyDescent="0.3">
      <c r="B10" s="52" t="str">
        <f>"Milk Inflation = "&amp;C9&amp;"/"&amp;C1&amp;" -1 = h"</f>
        <v>Milk Inflation = 3.56/3.39 -1 = h</v>
      </c>
      <c r="C10" s="49"/>
      <c r="D10" s="46"/>
      <c r="E10" s="46" t="s">
        <v>100</v>
      </c>
      <c r="F10" s="46"/>
      <c r="G10" s="46"/>
    </row>
    <row r="11" spans="1:7" x14ac:dyDescent="0.3">
      <c r="B11" s="52" t="str">
        <f>"Can you buy "&amp;TEXT($C$6,"0.00%")&amp;" more (Number of cartons)?"</f>
        <v>Can you buy 10.00% more (Number of cartons)?</v>
      </c>
      <c r="C11" s="55">
        <f>(1+C6)*C2</f>
        <v>110.00000000000001</v>
      </c>
      <c r="F11" s="46"/>
      <c r="G11" s="46"/>
    </row>
    <row r="12" spans="1:7" x14ac:dyDescent="0.3">
      <c r="B12" s="52" t="str">
        <f>"How many can you buy today = "&amp;DOLLAR(C5*(1+C6),2)&amp;"/"&amp;C9&amp;" ="</f>
        <v>How many can you buy today = $372.90/3.56 =</v>
      </c>
      <c r="C12" s="56"/>
      <c r="D12" s="46"/>
      <c r="F12" s="46"/>
      <c r="G12" s="46"/>
    </row>
    <row r="13" spans="1:7" x14ac:dyDescent="0.3">
      <c r="A13" s="63">
        <v>1</v>
      </c>
      <c r="B13" s="52" t="s">
        <v>102</v>
      </c>
      <c r="C13" s="106"/>
      <c r="D13" s="46"/>
      <c r="E13" s="46"/>
      <c r="F13" s="46"/>
      <c r="G13" s="46"/>
    </row>
    <row r="14" spans="1:7" x14ac:dyDescent="0.3">
      <c r="D14" s="46"/>
      <c r="E14" s="46"/>
      <c r="F14" s="46"/>
      <c r="G14" s="46"/>
    </row>
    <row r="15" spans="1:7" x14ac:dyDescent="0.3">
      <c r="A15" s="63">
        <v>2</v>
      </c>
      <c r="B15" s="52" t="s">
        <v>55</v>
      </c>
      <c r="C15" s="50"/>
      <c r="D15" s="46"/>
      <c r="E15" s="45" t="s">
        <v>91</v>
      </c>
      <c r="F15" t="s">
        <v>101</v>
      </c>
    </row>
    <row r="16" spans="1:7" ht="27" x14ac:dyDescent="0.3">
      <c r="B16" s="57" t="s">
        <v>96</v>
      </c>
      <c r="F16" s="46"/>
      <c r="G16" s="46"/>
    </row>
    <row r="17" spans="2:7" x14ac:dyDescent="0.3">
      <c r="D17" s="46"/>
      <c r="E17" s="58"/>
      <c r="F17" s="46"/>
      <c r="G17" s="46"/>
    </row>
    <row r="18" spans="2:7" x14ac:dyDescent="0.3">
      <c r="B18" s="46"/>
      <c r="C18" s="46"/>
      <c r="D18" s="46"/>
      <c r="E18" s="46"/>
    </row>
    <row r="19" spans="2:7" x14ac:dyDescent="0.3">
      <c r="B19" s="46"/>
      <c r="C19" s="46"/>
      <c r="D19" s="46"/>
      <c r="E19" s="59"/>
      <c r="F19" s="46"/>
      <c r="G19" s="46"/>
    </row>
    <row r="20" spans="2:7" x14ac:dyDescent="0.3">
      <c r="D20" s="51"/>
      <c r="E20" s="51"/>
      <c r="F20" s="51"/>
      <c r="G20" s="51"/>
    </row>
    <row r="21" spans="2:7" x14ac:dyDescent="0.3">
      <c r="B21" s="46"/>
      <c r="C21" s="46"/>
    </row>
    <row r="22" spans="2:7" x14ac:dyDescent="0.3">
      <c r="B22" s="46"/>
      <c r="C22" s="46"/>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FEEA6-B0EA-422C-9F64-56347A5EB120}">
  <sheetPr>
    <tabColor rgb="FFFF0000"/>
  </sheetPr>
  <dimension ref="A1:B13"/>
  <sheetViews>
    <sheetView zoomScale="145" zoomScaleNormal="145" workbookViewId="0">
      <selection activeCell="B5" sqref="B5"/>
    </sheetView>
  </sheetViews>
  <sheetFormatPr defaultRowHeight="14.4" x14ac:dyDescent="0.3"/>
  <cols>
    <col min="1" max="1" width="28.88671875" bestFit="1" customWidth="1"/>
    <col min="2" max="2" width="12.6640625" bestFit="1" customWidth="1"/>
    <col min="3" max="3" width="1.88671875" customWidth="1"/>
  </cols>
  <sheetData>
    <row r="1" spans="1:2" x14ac:dyDescent="0.3">
      <c r="A1" t="s">
        <v>173</v>
      </c>
    </row>
    <row r="3" spans="1:2" x14ac:dyDescent="0.3">
      <c r="A3" s="1" t="s">
        <v>125</v>
      </c>
      <c r="B3" s="1">
        <v>1</v>
      </c>
    </row>
    <row r="4" spans="1:2" x14ac:dyDescent="0.3">
      <c r="A4" s="1" t="s">
        <v>60</v>
      </c>
      <c r="B4" s="1">
        <v>2</v>
      </c>
    </row>
    <row r="5" spans="1:2" x14ac:dyDescent="0.3">
      <c r="A5" s="1" t="s">
        <v>128</v>
      </c>
      <c r="B5" s="6">
        <f>B4*B3</f>
        <v>2</v>
      </c>
    </row>
    <row r="6" spans="1:2" x14ac:dyDescent="0.3">
      <c r="A6" s="1" t="s">
        <v>174</v>
      </c>
      <c r="B6" s="1">
        <v>1000</v>
      </c>
    </row>
    <row r="7" spans="1:2" x14ac:dyDescent="0.3">
      <c r="A7" s="1" t="s">
        <v>59</v>
      </c>
      <c r="B7" s="70">
        <v>0.1</v>
      </c>
    </row>
    <row r="8" spans="1:2" x14ac:dyDescent="0.3">
      <c r="A8" s="1" t="s">
        <v>175</v>
      </c>
      <c r="B8" s="6">
        <f>B7/B4*B6</f>
        <v>50</v>
      </c>
    </row>
    <row r="9" spans="1:2" x14ac:dyDescent="0.3">
      <c r="A9" s="1" t="s">
        <v>129</v>
      </c>
      <c r="B9" s="1">
        <v>1.00936</v>
      </c>
    </row>
    <row r="10" spans="1:2" x14ac:dyDescent="0.3">
      <c r="A10" s="1" t="s">
        <v>176</v>
      </c>
      <c r="B10" s="6">
        <f>-B6*B9</f>
        <v>-1009.36</v>
      </c>
    </row>
    <row r="11" spans="1:2" x14ac:dyDescent="0.3">
      <c r="A11" s="1" t="s">
        <v>114</v>
      </c>
      <c r="B11" s="30">
        <f>RATE(B5,B8,B10,B6)</f>
        <v>4.5001770277933791E-2</v>
      </c>
    </row>
    <row r="12" spans="1:2" x14ac:dyDescent="0.3">
      <c r="A12" s="1" t="s">
        <v>113</v>
      </c>
      <c r="B12" s="6">
        <f>B11*B4</f>
        <v>9.0003540555867581E-2</v>
      </c>
    </row>
    <row r="13" spans="1:2" x14ac:dyDescent="0.3">
      <c r="A13" s="1" t="s">
        <v>177</v>
      </c>
      <c r="B13" s="6">
        <f>EFFECT(B12,B4)</f>
        <v>9.2028699884015408E-2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3B99F-0A4E-4841-978E-0DED7749B4DF}">
  <sheetPr>
    <tabColor rgb="FF0000FF"/>
  </sheetPr>
  <dimension ref="A1:D141"/>
  <sheetViews>
    <sheetView zoomScale="115" zoomScaleNormal="115" workbookViewId="0">
      <selection activeCell="B11" sqref="B11"/>
    </sheetView>
  </sheetViews>
  <sheetFormatPr defaultRowHeight="14.4" x14ac:dyDescent="0.3"/>
  <cols>
    <col min="1" max="1" width="26.5546875" bestFit="1" customWidth="1"/>
    <col min="2" max="2" width="11.5546875" style="112" bestFit="1" customWidth="1"/>
    <col min="4" max="4" width="19.44140625" customWidth="1"/>
  </cols>
  <sheetData>
    <row r="1" spans="1:4" ht="46.8" x14ac:dyDescent="0.45">
      <c r="A1" s="84" t="s">
        <v>142</v>
      </c>
      <c r="B1" s="84"/>
    </row>
    <row r="2" spans="1:4" x14ac:dyDescent="0.3">
      <c r="A2" s="1" t="s">
        <v>0</v>
      </c>
      <c r="B2" s="85" t="s">
        <v>143</v>
      </c>
    </row>
    <row r="3" spans="1:4" x14ac:dyDescent="0.3">
      <c r="A3" s="1" t="s">
        <v>144</v>
      </c>
      <c r="B3" s="86">
        <v>1000</v>
      </c>
    </row>
    <row r="4" spans="1:4" x14ac:dyDescent="0.3">
      <c r="A4" s="1" t="s">
        <v>145</v>
      </c>
      <c r="B4" s="1">
        <v>30</v>
      </c>
    </row>
    <row r="5" spans="1:4" x14ac:dyDescent="0.3">
      <c r="A5" s="1" t="s">
        <v>27</v>
      </c>
      <c r="B5" s="1">
        <v>2</v>
      </c>
    </row>
    <row r="6" spans="1:4" x14ac:dyDescent="0.3">
      <c r="A6" s="87" t="s">
        <v>146</v>
      </c>
      <c r="B6" s="88">
        <v>0.06</v>
      </c>
      <c r="C6" s="89"/>
      <c r="D6" s="90"/>
    </row>
    <row r="7" spans="1:4" x14ac:dyDescent="0.3">
      <c r="A7" s="1" t="s">
        <v>147</v>
      </c>
      <c r="B7" s="15">
        <f>B6/B5</f>
        <v>0.03</v>
      </c>
      <c r="D7" s="91"/>
    </row>
    <row r="8" spans="1:4" x14ac:dyDescent="0.3">
      <c r="A8" s="1" t="s">
        <v>148</v>
      </c>
      <c r="B8" s="92">
        <f>B3*B7</f>
        <v>30</v>
      </c>
      <c r="D8" s="91"/>
    </row>
    <row r="9" spans="1:4" x14ac:dyDescent="0.3">
      <c r="A9" s="1" t="s">
        <v>149</v>
      </c>
      <c r="B9" s="8">
        <f>B4*B5</f>
        <v>60</v>
      </c>
      <c r="D9" s="91"/>
    </row>
    <row r="10" spans="1:4" x14ac:dyDescent="0.3">
      <c r="A10" s="1" t="s">
        <v>12</v>
      </c>
      <c r="B10" s="15">
        <f>B11/B5</f>
        <v>0.03</v>
      </c>
      <c r="D10" s="91"/>
    </row>
    <row r="11" spans="1:4" x14ac:dyDescent="0.3">
      <c r="A11" s="93" t="s">
        <v>45</v>
      </c>
      <c r="B11" s="94">
        <v>0.06</v>
      </c>
      <c r="C11" s="89" t="str">
        <f>IF(B3=B12,"YTM = Coupon Rate",IF(B12&gt;B3,"YTM &lt; Coupon Rate","YTM &gt; Coupon Rate"))</f>
        <v>YTM = Coupon Rate</v>
      </c>
      <c r="D11" s="95"/>
    </row>
    <row r="12" spans="1:4" x14ac:dyDescent="0.3">
      <c r="A12" s="93" t="s">
        <v>150</v>
      </c>
      <c r="B12" s="96">
        <f>PV(B10,B9,-B8,-B3,0)</f>
        <v>1000.0000000000001</v>
      </c>
      <c r="C12" s="99" t="str">
        <f>IF(B11=B6,"Par",IF(B11&gt;B6,"Discount","Premium"))</f>
        <v>Par</v>
      </c>
    </row>
    <row r="13" spans="1:4" x14ac:dyDescent="0.3">
      <c r="B13"/>
    </row>
    <row r="14" spans="1:4" x14ac:dyDescent="0.3">
      <c r="B14"/>
    </row>
    <row r="15" spans="1:4" x14ac:dyDescent="0.3">
      <c r="B15"/>
    </row>
    <row r="16" spans="1:4" x14ac:dyDescent="0.3">
      <c r="B16"/>
    </row>
    <row r="17" spans="2:2" x14ac:dyDescent="0.3">
      <c r="B17"/>
    </row>
    <row r="18" spans="2:2" x14ac:dyDescent="0.3">
      <c r="B18"/>
    </row>
    <row r="19" spans="2:2" x14ac:dyDescent="0.3">
      <c r="B19"/>
    </row>
    <row r="20" spans="2:2" x14ac:dyDescent="0.3">
      <c r="B20"/>
    </row>
    <row r="21" spans="2:2" x14ac:dyDescent="0.3">
      <c r="B21"/>
    </row>
    <row r="22" spans="2:2" x14ac:dyDescent="0.3">
      <c r="B22"/>
    </row>
    <row r="23" spans="2:2" x14ac:dyDescent="0.3">
      <c r="B23"/>
    </row>
    <row r="24" spans="2:2" x14ac:dyDescent="0.3">
      <c r="B24"/>
    </row>
    <row r="25" spans="2:2" x14ac:dyDescent="0.3">
      <c r="B25"/>
    </row>
    <row r="26" spans="2:2" x14ac:dyDescent="0.3">
      <c r="B26"/>
    </row>
    <row r="27" spans="2:2" x14ac:dyDescent="0.3">
      <c r="B27"/>
    </row>
    <row r="28" spans="2:2" x14ac:dyDescent="0.3">
      <c r="B28"/>
    </row>
    <row r="29" spans="2:2" x14ac:dyDescent="0.3">
      <c r="B29"/>
    </row>
    <row r="30" spans="2:2" x14ac:dyDescent="0.3">
      <c r="B30"/>
    </row>
    <row r="31" spans="2:2" x14ac:dyDescent="0.3">
      <c r="B31"/>
    </row>
    <row r="32" spans="2:2" x14ac:dyDescent="0.3">
      <c r="B32"/>
    </row>
    <row r="33" spans="2:2" x14ac:dyDescent="0.3">
      <c r="B33"/>
    </row>
    <row r="34" spans="2:2" x14ac:dyDescent="0.3">
      <c r="B34"/>
    </row>
    <row r="35" spans="2:2" x14ac:dyDescent="0.3">
      <c r="B35"/>
    </row>
    <row r="36" spans="2:2" x14ac:dyDescent="0.3">
      <c r="B36"/>
    </row>
    <row r="37" spans="2:2" x14ac:dyDescent="0.3">
      <c r="B37"/>
    </row>
    <row r="38" spans="2:2" x14ac:dyDescent="0.3">
      <c r="B38"/>
    </row>
    <row r="39" spans="2:2" x14ac:dyDescent="0.3">
      <c r="B39"/>
    </row>
    <row r="40" spans="2:2" x14ac:dyDescent="0.3">
      <c r="B40"/>
    </row>
    <row r="41" spans="2:2" x14ac:dyDescent="0.3">
      <c r="B41"/>
    </row>
    <row r="42" spans="2:2" x14ac:dyDescent="0.3">
      <c r="B42"/>
    </row>
    <row r="43" spans="2:2" x14ac:dyDescent="0.3">
      <c r="B43"/>
    </row>
    <row r="44" spans="2:2" x14ac:dyDescent="0.3">
      <c r="B44"/>
    </row>
    <row r="45" spans="2:2" x14ac:dyDescent="0.3">
      <c r="B45"/>
    </row>
    <row r="46" spans="2:2" x14ac:dyDescent="0.3">
      <c r="B46"/>
    </row>
    <row r="47" spans="2:2" x14ac:dyDescent="0.3">
      <c r="B47"/>
    </row>
    <row r="48" spans="2:2" x14ac:dyDescent="0.3">
      <c r="B48"/>
    </row>
    <row r="49" spans="2:2" x14ac:dyDescent="0.3">
      <c r="B49"/>
    </row>
    <row r="50" spans="2:2" x14ac:dyDescent="0.3">
      <c r="B50"/>
    </row>
    <row r="51" spans="2:2" x14ac:dyDescent="0.3">
      <c r="B51"/>
    </row>
    <row r="52" spans="2:2" x14ac:dyDescent="0.3">
      <c r="B52"/>
    </row>
    <row r="53" spans="2:2" x14ac:dyDescent="0.3">
      <c r="B53"/>
    </row>
    <row r="54" spans="2:2" x14ac:dyDescent="0.3">
      <c r="B54"/>
    </row>
    <row r="55" spans="2:2" x14ac:dyDescent="0.3">
      <c r="B55"/>
    </row>
    <row r="56" spans="2:2" x14ac:dyDescent="0.3">
      <c r="B56"/>
    </row>
    <row r="57" spans="2:2" x14ac:dyDescent="0.3">
      <c r="B57"/>
    </row>
    <row r="58" spans="2:2" x14ac:dyDescent="0.3">
      <c r="B58"/>
    </row>
    <row r="59" spans="2:2" x14ac:dyDescent="0.3">
      <c r="B59"/>
    </row>
    <row r="60" spans="2:2" x14ac:dyDescent="0.3">
      <c r="B60"/>
    </row>
    <row r="61" spans="2:2" x14ac:dyDescent="0.3">
      <c r="B61"/>
    </row>
    <row r="62" spans="2:2" x14ac:dyDescent="0.3">
      <c r="B62"/>
    </row>
    <row r="63" spans="2:2" x14ac:dyDescent="0.3">
      <c r="B63"/>
    </row>
    <row r="64" spans="2:2" x14ac:dyDescent="0.3">
      <c r="B64"/>
    </row>
    <row r="65" spans="2:2" x14ac:dyDescent="0.3">
      <c r="B65"/>
    </row>
    <row r="66" spans="2:2" x14ac:dyDescent="0.3">
      <c r="B66"/>
    </row>
    <row r="67" spans="2:2" x14ac:dyDescent="0.3">
      <c r="B67"/>
    </row>
    <row r="68" spans="2:2" x14ac:dyDescent="0.3">
      <c r="B68"/>
    </row>
    <row r="69" spans="2:2" x14ac:dyDescent="0.3">
      <c r="B69"/>
    </row>
    <row r="70" spans="2:2" x14ac:dyDescent="0.3">
      <c r="B70"/>
    </row>
    <row r="71" spans="2:2" x14ac:dyDescent="0.3">
      <c r="B71"/>
    </row>
    <row r="72" spans="2:2" x14ac:dyDescent="0.3">
      <c r="B72"/>
    </row>
    <row r="73" spans="2:2" x14ac:dyDescent="0.3">
      <c r="B73"/>
    </row>
    <row r="74" spans="2:2" x14ac:dyDescent="0.3">
      <c r="B74"/>
    </row>
    <row r="75" spans="2:2" x14ac:dyDescent="0.3">
      <c r="B75"/>
    </row>
    <row r="76" spans="2:2" x14ac:dyDescent="0.3">
      <c r="B76"/>
    </row>
    <row r="77" spans="2:2" x14ac:dyDescent="0.3">
      <c r="B77"/>
    </row>
    <row r="78" spans="2:2" x14ac:dyDescent="0.3">
      <c r="B78"/>
    </row>
    <row r="79" spans="2:2" x14ac:dyDescent="0.3">
      <c r="B79"/>
    </row>
    <row r="80" spans="2:2" x14ac:dyDescent="0.3">
      <c r="B80"/>
    </row>
    <row r="81" spans="2:2" x14ac:dyDescent="0.3">
      <c r="B81"/>
    </row>
    <row r="82" spans="2:2" x14ac:dyDescent="0.3">
      <c r="B82"/>
    </row>
    <row r="83" spans="2:2" x14ac:dyDescent="0.3">
      <c r="B83"/>
    </row>
    <row r="84" spans="2:2" x14ac:dyDescent="0.3">
      <c r="B84"/>
    </row>
    <row r="85" spans="2:2" x14ac:dyDescent="0.3">
      <c r="B85"/>
    </row>
    <row r="86" spans="2:2" x14ac:dyDescent="0.3">
      <c r="B86"/>
    </row>
    <row r="87" spans="2:2" x14ac:dyDescent="0.3">
      <c r="B87"/>
    </row>
    <row r="88" spans="2:2" x14ac:dyDescent="0.3">
      <c r="B88"/>
    </row>
    <row r="89" spans="2:2" x14ac:dyDescent="0.3">
      <c r="B89"/>
    </row>
    <row r="90" spans="2:2" x14ac:dyDescent="0.3">
      <c r="B90"/>
    </row>
    <row r="91" spans="2:2" x14ac:dyDescent="0.3">
      <c r="B91"/>
    </row>
    <row r="92" spans="2:2" x14ac:dyDescent="0.3">
      <c r="B92"/>
    </row>
    <row r="93" spans="2:2" x14ac:dyDescent="0.3">
      <c r="B93"/>
    </row>
    <row r="94" spans="2:2" x14ac:dyDescent="0.3">
      <c r="B94"/>
    </row>
    <row r="95" spans="2:2" x14ac:dyDescent="0.3">
      <c r="B95"/>
    </row>
    <row r="96" spans="2:2" x14ac:dyDescent="0.3">
      <c r="B96"/>
    </row>
    <row r="97" spans="2:2" x14ac:dyDescent="0.3">
      <c r="B97"/>
    </row>
    <row r="98" spans="2:2" x14ac:dyDescent="0.3">
      <c r="B98"/>
    </row>
    <row r="99" spans="2:2" x14ac:dyDescent="0.3">
      <c r="B99"/>
    </row>
    <row r="100" spans="2:2" x14ac:dyDescent="0.3">
      <c r="B100"/>
    </row>
    <row r="101" spans="2:2" x14ac:dyDescent="0.3">
      <c r="B101"/>
    </row>
    <row r="102" spans="2:2" x14ac:dyDescent="0.3">
      <c r="B102"/>
    </row>
    <row r="103" spans="2:2" x14ac:dyDescent="0.3">
      <c r="B103"/>
    </row>
    <row r="104" spans="2:2" x14ac:dyDescent="0.3">
      <c r="B104"/>
    </row>
    <row r="105" spans="2:2" x14ac:dyDescent="0.3">
      <c r="B105"/>
    </row>
    <row r="106" spans="2:2" x14ac:dyDescent="0.3">
      <c r="B106"/>
    </row>
    <row r="107" spans="2:2" x14ac:dyDescent="0.3">
      <c r="B107"/>
    </row>
    <row r="108" spans="2:2" x14ac:dyDescent="0.3">
      <c r="B108"/>
    </row>
    <row r="109" spans="2:2" x14ac:dyDescent="0.3">
      <c r="B109"/>
    </row>
    <row r="110" spans="2:2" x14ac:dyDescent="0.3">
      <c r="B110"/>
    </row>
    <row r="111" spans="2:2" x14ac:dyDescent="0.3">
      <c r="B111"/>
    </row>
    <row r="112" spans="2:2" x14ac:dyDescent="0.3">
      <c r="B112"/>
    </row>
    <row r="113" spans="2:2" x14ac:dyDescent="0.3">
      <c r="B113"/>
    </row>
    <row r="114" spans="2:2" x14ac:dyDescent="0.3">
      <c r="B114"/>
    </row>
    <row r="115" spans="2:2" x14ac:dyDescent="0.3">
      <c r="B115"/>
    </row>
    <row r="116" spans="2:2" x14ac:dyDescent="0.3">
      <c r="B116"/>
    </row>
    <row r="117" spans="2:2" x14ac:dyDescent="0.3">
      <c r="B117"/>
    </row>
    <row r="118" spans="2:2" x14ac:dyDescent="0.3">
      <c r="B118"/>
    </row>
    <row r="119" spans="2:2" x14ac:dyDescent="0.3">
      <c r="B119"/>
    </row>
    <row r="120" spans="2:2" x14ac:dyDescent="0.3">
      <c r="B120"/>
    </row>
    <row r="121" spans="2:2" x14ac:dyDescent="0.3">
      <c r="B121"/>
    </row>
    <row r="122" spans="2:2" x14ac:dyDescent="0.3">
      <c r="B122"/>
    </row>
    <row r="123" spans="2:2" x14ac:dyDescent="0.3">
      <c r="B123"/>
    </row>
    <row r="124" spans="2:2" x14ac:dyDescent="0.3">
      <c r="B124"/>
    </row>
    <row r="125" spans="2:2" x14ac:dyDescent="0.3">
      <c r="B125"/>
    </row>
    <row r="126" spans="2:2" x14ac:dyDescent="0.3">
      <c r="B126"/>
    </row>
    <row r="127" spans="2:2" x14ac:dyDescent="0.3">
      <c r="B127"/>
    </row>
    <row r="128" spans="2:2" x14ac:dyDescent="0.3">
      <c r="B128"/>
    </row>
    <row r="129" spans="2:2" x14ac:dyDescent="0.3">
      <c r="B129"/>
    </row>
    <row r="130" spans="2:2" x14ac:dyDescent="0.3">
      <c r="B130"/>
    </row>
    <row r="131" spans="2:2" x14ac:dyDescent="0.3">
      <c r="B131"/>
    </row>
    <row r="132" spans="2:2" x14ac:dyDescent="0.3">
      <c r="B132"/>
    </row>
    <row r="133" spans="2:2" x14ac:dyDescent="0.3">
      <c r="B133"/>
    </row>
    <row r="134" spans="2:2" x14ac:dyDescent="0.3">
      <c r="B134"/>
    </row>
    <row r="135" spans="2:2" x14ac:dyDescent="0.3">
      <c r="B135"/>
    </row>
    <row r="136" spans="2:2" x14ac:dyDescent="0.3">
      <c r="B136"/>
    </row>
    <row r="137" spans="2:2" x14ac:dyDescent="0.3">
      <c r="B137"/>
    </row>
    <row r="138" spans="2:2" x14ac:dyDescent="0.3">
      <c r="B138"/>
    </row>
    <row r="139" spans="2:2" x14ac:dyDescent="0.3">
      <c r="B139"/>
    </row>
    <row r="140" spans="2:2" x14ac:dyDescent="0.3">
      <c r="B140"/>
    </row>
    <row r="141" spans="2:2" x14ac:dyDescent="0.3">
      <c r="B141"/>
    </row>
  </sheetData>
  <conditionalFormatting sqref="B12:C12 C11:D11">
    <cfRule type="expression" dxfId="39" priority="3" stopIfTrue="1">
      <formula>$B$11&lt;$B$6</formula>
    </cfRule>
    <cfRule type="expression" dxfId="38" priority="4" stopIfTrue="1">
      <formula>$B$11&gt;$B$6</formula>
    </cfRule>
  </conditionalFormatting>
  <conditionalFormatting sqref="A11 A6:C6 D6:D10">
    <cfRule type="expression" dxfId="37" priority="2" stopIfTrue="1">
      <formula>$B$11&gt;$B$6</formula>
    </cfRule>
  </conditionalFormatting>
  <conditionalFormatting sqref="A11 A6:C6 D6:D10">
    <cfRule type="expression" dxfId="36" priority="1" stopIfTrue="1">
      <formula>$B$11&lt;$B$6</formula>
    </cfRule>
  </conditionalFormatting>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10BFB-3260-4511-8003-04B6F26EA76F}">
  <sheetPr>
    <tabColor rgb="FFFF0000"/>
  </sheetPr>
  <dimension ref="A1:D27"/>
  <sheetViews>
    <sheetView zoomScale="85" zoomScaleNormal="85" workbookViewId="0">
      <selection activeCell="F10" sqref="F10"/>
    </sheetView>
  </sheetViews>
  <sheetFormatPr defaultRowHeight="14.4" x14ac:dyDescent="0.3"/>
  <cols>
    <col min="1" max="1" width="26.5546875" bestFit="1" customWidth="1"/>
    <col min="2" max="2" width="11.5546875" style="112" bestFit="1" customWidth="1"/>
    <col min="4" max="4" width="19.44140625" customWidth="1"/>
  </cols>
  <sheetData>
    <row r="1" spans="1:4" ht="46.8" x14ac:dyDescent="0.45">
      <c r="A1" s="84" t="s">
        <v>142</v>
      </c>
      <c r="B1" s="84"/>
    </row>
    <row r="2" spans="1:4" x14ac:dyDescent="0.3">
      <c r="A2" s="1" t="s">
        <v>0</v>
      </c>
      <c r="B2" s="85" t="s">
        <v>143</v>
      </c>
    </row>
    <row r="3" spans="1:4" x14ac:dyDescent="0.3">
      <c r="A3" s="1" t="s">
        <v>144</v>
      </c>
      <c r="B3" s="86">
        <v>1000</v>
      </c>
    </row>
    <row r="4" spans="1:4" x14ac:dyDescent="0.3">
      <c r="A4" s="1" t="s">
        <v>145</v>
      </c>
      <c r="B4" s="1">
        <v>30</v>
      </c>
    </row>
    <row r="5" spans="1:4" x14ac:dyDescent="0.3">
      <c r="A5" s="1" t="s">
        <v>27</v>
      </c>
      <c r="B5" s="1">
        <v>2</v>
      </c>
    </row>
    <row r="6" spans="1:4" x14ac:dyDescent="0.3">
      <c r="A6" s="87" t="s">
        <v>146</v>
      </c>
      <c r="B6" s="88">
        <v>0.06</v>
      </c>
      <c r="C6" s="89"/>
      <c r="D6" s="90"/>
    </row>
    <row r="7" spans="1:4" x14ac:dyDescent="0.3">
      <c r="A7" s="1" t="s">
        <v>147</v>
      </c>
      <c r="B7" s="15">
        <f>B6/B5</f>
        <v>0.03</v>
      </c>
      <c r="D7" s="91"/>
    </row>
    <row r="8" spans="1:4" x14ac:dyDescent="0.3">
      <c r="A8" s="1" t="s">
        <v>148</v>
      </c>
      <c r="B8" s="92">
        <f>B3*B7</f>
        <v>30</v>
      </c>
      <c r="D8" s="91"/>
    </row>
    <row r="9" spans="1:4" x14ac:dyDescent="0.3">
      <c r="A9" s="1" t="s">
        <v>149</v>
      </c>
      <c r="B9" s="8">
        <f>B4*B5</f>
        <v>60</v>
      </c>
      <c r="D9" s="91"/>
    </row>
    <row r="10" spans="1:4" x14ac:dyDescent="0.3">
      <c r="A10" s="1" t="s">
        <v>12</v>
      </c>
      <c r="B10" s="15">
        <f>B11/B5</f>
        <v>0.01</v>
      </c>
      <c r="D10" s="91"/>
    </row>
    <row r="11" spans="1:4" x14ac:dyDescent="0.3">
      <c r="A11" s="93" t="s">
        <v>45</v>
      </c>
      <c r="B11" s="94">
        <v>0.02</v>
      </c>
      <c r="C11" s="89" t="str">
        <f>IF(B3=B12,"YTM = Coupon Rate",IF(B12&gt;B3,"YTM &lt; Coupon Rate","YTM &gt; Coupon Rate"))</f>
        <v>YTM &lt; Coupon Rate</v>
      </c>
      <c r="D11" s="95"/>
    </row>
    <row r="12" spans="1:4" x14ac:dyDescent="0.3">
      <c r="A12" s="93" t="s">
        <v>150</v>
      </c>
      <c r="B12" s="96">
        <f>PV(B10,B9,-B8,-B3,0)</f>
        <v>1899.1007681244805</v>
      </c>
      <c r="C12" s="99" t="str">
        <f>IF(B11=B6,"Par",IF(B11&gt;B6,"Discount","Premium"))</f>
        <v>Premium</v>
      </c>
    </row>
    <row r="13" spans="1:4" x14ac:dyDescent="0.3">
      <c r="B13"/>
    </row>
    <row r="14" spans="1:4" x14ac:dyDescent="0.3">
      <c r="B14"/>
    </row>
    <row r="15" spans="1:4" x14ac:dyDescent="0.3">
      <c r="A15" s="100" t="s">
        <v>178</v>
      </c>
      <c r="B15" s="100" t="s">
        <v>167</v>
      </c>
    </row>
    <row r="16" spans="1:4" x14ac:dyDescent="0.3">
      <c r="A16" s="1">
        <v>0.04</v>
      </c>
      <c r="B16" s="110">
        <f>PV(A16/$B$5,$B$9,-$B$8,-$B$3)</f>
        <v>1347.6088667704648</v>
      </c>
    </row>
    <row r="17" spans="1:2" x14ac:dyDescent="0.3">
      <c r="A17" s="1">
        <v>0.05</v>
      </c>
      <c r="B17" s="110">
        <f t="shared" ref="B17:B27" si="0">PV(A17/$B$5,$B$9,-$B$8,-$B$3)</f>
        <v>1154.5432824252873</v>
      </c>
    </row>
    <row r="18" spans="1:2" x14ac:dyDescent="0.3">
      <c r="A18" s="1">
        <v>0.06</v>
      </c>
      <c r="B18" s="110">
        <f t="shared" si="0"/>
        <v>1000.0000000000001</v>
      </c>
    </row>
    <row r="19" spans="1:2" x14ac:dyDescent="0.3">
      <c r="A19" s="1">
        <v>7.0000000000000007E-2</v>
      </c>
      <c r="B19" s="110">
        <f t="shared" si="0"/>
        <v>875.27632940875753</v>
      </c>
    </row>
    <row r="20" spans="1:2" x14ac:dyDescent="0.3">
      <c r="A20" s="1">
        <v>0.08</v>
      </c>
      <c r="B20" s="110">
        <f t="shared" si="0"/>
        <v>773.76510025522612</v>
      </c>
    </row>
    <row r="21" spans="1:2" x14ac:dyDescent="0.3">
      <c r="A21" s="1">
        <v>0.09</v>
      </c>
      <c r="B21" s="110">
        <f t="shared" si="0"/>
        <v>690.42966942691328</v>
      </c>
    </row>
    <row r="22" spans="1:2" x14ac:dyDescent="0.3">
      <c r="A22" s="1">
        <v>0.1</v>
      </c>
      <c r="B22" s="110">
        <f t="shared" si="0"/>
        <v>621.41420949859764</v>
      </c>
    </row>
    <row r="23" spans="1:2" x14ac:dyDescent="0.3">
      <c r="A23" s="1">
        <v>0.11</v>
      </c>
      <c r="B23" s="110">
        <f t="shared" si="0"/>
        <v>563.75364590517847</v>
      </c>
    </row>
    <row r="24" spans="1:2" x14ac:dyDescent="0.3">
      <c r="A24" s="1">
        <v>0.12</v>
      </c>
      <c r="B24" s="110">
        <f t="shared" si="0"/>
        <v>515.15716884285905</v>
      </c>
    </row>
    <row r="25" spans="1:2" x14ac:dyDescent="0.3">
      <c r="A25" s="1">
        <v>0.13</v>
      </c>
      <c r="B25" s="110">
        <f t="shared" si="0"/>
        <v>473.84619893079423</v>
      </c>
    </row>
    <row r="26" spans="1:2" x14ac:dyDescent="0.3">
      <c r="A26" s="1">
        <v>0.14000000000000001</v>
      </c>
      <c r="B26" s="110">
        <f t="shared" si="0"/>
        <v>438.43275398257578</v>
      </c>
    </row>
    <row r="27" spans="1:2" x14ac:dyDescent="0.3">
      <c r="A27" s="1">
        <v>0.15</v>
      </c>
      <c r="B27" s="110">
        <f t="shared" si="0"/>
        <v>407.82786622770544</v>
      </c>
    </row>
  </sheetData>
  <conditionalFormatting sqref="B12:C12 C11:D11">
    <cfRule type="expression" dxfId="35" priority="3" stopIfTrue="1">
      <formula>$B$11&lt;$B$6</formula>
    </cfRule>
    <cfRule type="expression" dxfId="34" priority="4" stopIfTrue="1">
      <formula>$B$11&gt;$B$6</formula>
    </cfRule>
  </conditionalFormatting>
  <conditionalFormatting sqref="A11 A6:C6 D6:D10">
    <cfRule type="expression" dxfId="33" priority="2" stopIfTrue="1">
      <formula>$B$11&gt;$B$6</formula>
    </cfRule>
  </conditionalFormatting>
  <conditionalFormatting sqref="A11 A6:C6 D6:D10">
    <cfRule type="expression" dxfId="32" priority="1" stopIfTrue="1">
      <formula>$B$11&lt;$B$6</formula>
    </cfRule>
  </conditionalFormatting>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986C6-2BA1-4416-8C80-BB841ADDFDAD}">
  <sheetPr>
    <tabColor rgb="FF0000FF"/>
  </sheetPr>
  <dimension ref="A1:B10"/>
  <sheetViews>
    <sheetView zoomScale="175" zoomScaleNormal="175" workbookViewId="0">
      <selection activeCell="B10" sqref="B10"/>
    </sheetView>
  </sheetViews>
  <sheetFormatPr defaultRowHeight="14.4" x14ac:dyDescent="0.3"/>
  <cols>
    <col min="1" max="1" width="17.44140625" bestFit="1" customWidth="1"/>
    <col min="2" max="2" width="10.5546875" bestFit="1" customWidth="1"/>
  </cols>
  <sheetData>
    <row r="1" spans="1:2" x14ac:dyDescent="0.3">
      <c r="A1" s="1" t="s">
        <v>125</v>
      </c>
      <c r="B1" s="1">
        <v>10</v>
      </c>
    </row>
    <row r="2" spans="1:2" x14ac:dyDescent="0.3">
      <c r="A2" s="1" t="s">
        <v>60</v>
      </c>
      <c r="B2" s="1">
        <v>2</v>
      </c>
    </row>
    <row r="3" spans="1:2" x14ac:dyDescent="0.3">
      <c r="A3" s="87" t="s">
        <v>59</v>
      </c>
      <c r="B3" s="115">
        <v>0.06</v>
      </c>
    </row>
    <row r="4" spans="1:2" x14ac:dyDescent="0.3">
      <c r="A4" s="1" t="s">
        <v>61</v>
      </c>
      <c r="B4" s="114">
        <f>B3/B2</f>
        <v>0.03</v>
      </c>
    </row>
    <row r="5" spans="1:2" x14ac:dyDescent="0.3">
      <c r="A5" s="87" t="s">
        <v>113</v>
      </c>
      <c r="B5" s="115">
        <v>0.06</v>
      </c>
    </row>
    <row r="6" spans="1:2" x14ac:dyDescent="0.3">
      <c r="A6" s="1" t="s">
        <v>114</v>
      </c>
      <c r="B6" s="6">
        <f>B5/B2</f>
        <v>0.03</v>
      </c>
    </row>
    <row r="7" spans="1:2" x14ac:dyDescent="0.3">
      <c r="A7" s="1" t="s">
        <v>128</v>
      </c>
      <c r="B7" s="6">
        <f>B2*B1</f>
        <v>20</v>
      </c>
    </row>
    <row r="8" spans="1:2" x14ac:dyDescent="0.3">
      <c r="A8" s="1" t="s">
        <v>180</v>
      </c>
      <c r="B8" s="110">
        <f>B9*B4</f>
        <v>-30</v>
      </c>
    </row>
    <row r="9" spans="1:2" x14ac:dyDescent="0.3">
      <c r="A9" s="1" t="s">
        <v>174</v>
      </c>
      <c r="B9" s="111">
        <v>-1000</v>
      </c>
    </row>
    <row r="10" spans="1:2" x14ac:dyDescent="0.3">
      <c r="A10" s="87" t="s">
        <v>181</v>
      </c>
      <c r="B10" s="116"/>
    </row>
  </sheetData>
  <conditionalFormatting sqref="A5:B5">
    <cfRule type="expression" dxfId="31" priority="3" stopIfTrue="1">
      <formula>$B$5&lt;$B$3</formula>
    </cfRule>
    <cfRule type="expression" dxfId="30" priority="4" stopIfTrue="1">
      <formula>$B$5&gt;$B$3</formula>
    </cfRule>
  </conditionalFormatting>
  <conditionalFormatting sqref="A10:B10">
    <cfRule type="expression" dxfId="29" priority="1" stopIfTrue="1">
      <formula>$B$5&lt;$B$3</formula>
    </cfRule>
    <cfRule type="expression" dxfId="28" priority="2" stopIfTrue="1">
      <formula>$B$5&gt;$B$3</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8387A-EDC2-492E-86FC-A348A845A9F1}">
  <sheetPr>
    <tabColor rgb="FFFF0000"/>
  </sheetPr>
  <dimension ref="A1:C10"/>
  <sheetViews>
    <sheetView zoomScale="175" zoomScaleNormal="175" workbookViewId="0">
      <selection activeCell="C10" sqref="C10"/>
    </sheetView>
  </sheetViews>
  <sheetFormatPr defaultRowHeight="14.4" x14ac:dyDescent="0.3"/>
  <cols>
    <col min="1" max="1" width="17.44140625" bestFit="1" customWidth="1"/>
    <col min="2" max="2" width="10.5546875" bestFit="1" customWidth="1"/>
  </cols>
  <sheetData>
    <row r="1" spans="1:3" x14ac:dyDescent="0.3">
      <c r="A1" s="1" t="s">
        <v>125</v>
      </c>
      <c r="B1" s="1">
        <v>10</v>
      </c>
    </row>
    <row r="2" spans="1:3" x14ac:dyDescent="0.3">
      <c r="A2" s="1" t="s">
        <v>60</v>
      </c>
      <c r="B2" s="1">
        <v>2</v>
      </c>
    </row>
    <row r="3" spans="1:3" x14ac:dyDescent="0.3">
      <c r="A3" s="87" t="s">
        <v>59</v>
      </c>
      <c r="B3" s="115">
        <v>0.06</v>
      </c>
    </row>
    <row r="4" spans="1:3" x14ac:dyDescent="0.3">
      <c r="A4" s="1" t="s">
        <v>61</v>
      </c>
      <c r="B4" s="114">
        <f>B3/B2</f>
        <v>0.03</v>
      </c>
    </row>
    <row r="5" spans="1:3" x14ac:dyDescent="0.3">
      <c r="A5" s="87" t="s">
        <v>113</v>
      </c>
      <c r="B5" s="115">
        <v>7.0000000000000007E-2</v>
      </c>
    </row>
    <row r="6" spans="1:3" x14ac:dyDescent="0.3">
      <c r="A6" s="1" t="s">
        <v>114</v>
      </c>
      <c r="B6" s="6">
        <f>B5/B2</f>
        <v>3.5000000000000003E-2</v>
      </c>
    </row>
    <row r="7" spans="1:3" x14ac:dyDescent="0.3">
      <c r="A7" s="1" t="s">
        <v>128</v>
      </c>
      <c r="B7" s="6">
        <f>B2*B1</f>
        <v>20</v>
      </c>
    </row>
    <row r="8" spans="1:3" x14ac:dyDescent="0.3">
      <c r="A8" s="1" t="s">
        <v>180</v>
      </c>
      <c r="B8" s="110">
        <f>B9*B4</f>
        <v>-30</v>
      </c>
    </row>
    <row r="9" spans="1:3" x14ac:dyDescent="0.3">
      <c r="A9" s="1" t="s">
        <v>174</v>
      </c>
      <c r="B9" s="111">
        <v>-1000</v>
      </c>
    </row>
    <row r="10" spans="1:3" x14ac:dyDescent="0.3">
      <c r="A10" s="87" t="s">
        <v>181</v>
      </c>
      <c r="B10" s="116">
        <f>PV(B6,B7,B8,B9)</f>
        <v>928.93798349023871</v>
      </c>
      <c r="C10" s="6" t="str">
        <f>IF(B10=-B9,"Par",IF(B10&gt;-B9,"Premium","Discount"))</f>
        <v>Discount</v>
      </c>
    </row>
  </sheetData>
  <conditionalFormatting sqref="A5:B5">
    <cfRule type="expression" dxfId="27" priority="3" stopIfTrue="1">
      <formula>$B$5&lt;$B$3</formula>
    </cfRule>
    <cfRule type="expression" dxfId="26" priority="4" stopIfTrue="1">
      <formula>$B$5&gt;$B$3</formula>
    </cfRule>
  </conditionalFormatting>
  <conditionalFormatting sqref="A10:B10">
    <cfRule type="expression" dxfId="25" priority="1" stopIfTrue="1">
      <formula>$B$5&lt;$B$3</formula>
    </cfRule>
    <cfRule type="expression" dxfId="24" priority="2" stopIfTrue="1">
      <formula>$B$5&gt;$B$3</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70F84-CEAF-4940-BCD3-6452DB6F5B7B}">
  <sheetPr>
    <tabColor rgb="FF0000FF"/>
  </sheetPr>
  <dimension ref="A1:K20"/>
  <sheetViews>
    <sheetView showGridLines="0" zoomScale="215" zoomScaleNormal="215" workbookViewId="0">
      <selection activeCell="G9" sqref="G9:K9"/>
    </sheetView>
  </sheetViews>
  <sheetFormatPr defaultColWidth="9.109375" defaultRowHeight="13.2" x14ac:dyDescent="0.25"/>
  <cols>
    <col min="1" max="1" width="15" style="46" customWidth="1"/>
    <col min="2" max="2" width="1.6640625" style="46" customWidth="1"/>
    <col min="3" max="3" width="15" style="46" customWidth="1"/>
    <col min="4" max="4" width="1.6640625" style="46" customWidth="1"/>
    <col min="5" max="5" width="15" style="46" customWidth="1"/>
    <col min="6" max="6" width="8.109375" style="46" customWidth="1"/>
    <col min="7" max="7" width="16.88671875" style="46" customWidth="1"/>
    <col min="8" max="8" width="1.6640625" style="46" customWidth="1"/>
    <col min="9" max="9" width="16.88671875" style="46" customWidth="1"/>
    <col min="10" max="10" width="1.6640625" style="46" customWidth="1"/>
    <col min="11" max="11" width="16.88671875" style="46" customWidth="1"/>
    <col min="12" max="16384" width="9.109375" style="46"/>
  </cols>
  <sheetData>
    <row r="1" spans="1:11" x14ac:dyDescent="0.25">
      <c r="A1" s="122" t="s">
        <v>131</v>
      </c>
      <c r="B1" s="122"/>
      <c r="C1" s="122"/>
      <c r="D1" s="122"/>
      <c r="E1" s="122"/>
    </row>
    <row r="2" spans="1:11" ht="13.8" thickBot="1" x14ac:dyDescent="0.3">
      <c r="A2" s="71">
        <f>C2-$C$20</f>
        <v>0.06</v>
      </c>
      <c r="B2" s="72"/>
      <c r="C2" s="71">
        <v>0.08</v>
      </c>
      <c r="D2" s="72"/>
      <c r="E2" s="73">
        <f>C2+$C$20</f>
        <v>0.1</v>
      </c>
    </row>
    <row r="3" spans="1:11" ht="13.8" thickTop="1" x14ac:dyDescent="0.25">
      <c r="A3" s="74"/>
      <c r="B3" s="74"/>
      <c r="C3" s="74"/>
      <c r="D3" s="74"/>
      <c r="E3" s="74"/>
    </row>
    <row r="4" spans="1:11" x14ac:dyDescent="0.25">
      <c r="A4" s="74"/>
      <c r="B4" s="74"/>
      <c r="C4" s="74"/>
      <c r="D4" s="74"/>
      <c r="E4" s="74"/>
    </row>
    <row r="5" spans="1:11" s="51" customFormat="1" x14ac:dyDescent="0.25">
      <c r="A5" s="122" t="s">
        <v>132</v>
      </c>
      <c r="B5" s="122"/>
      <c r="C5" s="122"/>
      <c r="D5" s="122"/>
      <c r="E5" s="122"/>
    </row>
    <row r="6" spans="1:11" ht="13.8" thickBot="1" x14ac:dyDescent="0.3">
      <c r="A6" s="71">
        <v>0.08</v>
      </c>
      <c r="B6" s="72"/>
      <c r="C6" s="71">
        <v>0.08</v>
      </c>
      <c r="D6" s="72"/>
      <c r="E6" s="73">
        <v>0.08</v>
      </c>
    </row>
    <row r="7" spans="1:11" ht="13.8" thickTop="1" x14ac:dyDescent="0.25">
      <c r="A7" s="74"/>
      <c r="B7" s="74"/>
      <c r="C7" s="74"/>
      <c r="D7" s="74"/>
      <c r="E7" s="74"/>
    </row>
    <row r="8" spans="1:11" x14ac:dyDescent="0.25">
      <c r="A8" s="74"/>
      <c r="B8" s="74"/>
      <c r="C8" s="74"/>
      <c r="D8" s="74"/>
      <c r="E8" s="74"/>
    </row>
    <row r="9" spans="1:11" ht="27.6" x14ac:dyDescent="0.3">
      <c r="A9" s="75" t="s">
        <v>133</v>
      </c>
      <c r="B9" s="76"/>
      <c r="C9" s="75" t="s">
        <v>134</v>
      </c>
      <c r="D9" s="77"/>
      <c r="E9" s="75" t="s">
        <v>135</v>
      </c>
      <c r="G9" s="122" t="s">
        <v>136</v>
      </c>
      <c r="H9" s="122"/>
      <c r="I9" s="122"/>
      <c r="J9" s="122"/>
      <c r="K9" s="122"/>
    </row>
    <row r="10" spans="1:11" ht="40.200000000000003" thickBot="1" x14ac:dyDescent="0.3">
      <c r="G10" s="78" t="s">
        <v>140</v>
      </c>
      <c r="H10" s="72"/>
      <c r="I10" s="79" t="s">
        <v>179</v>
      </c>
      <c r="J10" s="72"/>
      <c r="K10" s="80" t="s">
        <v>141</v>
      </c>
    </row>
    <row r="11" spans="1:11" ht="13.8" thickTop="1" x14ac:dyDescent="0.25">
      <c r="G11" s="74"/>
      <c r="H11" s="74"/>
      <c r="I11" s="74"/>
      <c r="J11" s="74"/>
      <c r="K11" s="74"/>
    </row>
    <row r="12" spans="1:11" x14ac:dyDescent="0.25">
      <c r="G12" s="74"/>
      <c r="H12" s="74"/>
      <c r="I12" s="74"/>
      <c r="J12" s="74"/>
      <c r="K12" s="74"/>
    </row>
    <row r="13" spans="1:11" ht="39.6" x14ac:dyDescent="0.25">
      <c r="G13" s="75" t="s">
        <v>135</v>
      </c>
      <c r="H13" s="76"/>
      <c r="I13" s="75" t="s">
        <v>137</v>
      </c>
      <c r="J13" s="77"/>
      <c r="K13" s="75" t="s">
        <v>133</v>
      </c>
    </row>
    <row r="14" spans="1:11" x14ac:dyDescent="0.25">
      <c r="G14" s="81"/>
      <c r="H14" s="74"/>
      <c r="I14" s="81"/>
      <c r="J14" s="81"/>
      <c r="K14" s="81"/>
    </row>
    <row r="19" spans="1:4" x14ac:dyDescent="0.25">
      <c r="A19" s="123" t="s">
        <v>138</v>
      </c>
      <c r="B19" s="123"/>
      <c r="C19" s="123"/>
      <c r="D19" s="82"/>
    </row>
    <row r="20" spans="1:4" x14ac:dyDescent="0.25">
      <c r="A20" s="46" t="s">
        <v>139</v>
      </c>
      <c r="C20" s="83">
        <v>0.02</v>
      </c>
      <c r="D20" s="83"/>
    </row>
  </sheetData>
  <mergeCells count="4">
    <mergeCell ref="A1:E1"/>
    <mergeCell ref="A5:E5"/>
    <mergeCell ref="G9:K9"/>
    <mergeCell ref="A19:C19"/>
  </mergeCells>
  <printOptions horizontalCentered="1"/>
  <pageMargins left="0.75" right="0.75" top="1" bottom="1" header="0.5" footer="0.5"/>
  <pageSetup scale="190"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5D032-8290-4F61-B741-504FE2B5850C}">
  <sheetPr>
    <tabColor rgb="FF0000FF"/>
  </sheetPr>
  <dimension ref="A1:F33"/>
  <sheetViews>
    <sheetView zoomScale="115" zoomScaleNormal="115" workbookViewId="0">
      <pane ySplit="12" topLeftCell="A13" activePane="bottomLeft" state="frozen"/>
      <selection pane="bottomLeft" activeCell="E13" sqref="E13"/>
    </sheetView>
  </sheetViews>
  <sheetFormatPr defaultRowHeight="14.4" x14ac:dyDescent="0.3"/>
  <cols>
    <col min="1" max="1" width="15.5546875" bestFit="1" customWidth="1"/>
    <col min="2" max="2" width="10.109375" bestFit="1" customWidth="1"/>
    <col min="3" max="3" width="11.5546875" bestFit="1" customWidth="1"/>
    <col min="4" max="4" width="15.6640625" bestFit="1" customWidth="1"/>
    <col min="5" max="5" width="14.6640625" bestFit="1" customWidth="1"/>
  </cols>
  <sheetData>
    <row r="1" spans="1:6" x14ac:dyDescent="0.3">
      <c r="A1" s="1" t="s">
        <v>125</v>
      </c>
      <c r="B1" s="1">
        <v>10</v>
      </c>
    </row>
    <row r="2" spans="1:6" x14ac:dyDescent="0.3">
      <c r="A2" s="1" t="s">
        <v>60</v>
      </c>
      <c r="B2" s="1">
        <v>2</v>
      </c>
    </row>
    <row r="3" spans="1:6" x14ac:dyDescent="0.3">
      <c r="A3" s="87" t="s">
        <v>59</v>
      </c>
      <c r="B3" s="115">
        <v>0.06</v>
      </c>
    </row>
    <row r="4" spans="1:6" x14ac:dyDescent="0.3">
      <c r="A4" s="1" t="s">
        <v>61</v>
      </c>
      <c r="B4" s="114">
        <f>B3/B2</f>
        <v>0.03</v>
      </c>
    </row>
    <row r="5" spans="1:6" x14ac:dyDescent="0.3">
      <c r="A5" s="87" t="s">
        <v>113</v>
      </c>
      <c r="B5" s="115">
        <v>7.0000000000000007E-2</v>
      </c>
    </row>
    <row r="6" spans="1:6" x14ac:dyDescent="0.3">
      <c r="A6" s="1" t="s">
        <v>114</v>
      </c>
      <c r="B6" s="6">
        <f>B5/B2</f>
        <v>3.5000000000000003E-2</v>
      </c>
    </row>
    <row r="7" spans="1:6" x14ac:dyDescent="0.3">
      <c r="A7" s="1" t="s">
        <v>128</v>
      </c>
      <c r="B7" s="6">
        <f>B2*B1</f>
        <v>20</v>
      </c>
    </row>
    <row r="8" spans="1:6" x14ac:dyDescent="0.3">
      <c r="A8" s="1" t="s">
        <v>180</v>
      </c>
      <c r="B8" s="110">
        <f>B9*B4</f>
        <v>-30</v>
      </c>
    </row>
    <row r="9" spans="1:6" x14ac:dyDescent="0.3">
      <c r="A9" s="1" t="s">
        <v>174</v>
      </c>
      <c r="B9" s="111">
        <v>-1000</v>
      </c>
    </row>
    <row r="10" spans="1:6" x14ac:dyDescent="0.3">
      <c r="A10" s="87" t="s">
        <v>181</v>
      </c>
      <c r="B10" s="116">
        <f>PV(B6,B7,B8,B9)</f>
        <v>928.93798349023871</v>
      </c>
    </row>
    <row r="12" spans="1:6" x14ac:dyDescent="0.3">
      <c r="A12" s="100" t="s">
        <v>85</v>
      </c>
      <c r="B12" s="100" t="s">
        <v>182</v>
      </c>
      <c r="C12" s="100" t="s">
        <v>183</v>
      </c>
      <c r="D12" s="100" t="s">
        <v>186</v>
      </c>
      <c r="E12" s="100" t="s">
        <v>185</v>
      </c>
      <c r="F12" s="100" t="s">
        <v>113</v>
      </c>
    </row>
    <row r="13" spans="1:6" x14ac:dyDescent="0.3">
      <c r="A13" s="1">
        <v>0</v>
      </c>
      <c r="B13" s="1"/>
      <c r="C13" s="1"/>
      <c r="D13" s="1"/>
      <c r="E13" s="3"/>
      <c r="F13" s="1"/>
    </row>
    <row r="14" spans="1:6" x14ac:dyDescent="0.3">
      <c r="A14" s="1">
        <v>1</v>
      </c>
      <c r="B14" s="110"/>
      <c r="C14" s="3"/>
      <c r="D14" s="3"/>
      <c r="E14" s="3"/>
      <c r="F14" s="6"/>
    </row>
    <row r="15" spans="1:6" x14ac:dyDescent="0.3">
      <c r="A15" s="1">
        <v>2</v>
      </c>
      <c r="B15" s="110"/>
      <c r="C15" s="3"/>
      <c r="D15" s="3"/>
      <c r="E15" s="3"/>
      <c r="F15" s="6"/>
    </row>
    <row r="16" spans="1:6" x14ac:dyDescent="0.3">
      <c r="A16" s="1">
        <v>3</v>
      </c>
      <c r="B16" s="110"/>
      <c r="C16" s="3"/>
      <c r="D16" s="3"/>
      <c r="E16" s="3"/>
      <c r="F16" s="6"/>
    </row>
    <row r="17" spans="1:6" x14ac:dyDescent="0.3">
      <c r="A17" s="1">
        <v>4</v>
      </c>
      <c r="B17" s="110"/>
      <c r="C17" s="3"/>
      <c r="D17" s="3"/>
      <c r="E17" s="3"/>
      <c r="F17" s="6"/>
    </row>
    <row r="18" spans="1:6" x14ac:dyDescent="0.3">
      <c r="A18" s="1">
        <v>5</v>
      </c>
      <c r="B18" s="110"/>
      <c r="C18" s="3"/>
      <c r="D18" s="3"/>
      <c r="E18" s="3"/>
      <c r="F18" s="6"/>
    </row>
    <row r="19" spans="1:6" x14ac:dyDescent="0.3">
      <c r="A19" s="1">
        <v>6</v>
      </c>
      <c r="B19" s="110"/>
      <c r="C19" s="3"/>
      <c r="D19" s="3"/>
      <c r="E19" s="3"/>
      <c r="F19" s="6"/>
    </row>
    <row r="20" spans="1:6" x14ac:dyDescent="0.3">
      <c r="A20" s="1">
        <v>7</v>
      </c>
      <c r="B20" s="110"/>
      <c r="C20" s="3"/>
      <c r="D20" s="3"/>
      <c r="E20" s="3"/>
      <c r="F20" s="6"/>
    </row>
    <row r="21" spans="1:6" x14ac:dyDescent="0.3">
      <c r="A21" s="1">
        <v>8</v>
      </c>
      <c r="B21" s="110"/>
      <c r="C21" s="3"/>
      <c r="D21" s="3"/>
      <c r="E21" s="3"/>
      <c r="F21" s="6"/>
    </row>
    <row r="22" spans="1:6" x14ac:dyDescent="0.3">
      <c r="A22" s="1">
        <v>9</v>
      </c>
      <c r="B22" s="110"/>
      <c r="C22" s="3"/>
      <c r="D22" s="3"/>
      <c r="E22" s="3"/>
      <c r="F22" s="6"/>
    </row>
    <row r="23" spans="1:6" x14ac:dyDescent="0.3">
      <c r="A23" s="1">
        <v>10</v>
      </c>
      <c r="B23" s="110"/>
      <c r="C23" s="3"/>
      <c r="D23" s="3"/>
      <c r="E23" s="3"/>
      <c r="F23" s="6"/>
    </row>
    <row r="24" spans="1:6" x14ac:dyDescent="0.3">
      <c r="A24" s="1">
        <v>11</v>
      </c>
      <c r="B24" s="110"/>
      <c r="C24" s="3"/>
      <c r="D24" s="3"/>
      <c r="E24" s="3"/>
      <c r="F24" s="6"/>
    </row>
    <row r="25" spans="1:6" x14ac:dyDescent="0.3">
      <c r="A25" s="1">
        <v>12</v>
      </c>
      <c r="B25" s="110"/>
      <c r="C25" s="3"/>
      <c r="D25" s="3"/>
      <c r="E25" s="3"/>
      <c r="F25" s="6"/>
    </row>
    <row r="26" spans="1:6" x14ac:dyDescent="0.3">
      <c r="A26" s="1">
        <v>13</v>
      </c>
      <c r="B26" s="110"/>
      <c r="C26" s="3"/>
      <c r="D26" s="3"/>
      <c r="E26" s="3"/>
      <c r="F26" s="6"/>
    </row>
    <row r="27" spans="1:6" x14ac:dyDescent="0.3">
      <c r="A27" s="1">
        <v>14</v>
      </c>
      <c r="B27" s="110"/>
      <c r="C27" s="3"/>
      <c r="D27" s="3"/>
      <c r="E27" s="3"/>
      <c r="F27" s="6"/>
    </row>
    <row r="28" spans="1:6" x14ac:dyDescent="0.3">
      <c r="A28" s="1">
        <v>15</v>
      </c>
      <c r="B28" s="110"/>
      <c r="C28" s="3"/>
      <c r="D28" s="3"/>
      <c r="E28" s="3"/>
      <c r="F28" s="6"/>
    </row>
    <row r="29" spans="1:6" x14ac:dyDescent="0.3">
      <c r="A29" s="1">
        <v>16</v>
      </c>
      <c r="B29" s="110"/>
      <c r="C29" s="3"/>
      <c r="D29" s="3"/>
      <c r="E29" s="3"/>
      <c r="F29" s="6"/>
    </row>
    <row r="30" spans="1:6" x14ac:dyDescent="0.3">
      <c r="A30" s="1">
        <v>17</v>
      </c>
      <c r="B30" s="110"/>
      <c r="C30" s="3"/>
      <c r="D30" s="3"/>
      <c r="E30" s="3"/>
      <c r="F30" s="6"/>
    </row>
    <row r="31" spans="1:6" x14ac:dyDescent="0.3">
      <c r="A31" s="1">
        <v>18</v>
      </c>
      <c r="B31" s="110"/>
      <c r="C31" s="3"/>
      <c r="D31" s="3"/>
      <c r="E31" s="3"/>
      <c r="F31" s="6"/>
    </row>
    <row r="32" spans="1:6" x14ac:dyDescent="0.3">
      <c r="A32" s="1">
        <v>19</v>
      </c>
      <c r="B32" s="110"/>
      <c r="C32" s="3"/>
      <c r="D32" s="3"/>
      <c r="E32" s="3"/>
      <c r="F32" s="6"/>
    </row>
    <row r="33" spans="1:6" x14ac:dyDescent="0.3">
      <c r="A33" s="1">
        <v>20</v>
      </c>
      <c r="B33" s="110"/>
      <c r="C33" s="3"/>
      <c r="D33" s="3"/>
      <c r="E33" s="3"/>
      <c r="F33" s="6"/>
    </row>
  </sheetData>
  <conditionalFormatting sqref="A5:B5">
    <cfRule type="expression" dxfId="23" priority="3" stopIfTrue="1">
      <formula>$B$5&lt;$B$3</formula>
    </cfRule>
    <cfRule type="expression" dxfId="22" priority="4" stopIfTrue="1">
      <formula>$B$5&gt;$B$3</formula>
    </cfRule>
  </conditionalFormatting>
  <conditionalFormatting sqref="A10:B10">
    <cfRule type="expression" dxfId="21" priority="1" stopIfTrue="1">
      <formula>$B$5&lt;$B$3</formula>
    </cfRule>
    <cfRule type="expression" dxfId="20" priority="2" stopIfTrue="1">
      <formula>$B$5&gt;$B$3</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C7F3B-9490-446F-8BBA-1FF84409D1CB}">
  <sheetPr>
    <tabColor rgb="FFFF0000"/>
  </sheetPr>
  <dimension ref="A1:F33"/>
  <sheetViews>
    <sheetView zoomScale="115" zoomScaleNormal="115" workbookViewId="0">
      <pane ySplit="12" topLeftCell="A13" activePane="bottomLeft" state="frozen"/>
      <selection pane="bottomLeft" activeCell="E14" sqref="E14"/>
    </sheetView>
  </sheetViews>
  <sheetFormatPr defaultRowHeight="14.4" x14ac:dyDescent="0.3"/>
  <cols>
    <col min="1" max="1" width="15.5546875" bestFit="1" customWidth="1"/>
    <col min="2" max="2" width="10.109375" bestFit="1" customWidth="1"/>
    <col min="3" max="3" width="11.5546875" bestFit="1" customWidth="1"/>
    <col min="4" max="4" width="15.6640625" bestFit="1" customWidth="1"/>
    <col min="5" max="5" width="14.6640625" bestFit="1" customWidth="1"/>
  </cols>
  <sheetData>
    <row r="1" spans="1:6" x14ac:dyDescent="0.3">
      <c r="A1" s="1" t="s">
        <v>125</v>
      </c>
      <c r="B1" s="1">
        <v>10</v>
      </c>
    </row>
    <row r="2" spans="1:6" x14ac:dyDescent="0.3">
      <c r="A2" s="1" t="s">
        <v>60</v>
      </c>
      <c r="B2" s="1">
        <v>2</v>
      </c>
    </row>
    <row r="3" spans="1:6" x14ac:dyDescent="0.3">
      <c r="A3" s="87" t="s">
        <v>59</v>
      </c>
      <c r="B3" s="115">
        <v>0.06</v>
      </c>
    </row>
    <row r="4" spans="1:6" x14ac:dyDescent="0.3">
      <c r="A4" s="1" t="s">
        <v>61</v>
      </c>
      <c r="B4" s="114">
        <f>B3/B2</f>
        <v>0.03</v>
      </c>
    </row>
    <row r="5" spans="1:6" x14ac:dyDescent="0.3">
      <c r="A5" s="87" t="s">
        <v>113</v>
      </c>
      <c r="B5" s="115">
        <v>0.05</v>
      </c>
    </row>
    <row r="6" spans="1:6" x14ac:dyDescent="0.3">
      <c r="A6" s="1" t="s">
        <v>114</v>
      </c>
      <c r="B6" s="6">
        <f>B5/B2</f>
        <v>2.5000000000000001E-2</v>
      </c>
    </row>
    <row r="7" spans="1:6" x14ac:dyDescent="0.3">
      <c r="A7" s="1" t="s">
        <v>128</v>
      </c>
      <c r="B7" s="6">
        <f>B2*B1</f>
        <v>20</v>
      </c>
    </row>
    <row r="8" spans="1:6" x14ac:dyDescent="0.3">
      <c r="A8" s="1" t="s">
        <v>180</v>
      </c>
      <c r="B8" s="110">
        <f>B9*B4</f>
        <v>-30</v>
      </c>
    </row>
    <row r="9" spans="1:6" x14ac:dyDescent="0.3">
      <c r="A9" s="1" t="s">
        <v>174</v>
      </c>
      <c r="B9" s="111">
        <v>-1000</v>
      </c>
    </row>
    <row r="10" spans="1:6" x14ac:dyDescent="0.3">
      <c r="A10" s="87" t="s">
        <v>181</v>
      </c>
      <c r="B10" s="116">
        <f>PV(B6,B7,B8,B9)</f>
        <v>1077.9458114282338</v>
      </c>
    </row>
    <row r="12" spans="1:6" x14ac:dyDescent="0.3">
      <c r="A12" s="100" t="s">
        <v>85</v>
      </c>
      <c r="B12" s="100" t="s">
        <v>182</v>
      </c>
      <c r="C12" s="100" t="s">
        <v>183</v>
      </c>
      <c r="D12" s="100" t="s">
        <v>184</v>
      </c>
      <c r="E12" s="100" t="s">
        <v>185</v>
      </c>
      <c r="F12" s="100" t="s">
        <v>113</v>
      </c>
    </row>
    <row r="13" spans="1:6" x14ac:dyDescent="0.3">
      <c r="A13" s="1">
        <v>0</v>
      </c>
      <c r="B13" s="1"/>
      <c r="C13" s="1"/>
      <c r="D13" s="1"/>
      <c r="E13" s="3">
        <f>B10</f>
        <v>1077.9458114282338</v>
      </c>
      <c r="F13" s="1"/>
    </row>
    <row r="14" spans="1:6" x14ac:dyDescent="0.3">
      <c r="A14" s="1">
        <v>1</v>
      </c>
      <c r="B14" s="110">
        <f>-$B$8</f>
        <v>30</v>
      </c>
      <c r="C14" s="3">
        <f>E13*$B$6</f>
        <v>26.948645285705847</v>
      </c>
      <c r="D14" s="3">
        <f>C14-B14</f>
        <v>-3.0513547142941526</v>
      </c>
      <c r="E14" s="3">
        <f>E13+D14</f>
        <v>1074.8944567139397</v>
      </c>
      <c r="F14" s="6">
        <f>C14/E13</f>
        <v>2.5000000000000001E-2</v>
      </c>
    </row>
    <row r="15" spans="1:6" x14ac:dyDescent="0.3">
      <c r="A15" s="1">
        <v>2</v>
      </c>
      <c r="B15" s="110">
        <f t="shared" ref="B15:B33" si="0">-$B$8</f>
        <v>30</v>
      </c>
      <c r="C15" s="3">
        <f t="shared" ref="C15:C33" si="1">E14*$B$6</f>
        <v>26.872361417848495</v>
      </c>
      <c r="D15" s="3">
        <f t="shared" ref="D15:D33" si="2">C15-B15</f>
        <v>-3.1276385821515049</v>
      </c>
      <c r="E15" s="3">
        <f t="shared" ref="E15:E33" si="3">E14+D15</f>
        <v>1071.7668181317881</v>
      </c>
      <c r="F15" s="6">
        <f t="shared" ref="F15:F33" si="4">C15/E14</f>
        <v>2.5000000000000001E-2</v>
      </c>
    </row>
    <row r="16" spans="1:6" x14ac:dyDescent="0.3">
      <c r="A16" s="1">
        <v>3</v>
      </c>
      <c r="B16" s="110">
        <f t="shared" si="0"/>
        <v>30</v>
      </c>
      <c r="C16" s="3">
        <f t="shared" si="1"/>
        <v>26.794170453294704</v>
      </c>
      <c r="D16" s="3">
        <f t="shared" si="2"/>
        <v>-3.2058295467052957</v>
      </c>
      <c r="E16" s="3">
        <f t="shared" si="3"/>
        <v>1068.5609885850829</v>
      </c>
      <c r="F16" s="6">
        <f t="shared" si="4"/>
        <v>2.5000000000000001E-2</v>
      </c>
    </row>
    <row r="17" spans="1:6" x14ac:dyDescent="0.3">
      <c r="A17" s="1">
        <v>4</v>
      </c>
      <c r="B17" s="110">
        <f t="shared" si="0"/>
        <v>30</v>
      </c>
      <c r="C17" s="3">
        <f t="shared" si="1"/>
        <v>26.714024714627072</v>
      </c>
      <c r="D17" s="3">
        <f t="shared" si="2"/>
        <v>-3.2859752853729276</v>
      </c>
      <c r="E17" s="3">
        <f t="shared" si="3"/>
        <v>1065.2750132997101</v>
      </c>
      <c r="F17" s="6">
        <f t="shared" si="4"/>
        <v>2.5000000000000001E-2</v>
      </c>
    </row>
    <row r="18" spans="1:6" x14ac:dyDescent="0.3">
      <c r="A18" s="1">
        <v>5</v>
      </c>
      <c r="B18" s="110">
        <f t="shared" si="0"/>
        <v>30</v>
      </c>
      <c r="C18" s="3">
        <f t="shared" si="1"/>
        <v>26.631875332492754</v>
      </c>
      <c r="D18" s="3">
        <f t="shared" si="2"/>
        <v>-3.3681246675072458</v>
      </c>
      <c r="E18" s="3">
        <f t="shared" si="3"/>
        <v>1061.9068886322027</v>
      </c>
      <c r="F18" s="6">
        <f t="shared" si="4"/>
        <v>2.5000000000000001E-2</v>
      </c>
    </row>
    <row r="19" spans="1:6" x14ac:dyDescent="0.3">
      <c r="A19" s="1">
        <v>6</v>
      </c>
      <c r="B19" s="110">
        <f t="shared" si="0"/>
        <v>30</v>
      </c>
      <c r="C19" s="3">
        <f t="shared" si="1"/>
        <v>26.547672215805068</v>
      </c>
      <c r="D19" s="3">
        <f t="shared" si="2"/>
        <v>-3.4523277841949316</v>
      </c>
      <c r="E19" s="3">
        <f t="shared" si="3"/>
        <v>1058.4545608480078</v>
      </c>
      <c r="F19" s="6">
        <f t="shared" si="4"/>
        <v>2.5000000000000001E-2</v>
      </c>
    </row>
    <row r="20" spans="1:6" x14ac:dyDescent="0.3">
      <c r="A20" s="1">
        <v>7</v>
      </c>
      <c r="B20" s="110">
        <f t="shared" si="0"/>
        <v>30</v>
      </c>
      <c r="C20" s="3">
        <f t="shared" si="1"/>
        <v>26.461364021200197</v>
      </c>
      <c r="D20" s="3">
        <f t="shared" si="2"/>
        <v>-3.5386359787998032</v>
      </c>
      <c r="E20" s="3">
        <f t="shared" si="3"/>
        <v>1054.9159248692079</v>
      </c>
      <c r="F20" s="6">
        <f t="shared" si="4"/>
        <v>2.5000000000000001E-2</v>
      </c>
    </row>
    <row r="21" spans="1:6" x14ac:dyDescent="0.3">
      <c r="A21" s="1">
        <v>8</v>
      </c>
      <c r="B21" s="110">
        <f t="shared" si="0"/>
        <v>30</v>
      </c>
      <c r="C21" s="3">
        <f t="shared" si="1"/>
        <v>26.372898121730199</v>
      </c>
      <c r="D21" s="3">
        <f t="shared" si="2"/>
        <v>-3.6271018782698015</v>
      </c>
      <c r="E21" s="3">
        <f t="shared" si="3"/>
        <v>1051.2888229909381</v>
      </c>
      <c r="F21" s="6">
        <f t="shared" si="4"/>
        <v>2.5000000000000001E-2</v>
      </c>
    </row>
    <row r="22" spans="1:6" x14ac:dyDescent="0.3">
      <c r="A22" s="1">
        <v>9</v>
      </c>
      <c r="B22" s="110">
        <f t="shared" si="0"/>
        <v>30</v>
      </c>
      <c r="C22" s="3">
        <f t="shared" si="1"/>
        <v>26.282220574773454</v>
      </c>
      <c r="D22" s="3">
        <f t="shared" si="2"/>
        <v>-3.7177794252265457</v>
      </c>
      <c r="E22" s="3">
        <f t="shared" si="3"/>
        <v>1047.5710435657115</v>
      </c>
      <c r="F22" s="6">
        <f t="shared" si="4"/>
        <v>2.5000000000000001E-2</v>
      </c>
    </row>
    <row r="23" spans="1:6" x14ac:dyDescent="0.3">
      <c r="A23" s="1">
        <v>10</v>
      </c>
      <c r="B23" s="110">
        <f t="shared" si="0"/>
        <v>30</v>
      </c>
      <c r="C23" s="3">
        <f t="shared" si="1"/>
        <v>26.18927608914279</v>
      </c>
      <c r="D23" s="3">
        <f t="shared" si="2"/>
        <v>-3.8107239108572095</v>
      </c>
      <c r="E23" s="3">
        <f t="shared" si="3"/>
        <v>1043.7603196548544</v>
      </c>
      <c r="F23" s="6">
        <f t="shared" si="4"/>
        <v>2.5000000000000001E-2</v>
      </c>
    </row>
    <row r="24" spans="1:6" x14ac:dyDescent="0.3">
      <c r="A24" s="1">
        <v>11</v>
      </c>
      <c r="B24" s="110">
        <f t="shared" si="0"/>
        <v>30</v>
      </c>
      <c r="C24" s="3">
        <f t="shared" si="1"/>
        <v>26.09400799137136</v>
      </c>
      <c r="D24" s="3">
        <f t="shared" si="2"/>
        <v>-3.9059920086286404</v>
      </c>
      <c r="E24" s="3">
        <f t="shared" si="3"/>
        <v>1039.8543276462258</v>
      </c>
      <c r="F24" s="6">
        <f t="shared" si="4"/>
        <v>2.5000000000000001E-2</v>
      </c>
    </row>
    <row r="25" spans="1:6" x14ac:dyDescent="0.3">
      <c r="A25" s="1">
        <v>12</v>
      </c>
      <c r="B25" s="110">
        <f t="shared" si="0"/>
        <v>30</v>
      </c>
      <c r="C25" s="3">
        <f t="shared" si="1"/>
        <v>25.996358191155647</v>
      </c>
      <c r="D25" s="3">
        <f t="shared" si="2"/>
        <v>-4.0036418088443533</v>
      </c>
      <c r="E25" s="3">
        <f t="shared" si="3"/>
        <v>1035.8506858373814</v>
      </c>
      <c r="F25" s="6">
        <f t="shared" si="4"/>
        <v>2.5000000000000001E-2</v>
      </c>
    </row>
    <row r="26" spans="1:6" x14ac:dyDescent="0.3">
      <c r="A26" s="1">
        <v>13</v>
      </c>
      <c r="B26" s="110">
        <f t="shared" si="0"/>
        <v>30</v>
      </c>
      <c r="C26" s="3">
        <f t="shared" si="1"/>
        <v>25.896267145934537</v>
      </c>
      <c r="D26" s="3">
        <f t="shared" si="2"/>
        <v>-4.1037328540654627</v>
      </c>
      <c r="E26" s="3">
        <f t="shared" si="3"/>
        <v>1031.7469529833161</v>
      </c>
      <c r="F26" s="6">
        <f t="shared" si="4"/>
        <v>2.5000000000000001E-2</v>
      </c>
    </row>
    <row r="27" spans="1:6" x14ac:dyDescent="0.3">
      <c r="A27" s="1">
        <v>14</v>
      </c>
      <c r="B27" s="110">
        <f t="shared" si="0"/>
        <v>30</v>
      </c>
      <c r="C27" s="3">
        <f t="shared" si="1"/>
        <v>25.793673824582903</v>
      </c>
      <c r="D27" s="3">
        <f t="shared" si="2"/>
        <v>-4.2063261754170966</v>
      </c>
      <c r="E27" s="3">
        <f t="shared" si="3"/>
        <v>1027.5406268078989</v>
      </c>
      <c r="F27" s="6">
        <f t="shared" si="4"/>
        <v>2.5000000000000001E-2</v>
      </c>
    </row>
    <row r="28" spans="1:6" x14ac:dyDescent="0.3">
      <c r="A28" s="1">
        <v>15</v>
      </c>
      <c r="B28" s="110">
        <f t="shared" si="0"/>
        <v>30</v>
      </c>
      <c r="C28" s="3">
        <f t="shared" si="1"/>
        <v>25.688515670197475</v>
      </c>
      <c r="D28" s="3">
        <f t="shared" si="2"/>
        <v>-4.3114843298025249</v>
      </c>
      <c r="E28" s="3">
        <f t="shared" si="3"/>
        <v>1023.2291424780964</v>
      </c>
      <c r="F28" s="6">
        <f t="shared" si="4"/>
        <v>2.5000000000000001E-2</v>
      </c>
    </row>
    <row r="29" spans="1:6" x14ac:dyDescent="0.3">
      <c r="A29" s="1">
        <v>16</v>
      </c>
      <c r="B29" s="110">
        <f t="shared" si="0"/>
        <v>30</v>
      </c>
      <c r="C29" s="3">
        <f t="shared" si="1"/>
        <v>25.580728561952412</v>
      </c>
      <c r="D29" s="3">
        <f t="shared" si="2"/>
        <v>-4.4192714380475877</v>
      </c>
      <c r="E29" s="3">
        <f t="shared" si="3"/>
        <v>1018.8098710400488</v>
      </c>
      <c r="F29" s="6">
        <f t="shared" si="4"/>
        <v>2.5000000000000001E-2</v>
      </c>
    </row>
    <row r="30" spans="1:6" x14ac:dyDescent="0.3">
      <c r="A30" s="1">
        <v>17</v>
      </c>
      <c r="B30" s="110">
        <f t="shared" si="0"/>
        <v>30</v>
      </c>
      <c r="C30" s="3">
        <f t="shared" si="1"/>
        <v>25.470246776001222</v>
      </c>
      <c r="D30" s="3">
        <f t="shared" si="2"/>
        <v>-4.5297532239987781</v>
      </c>
      <c r="E30" s="3">
        <f t="shared" si="3"/>
        <v>1014.2801178160501</v>
      </c>
      <c r="F30" s="6">
        <f t="shared" si="4"/>
        <v>2.5000000000000001E-2</v>
      </c>
    </row>
    <row r="31" spans="1:6" x14ac:dyDescent="0.3">
      <c r="A31" s="1">
        <v>18</v>
      </c>
      <c r="B31" s="110">
        <f t="shared" si="0"/>
        <v>30</v>
      </c>
      <c r="C31" s="3">
        <f t="shared" si="1"/>
        <v>25.357002945401252</v>
      </c>
      <c r="D31" s="3">
        <f t="shared" si="2"/>
        <v>-4.642997054598748</v>
      </c>
      <c r="E31" s="3">
        <f t="shared" si="3"/>
        <v>1009.6371207614513</v>
      </c>
      <c r="F31" s="6">
        <f t="shared" si="4"/>
        <v>2.5000000000000001E-2</v>
      </c>
    </row>
    <row r="32" spans="1:6" x14ac:dyDescent="0.3">
      <c r="A32" s="1">
        <v>19</v>
      </c>
      <c r="B32" s="110">
        <f t="shared" si="0"/>
        <v>30</v>
      </c>
      <c r="C32" s="3">
        <f t="shared" si="1"/>
        <v>25.240928019036286</v>
      </c>
      <c r="D32" s="3">
        <f t="shared" si="2"/>
        <v>-4.7590719809637143</v>
      </c>
      <c r="E32" s="3">
        <f t="shared" si="3"/>
        <v>1004.8780487804876</v>
      </c>
      <c r="F32" s="6">
        <f t="shared" si="4"/>
        <v>2.5000000000000001E-2</v>
      </c>
    </row>
    <row r="33" spans="1:6" x14ac:dyDescent="0.3">
      <c r="A33" s="1">
        <v>20</v>
      </c>
      <c r="B33" s="110">
        <f t="shared" si="0"/>
        <v>30</v>
      </c>
      <c r="C33" s="3">
        <f t="shared" si="1"/>
        <v>25.121951219512191</v>
      </c>
      <c r="D33" s="3">
        <f t="shared" si="2"/>
        <v>-4.8780487804878092</v>
      </c>
      <c r="E33" s="3">
        <f t="shared" si="3"/>
        <v>999.99999999999977</v>
      </c>
      <c r="F33" s="6">
        <f t="shared" si="4"/>
        <v>2.5000000000000001E-2</v>
      </c>
    </row>
  </sheetData>
  <conditionalFormatting sqref="A5:B5">
    <cfRule type="expression" dxfId="19" priority="3" stopIfTrue="1">
      <formula>$B$5&lt;$B$3</formula>
    </cfRule>
    <cfRule type="expression" dxfId="18" priority="4" stopIfTrue="1">
      <formula>$B$5&gt;$B$3</formula>
    </cfRule>
  </conditionalFormatting>
  <conditionalFormatting sqref="A10:B10">
    <cfRule type="expression" dxfId="17" priority="1" stopIfTrue="1">
      <formula>$B$5&lt;$B$3</formula>
    </cfRule>
    <cfRule type="expression" dxfId="16" priority="2" stopIfTrue="1">
      <formula>$B$5&gt;$B$3</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9535C-9A83-4ADE-94CD-9BCE4449AD4C}">
  <sheetPr>
    <tabColor rgb="FF0000FF"/>
  </sheetPr>
  <dimension ref="A1:G33"/>
  <sheetViews>
    <sheetView zoomScale="115" zoomScaleNormal="115" workbookViewId="0">
      <pane ySplit="12" topLeftCell="A13" activePane="bottomLeft" state="frozen"/>
      <selection activeCell="G15" sqref="G15"/>
      <selection pane="bottomLeft" activeCell="D2" sqref="D2"/>
    </sheetView>
  </sheetViews>
  <sheetFormatPr defaultRowHeight="14.4" x14ac:dyDescent="0.3"/>
  <cols>
    <col min="1" max="1" width="15.5546875" bestFit="1" customWidth="1"/>
    <col min="2" max="2" width="10.109375" bestFit="1" customWidth="1"/>
    <col min="3" max="3" width="8" customWidth="1"/>
    <col min="4" max="4" width="8.77734375" customWidth="1"/>
    <col min="5" max="5" width="18.44140625" customWidth="1"/>
    <col min="6" max="7" width="10.5546875" customWidth="1"/>
  </cols>
  <sheetData>
    <row r="1" spans="1:7" x14ac:dyDescent="0.3">
      <c r="A1" s="1" t="s">
        <v>125</v>
      </c>
      <c r="B1" s="1">
        <v>10</v>
      </c>
      <c r="D1" s="1" t="s">
        <v>187</v>
      </c>
      <c r="E1" s="1" t="s">
        <v>188</v>
      </c>
      <c r="F1" s="1" t="s">
        <v>189</v>
      </c>
      <c r="G1" s="1" t="s">
        <v>190</v>
      </c>
    </row>
    <row r="2" spans="1:7" x14ac:dyDescent="0.3">
      <c r="A2" s="1" t="s">
        <v>60</v>
      </c>
      <c r="B2" s="1">
        <v>2</v>
      </c>
      <c r="D2" s="66"/>
      <c r="E2" s="1"/>
      <c r="F2" s="2"/>
      <c r="G2" s="1"/>
    </row>
    <row r="3" spans="1:7" x14ac:dyDescent="0.3">
      <c r="A3" s="87" t="s">
        <v>59</v>
      </c>
      <c r="B3" s="115">
        <v>0.06</v>
      </c>
      <c r="D3" s="1"/>
      <c r="E3" s="1"/>
      <c r="F3" s="2"/>
      <c r="G3" s="1"/>
    </row>
    <row r="4" spans="1:7" x14ac:dyDescent="0.3">
      <c r="A4" s="1" t="s">
        <v>61</v>
      </c>
      <c r="B4" s="114">
        <f>B3/B2</f>
        <v>0.03</v>
      </c>
      <c r="D4" s="1"/>
      <c r="E4" s="118"/>
      <c r="F4" s="1"/>
      <c r="G4" s="113"/>
    </row>
    <row r="5" spans="1:7" x14ac:dyDescent="0.3">
      <c r="A5" s="87" t="s">
        <v>113</v>
      </c>
      <c r="B5" s="115">
        <v>7.0000000000000007E-2</v>
      </c>
      <c r="D5" s="1"/>
      <c r="E5" s="1"/>
      <c r="F5" s="1"/>
      <c r="G5" s="1"/>
    </row>
    <row r="6" spans="1:7" x14ac:dyDescent="0.3">
      <c r="A6" s="1" t="s">
        <v>114</v>
      </c>
      <c r="B6" s="6">
        <f>B5/B2</f>
        <v>3.5000000000000003E-2</v>
      </c>
      <c r="D6" s="66"/>
      <c r="E6" s="1"/>
      <c r="F6" s="113"/>
      <c r="G6" s="1"/>
    </row>
    <row r="7" spans="1:7" x14ac:dyDescent="0.3">
      <c r="A7" s="1" t="s">
        <v>128</v>
      </c>
      <c r="B7" s="6">
        <f>B2*B1</f>
        <v>20</v>
      </c>
      <c r="D7" s="1"/>
      <c r="E7" s="118"/>
      <c r="F7" s="1"/>
      <c r="G7" s="113"/>
    </row>
    <row r="8" spans="1:7" x14ac:dyDescent="0.3">
      <c r="A8" s="1" t="s">
        <v>180</v>
      </c>
      <c r="B8" s="110">
        <f>B9*B4</f>
        <v>-30</v>
      </c>
      <c r="D8" s="1"/>
      <c r="E8" s="118"/>
      <c r="F8" s="1"/>
      <c r="G8" s="2"/>
    </row>
    <row r="9" spans="1:7" x14ac:dyDescent="0.3">
      <c r="A9" s="1" t="s">
        <v>174</v>
      </c>
      <c r="B9" s="111">
        <v>-1000</v>
      </c>
      <c r="D9" s="1"/>
      <c r="E9" s="1"/>
      <c r="F9" s="1"/>
      <c r="G9" s="1"/>
    </row>
    <row r="10" spans="1:7" x14ac:dyDescent="0.3">
      <c r="A10" s="87" t="s">
        <v>181</v>
      </c>
      <c r="B10" s="116">
        <f>PV(B6,B7,B8,B9)</f>
        <v>928.93798349023871</v>
      </c>
      <c r="D10" s="1"/>
      <c r="E10" s="1"/>
      <c r="F10" s="1"/>
      <c r="G10" s="1"/>
    </row>
    <row r="12" spans="1:7" ht="28.8" x14ac:dyDescent="0.3">
      <c r="A12" s="117" t="s">
        <v>85</v>
      </c>
      <c r="B12" s="117" t="s">
        <v>182</v>
      </c>
      <c r="C12" s="117" t="s">
        <v>183</v>
      </c>
      <c r="D12" s="117" t="s">
        <v>184</v>
      </c>
      <c r="E12" s="117" t="s">
        <v>185</v>
      </c>
      <c r="F12" s="117" t="s">
        <v>113</v>
      </c>
    </row>
    <row r="13" spans="1:7" x14ac:dyDescent="0.3">
      <c r="A13" s="1">
        <v>0</v>
      </c>
      <c r="B13" s="1"/>
      <c r="C13" s="1"/>
      <c r="D13" s="1"/>
      <c r="E13" s="3">
        <f>B10</f>
        <v>928.93798349023871</v>
      </c>
      <c r="F13" s="1"/>
    </row>
    <row r="14" spans="1:7" x14ac:dyDescent="0.3">
      <c r="A14" s="1">
        <v>1</v>
      </c>
      <c r="B14" s="110">
        <f>-$B$8</f>
        <v>30</v>
      </c>
      <c r="C14" s="3">
        <f>E13*$B$6</f>
        <v>32.512829422158354</v>
      </c>
      <c r="D14" s="3">
        <f>C14-B14</f>
        <v>2.5128294221583545</v>
      </c>
      <c r="E14" s="3">
        <f t="shared" ref="E14:E33" si="0">E13+D14</f>
        <v>931.45081291239705</v>
      </c>
      <c r="F14" s="6">
        <f t="shared" ref="F14:F33" si="1">C14/E13</f>
        <v>3.4999999999999996E-2</v>
      </c>
    </row>
    <row r="15" spans="1:7" x14ac:dyDescent="0.3">
      <c r="A15" s="1">
        <v>2</v>
      </c>
      <c r="B15" s="110">
        <f t="shared" ref="B15:B33" si="2">-$B$8</f>
        <v>30</v>
      </c>
      <c r="C15" s="3">
        <f t="shared" ref="C15:C33" si="3">E14*$B$6</f>
        <v>32.600778451933898</v>
      </c>
      <c r="D15" s="3">
        <f t="shared" ref="D15:D33" si="4">C15-B15</f>
        <v>2.6007784519338983</v>
      </c>
      <c r="E15" s="3">
        <f t="shared" si="0"/>
        <v>934.05159136433099</v>
      </c>
      <c r="F15" s="6">
        <f t="shared" si="1"/>
        <v>3.5000000000000003E-2</v>
      </c>
    </row>
    <row r="16" spans="1:7" x14ac:dyDescent="0.3">
      <c r="A16" s="1">
        <v>3</v>
      </c>
      <c r="B16" s="110">
        <f t="shared" si="2"/>
        <v>30</v>
      </c>
      <c r="C16" s="3">
        <f t="shared" si="3"/>
        <v>32.69180569775159</v>
      </c>
      <c r="D16" s="3">
        <f t="shared" si="4"/>
        <v>2.6918056977515903</v>
      </c>
      <c r="E16" s="3">
        <f t="shared" si="0"/>
        <v>936.74339706208252</v>
      </c>
      <c r="F16" s="6">
        <f t="shared" si="1"/>
        <v>3.5000000000000003E-2</v>
      </c>
    </row>
    <row r="17" spans="1:6" x14ac:dyDescent="0.3">
      <c r="A17" s="1">
        <v>4</v>
      </c>
      <c r="B17" s="110">
        <f t="shared" si="2"/>
        <v>30</v>
      </c>
      <c r="C17" s="3">
        <f t="shared" si="3"/>
        <v>32.786018897172895</v>
      </c>
      <c r="D17" s="3">
        <f t="shared" si="4"/>
        <v>2.7860188971728945</v>
      </c>
      <c r="E17" s="3">
        <f t="shared" si="0"/>
        <v>939.5294159592554</v>
      </c>
      <c r="F17" s="6">
        <f t="shared" si="1"/>
        <v>3.5000000000000003E-2</v>
      </c>
    </row>
    <row r="18" spans="1:6" x14ac:dyDescent="0.3">
      <c r="A18" s="1">
        <v>5</v>
      </c>
      <c r="B18" s="110">
        <f t="shared" si="2"/>
        <v>30</v>
      </c>
      <c r="C18" s="3">
        <f t="shared" si="3"/>
        <v>32.88352955857394</v>
      </c>
      <c r="D18" s="3">
        <f t="shared" si="4"/>
        <v>2.8835295585739402</v>
      </c>
      <c r="E18" s="3">
        <f t="shared" si="0"/>
        <v>942.41294551782937</v>
      </c>
      <c r="F18" s="6">
        <f t="shared" si="1"/>
        <v>3.5000000000000003E-2</v>
      </c>
    </row>
    <row r="19" spans="1:6" x14ac:dyDescent="0.3">
      <c r="A19" s="1">
        <v>6</v>
      </c>
      <c r="B19" s="110">
        <f t="shared" si="2"/>
        <v>30</v>
      </c>
      <c r="C19" s="3">
        <f t="shared" si="3"/>
        <v>32.984453093124031</v>
      </c>
      <c r="D19" s="3">
        <f t="shared" si="4"/>
        <v>2.9844530931240314</v>
      </c>
      <c r="E19" s="3">
        <f t="shared" si="0"/>
        <v>945.39739861095336</v>
      </c>
      <c r="F19" s="6">
        <f t="shared" si="1"/>
        <v>3.5000000000000003E-2</v>
      </c>
    </row>
    <row r="20" spans="1:6" x14ac:dyDescent="0.3">
      <c r="A20" s="1">
        <v>7</v>
      </c>
      <c r="B20" s="110">
        <f t="shared" si="2"/>
        <v>30</v>
      </c>
      <c r="C20" s="3">
        <f t="shared" si="3"/>
        <v>33.088908951383374</v>
      </c>
      <c r="D20" s="3">
        <f t="shared" si="4"/>
        <v>3.0889089513833738</v>
      </c>
      <c r="E20" s="3">
        <f t="shared" si="0"/>
        <v>948.48630756233672</v>
      </c>
      <c r="F20" s="6">
        <f t="shared" si="1"/>
        <v>3.5000000000000003E-2</v>
      </c>
    </row>
    <row r="21" spans="1:6" x14ac:dyDescent="0.3">
      <c r="A21" s="1">
        <v>8</v>
      </c>
      <c r="B21" s="110">
        <f t="shared" si="2"/>
        <v>30</v>
      </c>
      <c r="C21" s="3">
        <f t="shared" si="3"/>
        <v>33.197020764681788</v>
      </c>
      <c r="D21" s="3">
        <f t="shared" si="4"/>
        <v>3.1970207646817883</v>
      </c>
      <c r="E21" s="3">
        <f t="shared" si="0"/>
        <v>951.68332832701856</v>
      </c>
      <c r="F21" s="6">
        <f t="shared" si="1"/>
        <v>3.5000000000000003E-2</v>
      </c>
    </row>
    <row r="22" spans="1:6" x14ac:dyDescent="0.3">
      <c r="A22" s="1">
        <v>9</v>
      </c>
      <c r="B22" s="110">
        <f t="shared" si="2"/>
        <v>30</v>
      </c>
      <c r="C22" s="3">
        <f t="shared" si="3"/>
        <v>33.30891649144565</v>
      </c>
      <c r="D22" s="3">
        <f t="shared" si="4"/>
        <v>3.3089164914456504</v>
      </c>
      <c r="E22" s="3">
        <f t="shared" si="0"/>
        <v>954.9922448184642</v>
      </c>
      <c r="F22" s="6">
        <f t="shared" si="1"/>
        <v>3.5000000000000003E-2</v>
      </c>
    </row>
    <row r="23" spans="1:6" x14ac:dyDescent="0.3">
      <c r="A23" s="1">
        <v>10</v>
      </c>
      <c r="B23" s="110">
        <f t="shared" si="2"/>
        <v>30</v>
      </c>
      <c r="C23" s="3">
        <f t="shared" si="3"/>
        <v>33.424728568646252</v>
      </c>
      <c r="D23" s="3">
        <f t="shared" si="4"/>
        <v>3.4247285686462519</v>
      </c>
      <c r="E23" s="3">
        <f t="shared" si="0"/>
        <v>958.41697338711049</v>
      </c>
      <c r="F23" s="6">
        <f t="shared" si="1"/>
        <v>3.5000000000000003E-2</v>
      </c>
    </row>
    <row r="24" spans="1:6" x14ac:dyDescent="0.3">
      <c r="A24" s="1">
        <v>11</v>
      </c>
      <c r="B24" s="110">
        <f t="shared" si="2"/>
        <v>30</v>
      </c>
      <c r="C24" s="3">
        <f t="shared" si="3"/>
        <v>33.544594068548868</v>
      </c>
      <c r="D24" s="3">
        <f t="shared" si="4"/>
        <v>3.5445940685488679</v>
      </c>
      <c r="E24" s="3">
        <f t="shared" si="0"/>
        <v>961.96156745565941</v>
      </c>
      <c r="F24" s="6">
        <f t="shared" si="1"/>
        <v>3.5000000000000003E-2</v>
      </c>
    </row>
    <row r="25" spans="1:6" x14ac:dyDescent="0.3">
      <c r="A25" s="1">
        <v>12</v>
      </c>
      <c r="B25" s="110">
        <f t="shared" si="2"/>
        <v>30</v>
      </c>
      <c r="C25" s="3">
        <f t="shared" si="3"/>
        <v>33.668654860948081</v>
      </c>
      <c r="D25" s="3">
        <f t="shared" si="4"/>
        <v>3.6686548609480809</v>
      </c>
      <c r="E25" s="3">
        <f t="shared" si="0"/>
        <v>965.6302223166075</v>
      </c>
      <c r="F25" s="6">
        <f t="shared" si="1"/>
        <v>3.5000000000000003E-2</v>
      </c>
    </row>
    <row r="26" spans="1:6" x14ac:dyDescent="0.3">
      <c r="A26" s="1">
        <v>13</v>
      </c>
      <c r="B26" s="110">
        <f t="shared" si="2"/>
        <v>30</v>
      </c>
      <c r="C26" s="3">
        <f t="shared" si="3"/>
        <v>33.797057781081264</v>
      </c>
      <c r="D26" s="3">
        <f t="shared" si="4"/>
        <v>3.7970577810812642</v>
      </c>
      <c r="E26" s="3">
        <f t="shared" si="0"/>
        <v>969.42728009768871</v>
      </c>
      <c r="F26" s="6">
        <f t="shared" si="1"/>
        <v>3.5000000000000003E-2</v>
      </c>
    </row>
    <row r="27" spans="1:6" x14ac:dyDescent="0.3">
      <c r="A27" s="1">
        <v>14</v>
      </c>
      <c r="B27" s="110">
        <f t="shared" si="2"/>
        <v>30</v>
      </c>
      <c r="C27" s="3">
        <f t="shared" si="3"/>
        <v>33.929954803419108</v>
      </c>
      <c r="D27" s="3">
        <f t="shared" si="4"/>
        <v>3.9299548034191076</v>
      </c>
      <c r="E27" s="3">
        <f t="shared" si="0"/>
        <v>973.35723490110786</v>
      </c>
      <c r="F27" s="6">
        <f t="shared" si="1"/>
        <v>3.5000000000000003E-2</v>
      </c>
    </row>
    <row r="28" spans="1:6" x14ac:dyDescent="0.3">
      <c r="A28" s="1">
        <v>15</v>
      </c>
      <c r="B28" s="110">
        <f t="shared" si="2"/>
        <v>30</v>
      </c>
      <c r="C28" s="3">
        <f t="shared" si="3"/>
        <v>34.067503221538779</v>
      </c>
      <c r="D28" s="3">
        <f t="shared" si="4"/>
        <v>4.0675032215387787</v>
      </c>
      <c r="E28" s="3">
        <f t="shared" si="0"/>
        <v>977.42473812264666</v>
      </c>
      <c r="F28" s="6">
        <f t="shared" si="1"/>
        <v>3.5000000000000003E-2</v>
      </c>
    </row>
    <row r="29" spans="1:6" x14ac:dyDescent="0.3">
      <c r="A29" s="1">
        <v>16</v>
      </c>
      <c r="B29" s="110">
        <f t="shared" si="2"/>
        <v>30</v>
      </c>
      <c r="C29" s="3">
        <f t="shared" si="3"/>
        <v>34.209865834292636</v>
      </c>
      <c r="D29" s="3">
        <f t="shared" si="4"/>
        <v>4.2098658342926356</v>
      </c>
      <c r="E29" s="3">
        <f t="shared" si="0"/>
        <v>981.63460395693926</v>
      </c>
      <c r="F29" s="6">
        <f t="shared" si="1"/>
        <v>3.5000000000000003E-2</v>
      </c>
    </row>
    <row r="30" spans="1:6" x14ac:dyDescent="0.3">
      <c r="A30" s="1">
        <v>17</v>
      </c>
      <c r="B30" s="110">
        <f t="shared" si="2"/>
        <v>30</v>
      </c>
      <c r="C30" s="3">
        <f t="shared" si="3"/>
        <v>34.357211138492879</v>
      </c>
      <c r="D30" s="3">
        <f t="shared" si="4"/>
        <v>4.3572111384928789</v>
      </c>
      <c r="E30" s="3">
        <f t="shared" si="0"/>
        <v>985.99181509543212</v>
      </c>
      <c r="F30" s="6">
        <f t="shared" si="1"/>
        <v>3.5000000000000003E-2</v>
      </c>
    </row>
    <row r="31" spans="1:6" x14ac:dyDescent="0.3">
      <c r="A31" s="1">
        <v>18</v>
      </c>
      <c r="B31" s="110">
        <f t="shared" si="2"/>
        <v>30</v>
      </c>
      <c r="C31" s="3">
        <f t="shared" si="3"/>
        <v>34.509713528340129</v>
      </c>
      <c r="D31" s="3">
        <f t="shared" si="4"/>
        <v>4.5097135283401286</v>
      </c>
      <c r="E31" s="3">
        <f t="shared" si="0"/>
        <v>990.50152862377229</v>
      </c>
      <c r="F31" s="6">
        <f t="shared" si="1"/>
        <v>3.5000000000000003E-2</v>
      </c>
    </row>
    <row r="32" spans="1:6" x14ac:dyDescent="0.3">
      <c r="A32" s="1">
        <v>19</v>
      </c>
      <c r="B32" s="110">
        <f t="shared" si="2"/>
        <v>30</v>
      </c>
      <c r="C32" s="3">
        <f t="shared" si="3"/>
        <v>34.667553501832032</v>
      </c>
      <c r="D32" s="3">
        <f t="shared" si="4"/>
        <v>4.6675535018320318</v>
      </c>
      <c r="E32" s="3">
        <f t="shared" si="0"/>
        <v>995.16908212560429</v>
      </c>
      <c r="F32" s="6">
        <f t="shared" si="1"/>
        <v>3.5000000000000003E-2</v>
      </c>
    </row>
    <row r="33" spans="1:6" x14ac:dyDescent="0.3">
      <c r="A33" s="1">
        <v>20</v>
      </c>
      <c r="B33" s="110">
        <f t="shared" si="2"/>
        <v>30</v>
      </c>
      <c r="C33" s="3">
        <f t="shared" si="3"/>
        <v>34.830917874396157</v>
      </c>
      <c r="D33" s="3">
        <f t="shared" si="4"/>
        <v>4.8309178743961567</v>
      </c>
      <c r="E33" s="3">
        <f t="shared" si="0"/>
        <v>1000.0000000000005</v>
      </c>
      <c r="F33" s="6">
        <f t="shared" si="1"/>
        <v>3.5000000000000003E-2</v>
      </c>
    </row>
  </sheetData>
  <conditionalFormatting sqref="A5:B5">
    <cfRule type="expression" dxfId="15" priority="3" stopIfTrue="1">
      <formula>$B$5&lt;$B$3</formula>
    </cfRule>
    <cfRule type="expression" dxfId="14" priority="4" stopIfTrue="1">
      <formula>$B$5&gt;$B$3</formula>
    </cfRule>
  </conditionalFormatting>
  <conditionalFormatting sqref="A10:B10">
    <cfRule type="expression" dxfId="13" priority="1" stopIfTrue="1">
      <formula>$B$5&lt;$B$3</formula>
    </cfRule>
    <cfRule type="expression" dxfId="12" priority="2" stopIfTrue="1">
      <formula>$B$5&gt;$B$3</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17E849-A469-4493-AACD-196FB7DE2BD4}">
  <sheetPr>
    <tabColor rgb="FFFF0000"/>
  </sheetPr>
  <dimension ref="A1:I33"/>
  <sheetViews>
    <sheetView zoomScale="115" zoomScaleNormal="115" workbookViewId="0">
      <pane ySplit="12" topLeftCell="A13" activePane="bottomLeft" state="frozen"/>
      <selection activeCell="G15" sqref="G15"/>
      <selection pane="bottomLeft" activeCell="G10" sqref="G10"/>
    </sheetView>
  </sheetViews>
  <sheetFormatPr defaultRowHeight="14.4" x14ac:dyDescent="0.3"/>
  <cols>
    <col min="1" max="1" width="15.5546875" bestFit="1" customWidth="1"/>
    <col min="2" max="2" width="10.109375" bestFit="1" customWidth="1"/>
    <col min="3" max="3" width="8" customWidth="1"/>
    <col min="4" max="4" width="8.77734375" customWidth="1"/>
    <col min="5" max="5" width="18.44140625" customWidth="1"/>
    <col min="6" max="7" width="10.5546875" customWidth="1"/>
  </cols>
  <sheetData>
    <row r="1" spans="1:9" x14ac:dyDescent="0.3">
      <c r="A1" s="1" t="s">
        <v>125</v>
      </c>
      <c r="B1" s="1">
        <v>10</v>
      </c>
      <c r="D1" s="1" t="s">
        <v>187</v>
      </c>
      <c r="E1" s="1" t="s">
        <v>188</v>
      </c>
      <c r="F1" s="1" t="s">
        <v>189</v>
      </c>
      <c r="G1" s="1" t="s">
        <v>190</v>
      </c>
    </row>
    <row r="2" spans="1:9" x14ac:dyDescent="0.3">
      <c r="A2" s="1" t="s">
        <v>60</v>
      </c>
      <c r="B2" s="1">
        <v>2</v>
      </c>
      <c r="D2" s="66">
        <v>40179</v>
      </c>
      <c r="E2" s="1" t="s">
        <v>191</v>
      </c>
      <c r="F2" s="2">
        <f>B10</f>
        <v>928.93798349023871</v>
      </c>
      <c r="G2" s="1"/>
    </row>
    <row r="3" spans="1:9" x14ac:dyDescent="0.3">
      <c r="A3" s="87" t="s">
        <v>59</v>
      </c>
      <c r="B3" s="115">
        <v>0.06</v>
      </c>
      <c r="D3" s="1"/>
      <c r="E3" s="1" t="s">
        <v>193</v>
      </c>
      <c r="F3" s="2">
        <f>-B9-B10</f>
        <v>71.062016509761293</v>
      </c>
      <c r="G3" s="1"/>
    </row>
    <row r="4" spans="1:9" x14ac:dyDescent="0.3">
      <c r="A4" s="1" t="s">
        <v>61</v>
      </c>
      <c r="B4" s="114">
        <f>B3/B2</f>
        <v>0.03</v>
      </c>
      <c r="D4" s="1"/>
      <c r="E4" s="118" t="s">
        <v>192</v>
      </c>
      <c r="F4" s="1"/>
      <c r="G4" s="113">
        <f>-B9</f>
        <v>1000</v>
      </c>
      <c r="I4" t="str">
        <f>IF(SUM(F2:F3)=G4,"DR=CR","NoBalance")</f>
        <v>DR=CR</v>
      </c>
    </row>
    <row r="5" spans="1:9" x14ac:dyDescent="0.3">
      <c r="A5" s="87" t="s">
        <v>113</v>
      </c>
      <c r="B5" s="115">
        <v>7.0000000000000007E-2</v>
      </c>
      <c r="D5" s="1"/>
      <c r="E5" s="1"/>
      <c r="F5" s="1"/>
      <c r="G5" s="1"/>
    </row>
    <row r="6" spans="1:9" x14ac:dyDescent="0.3">
      <c r="A6" s="1" t="s">
        <v>114</v>
      </c>
      <c r="B6" s="6">
        <f>B5/B2</f>
        <v>3.5000000000000003E-2</v>
      </c>
      <c r="D6" s="66">
        <f>EDATE(D2,6)</f>
        <v>40360</v>
      </c>
      <c r="E6" s="1" t="s">
        <v>194</v>
      </c>
      <c r="F6" s="113">
        <f>SUM(G7:G8)</f>
        <v>32.512829422158354</v>
      </c>
      <c r="G6" s="1"/>
    </row>
    <row r="7" spans="1:9" x14ac:dyDescent="0.3">
      <c r="A7" s="1" t="s">
        <v>128</v>
      </c>
      <c r="B7" s="6">
        <f>B2*B1</f>
        <v>20</v>
      </c>
      <c r="D7" s="1"/>
      <c r="E7" s="118" t="s">
        <v>191</v>
      </c>
      <c r="F7" s="1"/>
      <c r="G7" s="113">
        <f>B14</f>
        <v>30</v>
      </c>
    </row>
    <row r="8" spans="1:9" x14ac:dyDescent="0.3">
      <c r="A8" s="1" t="s">
        <v>180</v>
      </c>
      <c r="B8" s="110">
        <f>B9*B4</f>
        <v>-30</v>
      </c>
      <c r="D8" s="1"/>
      <c r="E8" s="118" t="str">
        <f>E3</f>
        <v>Discount On BP</v>
      </c>
      <c r="F8" s="1"/>
      <c r="G8" s="2">
        <f>D14</f>
        <v>2.5128294221583545</v>
      </c>
    </row>
    <row r="9" spans="1:9" x14ac:dyDescent="0.3">
      <c r="A9" s="1" t="s">
        <v>174</v>
      </c>
      <c r="B9" s="111">
        <v>-1000</v>
      </c>
      <c r="D9" s="1"/>
      <c r="E9" s="1"/>
      <c r="F9" s="1"/>
      <c r="G9" s="1"/>
    </row>
    <row r="10" spans="1:9" x14ac:dyDescent="0.3">
      <c r="A10" s="87" t="s">
        <v>181</v>
      </c>
      <c r="B10" s="116">
        <f>PV(B6,B7,B8,B9)</f>
        <v>928.93798349023871</v>
      </c>
      <c r="D10" s="1"/>
      <c r="E10" s="1"/>
      <c r="F10" s="1"/>
      <c r="G10" s="1"/>
    </row>
    <row r="12" spans="1:9" ht="28.8" x14ac:dyDescent="0.3">
      <c r="A12" s="117" t="s">
        <v>85</v>
      </c>
      <c r="B12" s="117" t="s">
        <v>182</v>
      </c>
      <c r="C12" s="117" t="s">
        <v>183</v>
      </c>
      <c r="D12" s="117" t="s">
        <v>184</v>
      </c>
      <c r="E12" s="117" t="s">
        <v>185</v>
      </c>
      <c r="F12" s="117" t="s">
        <v>113</v>
      </c>
    </row>
    <row r="13" spans="1:9" x14ac:dyDescent="0.3">
      <c r="A13" s="1">
        <v>0</v>
      </c>
      <c r="B13" s="1"/>
      <c r="C13" s="1"/>
      <c r="D13" s="1"/>
      <c r="E13" s="3">
        <f>B10</f>
        <v>928.93798349023871</v>
      </c>
      <c r="F13" s="1"/>
    </row>
    <row r="14" spans="1:9" x14ac:dyDescent="0.3">
      <c r="A14" s="1">
        <v>1</v>
      </c>
      <c r="B14" s="110">
        <f>-$B$8</f>
        <v>30</v>
      </c>
      <c r="C14" s="3">
        <f>E13*$B$6</f>
        <v>32.512829422158354</v>
      </c>
      <c r="D14" s="3">
        <f>C14-B14</f>
        <v>2.5128294221583545</v>
      </c>
      <c r="E14" s="3">
        <f t="shared" ref="E14:E33" si="0">E13+D14</f>
        <v>931.45081291239705</v>
      </c>
      <c r="F14" s="6">
        <f t="shared" ref="F14:F33" si="1">C14/E13</f>
        <v>3.4999999999999996E-2</v>
      </c>
    </row>
    <row r="15" spans="1:9" x14ac:dyDescent="0.3">
      <c r="A15" s="1">
        <v>2</v>
      </c>
      <c r="B15" s="110">
        <f t="shared" ref="B15:B33" si="2">-$B$8</f>
        <v>30</v>
      </c>
      <c r="C15" s="3">
        <f t="shared" ref="C15:C33" si="3">E14*$B$6</f>
        <v>32.600778451933898</v>
      </c>
      <c r="D15" s="3">
        <f t="shared" ref="D15:D33" si="4">C15-B15</f>
        <v>2.6007784519338983</v>
      </c>
      <c r="E15" s="3">
        <f t="shared" si="0"/>
        <v>934.05159136433099</v>
      </c>
      <c r="F15" s="6">
        <f t="shared" si="1"/>
        <v>3.5000000000000003E-2</v>
      </c>
    </row>
    <row r="16" spans="1:9" x14ac:dyDescent="0.3">
      <c r="A16" s="1">
        <v>3</v>
      </c>
      <c r="B16" s="110">
        <f t="shared" si="2"/>
        <v>30</v>
      </c>
      <c r="C16" s="3">
        <f t="shared" si="3"/>
        <v>32.69180569775159</v>
      </c>
      <c r="D16" s="3">
        <f t="shared" si="4"/>
        <v>2.6918056977515903</v>
      </c>
      <c r="E16" s="3">
        <f t="shared" si="0"/>
        <v>936.74339706208252</v>
      </c>
      <c r="F16" s="6">
        <f t="shared" si="1"/>
        <v>3.5000000000000003E-2</v>
      </c>
    </row>
    <row r="17" spans="1:6" x14ac:dyDescent="0.3">
      <c r="A17" s="1">
        <v>4</v>
      </c>
      <c r="B17" s="110">
        <f t="shared" si="2"/>
        <v>30</v>
      </c>
      <c r="C17" s="3">
        <f t="shared" si="3"/>
        <v>32.786018897172895</v>
      </c>
      <c r="D17" s="3">
        <f t="shared" si="4"/>
        <v>2.7860188971728945</v>
      </c>
      <c r="E17" s="3">
        <f t="shared" si="0"/>
        <v>939.5294159592554</v>
      </c>
      <c r="F17" s="6">
        <f t="shared" si="1"/>
        <v>3.5000000000000003E-2</v>
      </c>
    </row>
    <row r="18" spans="1:6" x14ac:dyDescent="0.3">
      <c r="A18" s="1">
        <v>5</v>
      </c>
      <c r="B18" s="110">
        <f t="shared" si="2"/>
        <v>30</v>
      </c>
      <c r="C18" s="3">
        <f t="shared" si="3"/>
        <v>32.88352955857394</v>
      </c>
      <c r="D18" s="3">
        <f t="shared" si="4"/>
        <v>2.8835295585739402</v>
      </c>
      <c r="E18" s="3">
        <f t="shared" si="0"/>
        <v>942.41294551782937</v>
      </c>
      <c r="F18" s="6">
        <f t="shared" si="1"/>
        <v>3.5000000000000003E-2</v>
      </c>
    </row>
    <row r="19" spans="1:6" x14ac:dyDescent="0.3">
      <c r="A19" s="1">
        <v>6</v>
      </c>
      <c r="B19" s="110">
        <f t="shared" si="2"/>
        <v>30</v>
      </c>
      <c r="C19" s="3">
        <f t="shared" si="3"/>
        <v>32.984453093124031</v>
      </c>
      <c r="D19" s="3">
        <f t="shared" si="4"/>
        <v>2.9844530931240314</v>
      </c>
      <c r="E19" s="3">
        <f t="shared" si="0"/>
        <v>945.39739861095336</v>
      </c>
      <c r="F19" s="6">
        <f t="shared" si="1"/>
        <v>3.5000000000000003E-2</v>
      </c>
    </row>
    <row r="20" spans="1:6" x14ac:dyDescent="0.3">
      <c r="A20" s="1">
        <v>7</v>
      </c>
      <c r="B20" s="110">
        <f t="shared" si="2"/>
        <v>30</v>
      </c>
      <c r="C20" s="3">
        <f t="shared" si="3"/>
        <v>33.088908951383374</v>
      </c>
      <c r="D20" s="3">
        <f t="shared" si="4"/>
        <v>3.0889089513833738</v>
      </c>
      <c r="E20" s="3">
        <f t="shared" si="0"/>
        <v>948.48630756233672</v>
      </c>
      <c r="F20" s="6">
        <f t="shared" si="1"/>
        <v>3.5000000000000003E-2</v>
      </c>
    </row>
    <row r="21" spans="1:6" x14ac:dyDescent="0.3">
      <c r="A21" s="1">
        <v>8</v>
      </c>
      <c r="B21" s="110">
        <f t="shared" si="2"/>
        <v>30</v>
      </c>
      <c r="C21" s="3">
        <f t="shared" si="3"/>
        <v>33.197020764681788</v>
      </c>
      <c r="D21" s="3">
        <f t="shared" si="4"/>
        <v>3.1970207646817883</v>
      </c>
      <c r="E21" s="3">
        <f t="shared" si="0"/>
        <v>951.68332832701856</v>
      </c>
      <c r="F21" s="6">
        <f t="shared" si="1"/>
        <v>3.5000000000000003E-2</v>
      </c>
    </row>
    <row r="22" spans="1:6" x14ac:dyDescent="0.3">
      <c r="A22" s="1">
        <v>9</v>
      </c>
      <c r="B22" s="110">
        <f t="shared" si="2"/>
        <v>30</v>
      </c>
      <c r="C22" s="3">
        <f t="shared" si="3"/>
        <v>33.30891649144565</v>
      </c>
      <c r="D22" s="3">
        <f t="shared" si="4"/>
        <v>3.3089164914456504</v>
      </c>
      <c r="E22" s="3">
        <f t="shared" si="0"/>
        <v>954.9922448184642</v>
      </c>
      <c r="F22" s="6">
        <f t="shared" si="1"/>
        <v>3.5000000000000003E-2</v>
      </c>
    </row>
    <row r="23" spans="1:6" x14ac:dyDescent="0.3">
      <c r="A23" s="1">
        <v>10</v>
      </c>
      <c r="B23" s="110">
        <f t="shared" si="2"/>
        <v>30</v>
      </c>
      <c r="C23" s="3">
        <f t="shared" si="3"/>
        <v>33.424728568646252</v>
      </c>
      <c r="D23" s="3">
        <f t="shared" si="4"/>
        <v>3.4247285686462519</v>
      </c>
      <c r="E23" s="3">
        <f t="shared" si="0"/>
        <v>958.41697338711049</v>
      </c>
      <c r="F23" s="6">
        <f t="shared" si="1"/>
        <v>3.5000000000000003E-2</v>
      </c>
    </row>
    <row r="24" spans="1:6" x14ac:dyDescent="0.3">
      <c r="A24" s="1">
        <v>11</v>
      </c>
      <c r="B24" s="110">
        <f t="shared" si="2"/>
        <v>30</v>
      </c>
      <c r="C24" s="3">
        <f t="shared" si="3"/>
        <v>33.544594068548868</v>
      </c>
      <c r="D24" s="3">
        <f t="shared" si="4"/>
        <v>3.5445940685488679</v>
      </c>
      <c r="E24" s="3">
        <f t="shared" si="0"/>
        <v>961.96156745565941</v>
      </c>
      <c r="F24" s="6">
        <f t="shared" si="1"/>
        <v>3.5000000000000003E-2</v>
      </c>
    </row>
    <row r="25" spans="1:6" x14ac:dyDescent="0.3">
      <c r="A25" s="1">
        <v>12</v>
      </c>
      <c r="B25" s="110">
        <f t="shared" si="2"/>
        <v>30</v>
      </c>
      <c r="C25" s="3">
        <f t="shared" si="3"/>
        <v>33.668654860948081</v>
      </c>
      <c r="D25" s="3">
        <f t="shared" si="4"/>
        <v>3.6686548609480809</v>
      </c>
      <c r="E25" s="3">
        <f t="shared" si="0"/>
        <v>965.6302223166075</v>
      </c>
      <c r="F25" s="6">
        <f t="shared" si="1"/>
        <v>3.5000000000000003E-2</v>
      </c>
    </row>
    <row r="26" spans="1:6" x14ac:dyDescent="0.3">
      <c r="A26" s="1">
        <v>13</v>
      </c>
      <c r="B26" s="110">
        <f t="shared" si="2"/>
        <v>30</v>
      </c>
      <c r="C26" s="3">
        <f t="shared" si="3"/>
        <v>33.797057781081264</v>
      </c>
      <c r="D26" s="3">
        <f t="shared" si="4"/>
        <v>3.7970577810812642</v>
      </c>
      <c r="E26" s="3">
        <f t="shared" si="0"/>
        <v>969.42728009768871</v>
      </c>
      <c r="F26" s="6">
        <f t="shared" si="1"/>
        <v>3.5000000000000003E-2</v>
      </c>
    </row>
    <row r="27" spans="1:6" x14ac:dyDescent="0.3">
      <c r="A27" s="1">
        <v>14</v>
      </c>
      <c r="B27" s="110">
        <f t="shared" si="2"/>
        <v>30</v>
      </c>
      <c r="C27" s="3">
        <f t="shared" si="3"/>
        <v>33.929954803419108</v>
      </c>
      <c r="D27" s="3">
        <f t="shared" si="4"/>
        <v>3.9299548034191076</v>
      </c>
      <c r="E27" s="3">
        <f t="shared" si="0"/>
        <v>973.35723490110786</v>
      </c>
      <c r="F27" s="6">
        <f t="shared" si="1"/>
        <v>3.5000000000000003E-2</v>
      </c>
    </row>
    <row r="28" spans="1:6" x14ac:dyDescent="0.3">
      <c r="A28" s="1">
        <v>15</v>
      </c>
      <c r="B28" s="110">
        <f t="shared" si="2"/>
        <v>30</v>
      </c>
      <c r="C28" s="3">
        <f t="shared" si="3"/>
        <v>34.067503221538779</v>
      </c>
      <c r="D28" s="3">
        <f t="shared" si="4"/>
        <v>4.0675032215387787</v>
      </c>
      <c r="E28" s="3">
        <f t="shared" si="0"/>
        <v>977.42473812264666</v>
      </c>
      <c r="F28" s="6">
        <f t="shared" si="1"/>
        <v>3.5000000000000003E-2</v>
      </c>
    </row>
    <row r="29" spans="1:6" x14ac:dyDescent="0.3">
      <c r="A29" s="1">
        <v>16</v>
      </c>
      <c r="B29" s="110">
        <f t="shared" si="2"/>
        <v>30</v>
      </c>
      <c r="C29" s="3">
        <f t="shared" si="3"/>
        <v>34.209865834292636</v>
      </c>
      <c r="D29" s="3">
        <f t="shared" si="4"/>
        <v>4.2098658342926356</v>
      </c>
      <c r="E29" s="3">
        <f t="shared" si="0"/>
        <v>981.63460395693926</v>
      </c>
      <c r="F29" s="6">
        <f t="shared" si="1"/>
        <v>3.5000000000000003E-2</v>
      </c>
    </row>
    <row r="30" spans="1:6" x14ac:dyDescent="0.3">
      <c r="A30" s="1">
        <v>17</v>
      </c>
      <c r="B30" s="110">
        <f t="shared" si="2"/>
        <v>30</v>
      </c>
      <c r="C30" s="3">
        <f t="shared" si="3"/>
        <v>34.357211138492879</v>
      </c>
      <c r="D30" s="3">
        <f t="shared" si="4"/>
        <v>4.3572111384928789</v>
      </c>
      <c r="E30" s="3">
        <f t="shared" si="0"/>
        <v>985.99181509543212</v>
      </c>
      <c r="F30" s="6">
        <f t="shared" si="1"/>
        <v>3.5000000000000003E-2</v>
      </c>
    </row>
    <row r="31" spans="1:6" x14ac:dyDescent="0.3">
      <c r="A31" s="1">
        <v>18</v>
      </c>
      <c r="B31" s="110">
        <f t="shared" si="2"/>
        <v>30</v>
      </c>
      <c r="C31" s="3">
        <f t="shared" si="3"/>
        <v>34.509713528340129</v>
      </c>
      <c r="D31" s="3">
        <f t="shared" si="4"/>
        <v>4.5097135283401286</v>
      </c>
      <c r="E31" s="3">
        <f t="shared" si="0"/>
        <v>990.50152862377229</v>
      </c>
      <c r="F31" s="6">
        <f t="shared" si="1"/>
        <v>3.5000000000000003E-2</v>
      </c>
    </row>
    <row r="32" spans="1:6" x14ac:dyDescent="0.3">
      <c r="A32" s="1">
        <v>19</v>
      </c>
      <c r="B32" s="110">
        <f t="shared" si="2"/>
        <v>30</v>
      </c>
      <c r="C32" s="3">
        <f t="shared" si="3"/>
        <v>34.667553501832032</v>
      </c>
      <c r="D32" s="3">
        <f t="shared" si="4"/>
        <v>4.6675535018320318</v>
      </c>
      <c r="E32" s="3">
        <f t="shared" si="0"/>
        <v>995.16908212560429</v>
      </c>
      <c r="F32" s="6">
        <f t="shared" si="1"/>
        <v>3.5000000000000003E-2</v>
      </c>
    </row>
    <row r="33" spans="1:6" x14ac:dyDescent="0.3">
      <c r="A33" s="1">
        <v>20</v>
      </c>
      <c r="B33" s="110">
        <f t="shared" si="2"/>
        <v>30</v>
      </c>
      <c r="C33" s="3">
        <f t="shared" si="3"/>
        <v>34.830917874396157</v>
      </c>
      <c r="D33" s="3">
        <f t="shared" si="4"/>
        <v>4.8309178743961567</v>
      </c>
      <c r="E33" s="3">
        <f t="shared" si="0"/>
        <v>1000.0000000000005</v>
      </c>
      <c r="F33" s="6">
        <f t="shared" si="1"/>
        <v>3.5000000000000003E-2</v>
      </c>
    </row>
  </sheetData>
  <conditionalFormatting sqref="A5:B5">
    <cfRule type="expression" dxfId="11" priority="3" stopIfTrue="1">
      <formula>$B$5&lt;$B$3</formula>
    </cfRule>
    <cfRule type="expression" dxfId="10" priority="4" stopIfTrue="1">
      <formula>$B$5&gt;$B$3</formula>
    </cfRule>
  </conditionalFormatting>
  <conditionalFormatting sqref="A10:B10">
    <cfRule type="expression" dxfId="9" priority="1" stopIfTrue="1">
      <formula>$B$5&lt;$B$3</formula>
    </cfRule>
    <cfRule type="expression" dxfId="8" priority="2" stopIfTrue="1">
      <formula>$B$5&gt;$B$3</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86AEA-5F5F-4371-98D6-0AE92F553D63}">
  <sheetPr>
    <tabColor rgb="FFFF0000"/>
  </sheetPr>
  <dimension ref="A1:G22"/>
  <sheetViews>
    <sheetView zoomScale="115" zoomScaleNormal="115" workbookViewId="0">
      <selection activeCell="C16" sqref="C16"/>
    </sheetView>
  </sheetViews>
  <sheetFormatPr defaultRowHeight="14.4" x14ac:dyDescent="0.3"/>
  <cols>
    <col min="1" max="1" width="2" bestFit="1" customWidth="1"/>
    <col min="2" max="2" width="42.33203125" bestFit="1" customWidth="1"/>
    <col min="3" max="3" width="12.33203125" customWidth="1"/>
    <col min="4" max="4" width="3.5546875" customWidth="1"/>
    <col min="5" max="5" width="17.5546875" bestFit="1" customWidth="1"/>
    <col min="6" max="6" width="21.33203125" bestFit="1" customWidth="1"/>
    <col min="7" max="7" width="12.88671875" customWidth="1"/>
  </cols>
  <sheetData>
    <row r="1" spans="1:7" x14ac:dyDescent="0.3">
      <c r="B1" s="52" t="s">
        <v>90</v>
      </c>
      <c r="C1" s="53">
        <v>3.39</v>
      </c>
      <c r="D1" s="46"/>
      <c r="G1" s="46"/>
    </row>
    <row r="2" spans="1:7" x14ac:dyDescent="0.3">
      <c r="B2" s="52" t="s">
        <v>97</v>
      </c>
      <c r="C2" s="45">
        <v>100</v>
      </c>
      <c r="D2" s="46"/>
      <c r="G2" s="46"/>
    </row>
    <row r="3" spans="1:7" x14ac:dyDescent="0.3">
      <c r="B3" s="52" t="s">
        <v>98</v>
      </c>
      <c r="C3" s="54">
        <f>C2*C1</f>
        <v>339</v>
      </c>
      <c r="D3" s="46"/>
      <c r="G3" s="46"/>
    </row>
    <row r="4" spans="1:7" x14ac:dyDescent="0.3">
      <c r="B4" s="46"/>
      <c r="C4" s="47"/>
      <c r="D4" s="46"/>
      <c r="G4" s="46"/>
    </row>
    <row r="5" spans="1:7" x14ac:dyDescent="0.3">
      <c r="B5" s="52" t="s">
        <v>92</v>
      </c>
      <c r="C5" s="53">
        <f>C1*C2</f>
        <v>339</v>
      </c>
      <c r="D5" s="46"/>
      <c r="E5" s="46"/>
      <c r="F5" s="46"/>
      <c r="G5" s="46"/>
    </row>
    <row r="6" spans="1:7" x14ac:dyDescent="0.3">
      <c r="B6" s="52" t="s">
        <v>93</v>
      </c>
      <c r="C6" s="48">
        <v>0.1</v>
      </c>
      <c r="D6" s="46"/>
      <c r="E6" s="46" t="s">
        <v>99</v>
      </c>
      <c r="F6" s="46"/>
      <c r="G6" s="46"/>
    </row>
    <row r="7" spans="1:7" x14ac:dyDescent="0.3">
      <c r="B7" s="52" t="s">
        <v>94</v>
      </c>
      <c r="C7" s="54">
        <f>C5*(1+C6)</f>
        <v>372.90000000000003</v>
      </c>
      <c r="D7" s="46"/>
      <c r="E7" s="46"/>
      <c r="F7" s="46"/>
      <c r="G7" s="46"/>
    </row>
    <row r="8" spans="1:7" x14ac:dyDescent="0.3">
      <c r="B8" s="46"/>
      <c r="C8" s="47"/>
      <c r="D8" s="46"/>
      <c r="E8" s="46"/>
      <c r="F8" s="46"/>
      <c r="G8" s="46"/>
    </row>
    <row r="9" spans="1:7" x14ac:dyDescent="0.3">
      <c r="B9" s="52" t="s">
        <v>95</v>
      </c>
      <c r="C9" s="53">
        <v>3.56</v>
      </c>
      <c r="D9" s="46"/>
      <c r="E9" s="46"/>
      <c r="F9" s="46"/>
      <c r="G9" s="46"/>
    </row>
    <row r="10" spans="1:7" x14ac:dyDescent="0.3">
      <c r="B10" s="52" t="str">
        <f>"Milk Inflation = "&amp;C9&amp;"/"&amp;C1&amp;" -1 = h"</f>
        <v>Milk Inflation = 3.56/3.39 -1 = h</v>
      </c>
      <c r="C10" s="49">
        <f>C9/C1-1</f>
        <v>5.0147492625368661E-2</v>
      </c>
      <c r="D10" s="46"/>
      <c r="E10" s="46" t="s">
        <v>100</v>
      </c>
      <c r="F10" s="46"/>
      <c r="G10" s="46"/>
    </row>
    <row r="11" spans="1:7" x14ac:dyDescent="0.3">
      <c r="B11" s="52" t="str">
        <f>"Can you buy "&amp;TEXT($C$6,"0.00%")&amp;" more (Number of cartons)?"</f>
        <v>Can you buy 10.00% more (Number of cartons)?</v>
      </c>
      <c r="C11" s="55">
        <f>(1+C6)*C2</f>
        <v>110.00000000000001</v>
      </c>
      <c r="F11" s="46"/>
      <c r="G11" s="46"/>
    </row>
    <row r="12" spans="1:7" x14ac:dyDescent="0.3">
      <c r="B12" s="52" t="str">
        <f>"How many can you buy today = "&amp;DOLLAR(C5*(1+C6),2)&amp;"/"&amp;C9&amp;" ="</f>
        <v>How many can you buy today = $372.90/3.56 =</v>
      </c>
      <c r="C12" s="56">
        <f>C7/C9</f>
        <v>104.74719101123597</v>
      </c>
      <c r="D12" s="46"/>
      <c r="F12" s="46"/>
      <c r="G12" s="46"/>
    </row>
    <row r="13" spans="1:7" x14ac:dyDescent="0.3">
      <c r="A13" s="63">
        <v>1</v>
      </c>
      <c r="B13" s="52" t="s">
        <v>102</v>
      </c>
      <c r="C13" s="106">
        <f>C12/C2-1</f>
        <v>4.7471910112359739E-2</v>
      </c>
      <c r="D13" s="46"/>
      <c r="E13" s="46"/>
      <c r="F13" s="46"/>
      <c r="G13" s="46"/>
    </row>
    <row r="14" spans="1:7" x14ac:dyDescent="0.3">
      <c r="D14" s="46"/>
      <c r="E14" s="46"/>
      <c r="F14" s="46"/>
      <c r="G14" s="46"/>
    </row>
    <row r="15" spans="1:7" x14ac:dyDescent="0.3">
      <c r="A15" s="63">
        <v>2</v>
      </c>
      <c r="B15" s="52" t="s">
        <v>55</v>
      </c>
      <c r="C15" s="50">
        <f>(1+C6)/(1+C10)-1</f>
        <v>4.7471910112359739E-2</v>
      </c>
      <c r="D15" s="46"/>
      <c r="E15" s="45" t="s">
        <v>91</v>
      </c>
      <c r="F15" t="s">
        <v>101</v>
      </c>
    </row>
    <row r="16" spans="1:7" ht="27" x14ac:dyDescent="0.3">
      <c r="B16" s="57" t="s">
        <v>96</v>
      </c>
      <c r="F16" s="46"/>
      <c r="G16" s="46"/>
    </row>
    <row r="17" spans="2:7" x14ac:dyDescent="0.3">
      <c r="D17" s="46"/>
      <c r="E17" s="58"/>
      <c r="F17" s="46"/>
      <c r="G17" s="46"/>
    </row>
    <row r="18" spans="2:7" x14ac:dyDescent="0.3">
      <c r="B18" s="46"/>
      <c r="C18" s="46"/>
      <c r="D18" s="46"/>
      <c r="E18" s="46"/>
    </row>
    <row r="19" spans="2:7" x14ac:dyDescent="0.3">
      <c r="B19" s="46"/>
      <c r="C19" s="46"/>
      <c r="D19" s="46"/>
      <c r="E19" s="59"/>
      <c r="F19" s="46"/>
      <c r="G19" s="46"/>
    </row>
    <row r="20" spans="2:7" x14ac:dyDescent="0.3">
      <c r="D20" s="51"/>
      <c r="E20" s="51"/>
      <c r="F20" s="51"/>
      <c r="G20" s="51"/>
    </row>
    <row r="21" spans="2:7" x14ac:dyDescent="0.3">
      <c r="B21" s="46"/>
      <c r="C21" s="46"/>
    </row>
    <row r="22" spans="2:7" x14ac:dyDescent="0.3">
      <c r="B22" s="46"/>
      <c r="C22" s="46"/>
    </row>
  </sheetData>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B772A-E116-47A3-9ADA-F9598F172420}">
  <sheetPr>
    <tabColor rgb="FF0000FF"/>
  </sheetPr>
  <dimension ref="A1:G33"/>
  <sheetViews>
    <sheetView zoomScale="115" zoomScaleNormal="115" workbookViewId="0">
      <pane ySplit="12" topLeftCell="A13" activePane="bottomLeft" state="frozen"/>
      <selection activeCell="G15" sqref="G15"/>
      <selection pane="bottomLeft" activeCell="D2" sqref="D2"/>
    </sheetView>
  </sheetViews>
  <sheetFormatPr defaultRowHeight="14.4" x14ac:dyDescent="0.3"/>
  <cols>
    <col min="1" max="1" width="15.5546875" bestFit="1" customWidth="1"/>
    <col min="2" max="2" width="10.109375" bestFit="1" customWidth="1"/>
    <col min="3" max="3" width="8" customWidth="1"/>
    <col min="4" max="4" width="8.77734375" customWidth="1"/>
    <col min="5" max="5" width="16.21875" customWidth="1"/>
    <col min="6" max="7" width="10.5546875" customWidth="1"/>
  </cols>
  <sheetData>
    <row r="1" spans="1:7" x14ac:dyDescent="0.3">
      <c r="A1" s="1" t="s">
        <v>125</v>
      </c>
      <c r="B1" s="1">
        <v>10</v>
      </c>
      <c r="D1" s="1" t="s">
        <v>187</v>
      </c>
      <c r="E1" s="1" t="s">
        <v>188</v>
      </c>
      <c r="F1" s="1" t="s">
        <v>189</v>
      </c>
      <c r="G1" s="1" t="s">
        <v>190</v>
      </c>
    </row>
    <row r="2" spans="1:7" x14ac:dyDescent="0.3">
      <c r="A2" s="1" t="s">
        <v>60</v>
      </c>
      <c r="B2" s="1">
        <v>2</v>
      </c>
      <c r="D2" s="66"/>
      <c r="E2" s="1"/>
      <c r="F2" s="2"/>
      <c r="G2" s="1"/>
    </row>
    <row r="3" spans="1:7" x14ac:dyDescent="0.3">
      <c r="A3" s="87" t="s">
        <v>59</v>
      </c>
      <c r="B3" s="115">
        <v>0.06</v>
      </c>
      <c r="D3" s="1"/>
      <c r="E3" s="118"/>
      <c r="F3" s="1"/>
      <c r="G3" s="2"/>
    </row>
    <row r="4" spans="1:7" x14ac:dyDescent="0.3">
      <c r="A4" s="1" t="s">
        <v>61</v>
      </c>
      <c r="B4" s="114">
        <f>B3/B2</f>
        <v>0.03</v>
      </c>
      <c r="D4" s="1"/>
      <c r="E4" s="118"/>
      <c r="F4" s="1"/>
      <c r="G4" s="113"/>
    </row>
    <row r="5" spans="1:7" x14ac:dyDescent="0.3">
      <c r="A5" s="87" t="s">
        <v>113</v>
      </c>
      <c r="B5" s="115">
        <v>0.05</v>
      </c>
      <c r="D5" s="1"/>
      <c r="E5" s="1"/>
      <c r="F5" s="1"/>
      <c r="G5" s="1"/>
    </row>
    <row r="6" spans="1:7" x14ac:dyDescent="0.3">
      <c r="A6" s="1" t="s">
        <v>114</v>
      </c>
      <c r="B6" s="6">
        <f>B5/B2</f>
        <v>2.5000000000000001E-2</v>
      </c>
      <c r="D6" s="66"/>
      <c r="E6" s="1"/>
      <c r="F6" s="113"/>
      <c r="G6" s="1"/>
    </row>
    <row r="7" spans="1:7" x14ac:dyDescent="0.3">
      <c r="A7" s="1" t="s">
        <v>128</v>
      </c>
      <c r="B7" s="6">
        <f>B2*B1</f>
        <v>20</v>
      </c>
      <c r="D7" s="1"/>
      <c r="E7" s="1"/>
      <c r="F7" s="2"/>
      <c r="G7" s="1"/>
    </row>
    <row r="8" spans="1:7" x14ac:dyDescent="0.3">
      <c r="A8" s="1" t="s">
        <v>180</v>
      </c>
      <c r="B8" s="110">
        <f>B9*B4</f>
        <v>-30</v>
      </c>
      <c r="D8" s="1"/>
      <c r="E8" s="118"/>
      <c r="F8" s="1"/>
      <c r="G8" s="113"/>
    </row>
    <row r="9" spans="1:7" x14ac:dyDescent="0.3">
      <c r="A9" s="1" t="s">
        <v>174</v>
      </c>
      <c r="B9" s="111">
        <v>-1000</v>
      </c>
      <c r="D9" s="1"/>
      <c r="E9" s="1"/>
      <c r="F9" s="1"/>
      <c r="G9" s="1"/>
    </row>
    <row r="10" spans="1:7" x14ac:dyDescent="0.3">
      <c r="A10" s="87" t="s">
        <v>181</v>
      </c>
      <c r="B10" s="116">
        <f>PV(B6,B7,B8,B9)</f>
        <v>1077.9458114282338</v>
      </c>
      <c r="D10" s="1"/>
      <c r="E10" s="1"/>
      <c r="F10" s="1"/>
      <c r="G10" s="1"/>
    </row>
    <row r="12" spans="1:7" ht="28.8" x14ac:dyDescent="0.3">
      <c r="A12" s="117" t="s">
        <v>85</v>
      </c>
      <c r="B12" s="117" t="s">
        <v>182</v>
      </c>
      <c r="C12" s="117" t="s">
        <v>183</v>
      </c>
      <c r="D12" s="117" t="s">
        <v>184</v>
      </c>
      <c r="E12" s="117" t="s">
        <v>185</v>
      </c>
      <c r="F12" s="117" t="s">
        <v>113</v>
      </c>
    </row>
    <row r="13" spans="1:7" x14ac:dyDescent="0.3">
      <c r="A13" s="1">
        <v>0</v>
      </c>
      <c r="B13" s="1"/>
      <c r="C13" s="1"/>
      <c r="D13" s="1"/>
      <c r="E13" s="3">
        <f>B10</f>
        <v>1077.9458114282338</v>
      </c>
      <c r="F13" s="1"/>
    </row>
    <row r="14" spans="1:7" x14ac:dyDescent="0.3">
      <c r="A14" s="1">
        <v>1</v>
      </c>
      <c r="B14" s="110">
        <f>-$B$8</f>
        <v>30</v>
      </c>
      <c r="C14" s="3">
        <f>E13*$B$6</f>
        <v>26.948645285705847</v>
      </c>
      <c r="D14" s="3">
        <f>C14-B14</f>
        <v>-3.0513547142941526</v>
      </c>
      <c r="E14" s="3">
        <f>E13+D14</f>
        <v>1074.8944567139397</v>
      </c>
      <c r="F14" s="6">
        <f>C14/E13</f>
        <v>2.5000000000000001E-2</v>
      </c>
    </row>
    <row r="15" spans="1:7" x14ac:dyDescent="0.3">
      <c r="A15" s="1">
        <v>2</v>
      </c>
      <c r="B15" s="110">
        <f t="shared" ref="B15:B33" si="0">-$B$8</f>
        <v>30</v>
      </c>
      <c r="C15" s="3">
        <f t="shared" ref="C15:C33" si="1">E14*$B$6</f>
        <v>26.872361417848495</v>
      </c>
      <c r="D15" s="3">
        <f t="shared" ref="D15:D33" si="2">C15-B15</f>
        <v>-3.1276385821515049</v>
      </c>
      <c r="E15" s="3">
        <f t="shared" ref="E15:E33" si="3">E14+D15</f>
        <v>1071.7668181317881</v>
      </c>
      <c r="F15" s="6">
        <f t="shared" ref="F15:F33" si="4">C15/E14</f>
        <v>2.5000000000000001E-2</v>
      </c>
    </row>
    <row r="16" spans="1:7" x14ac:dyDescent="0.3">
      <c r="A16" s="1">
        <v>3</v>
      </c>
      <c r="B16" s="110">
        <f t="shared" si="0"/>
        <v>30</v>
      </c>
      <c r="C16" s="3">
        <f t="shared" si="1"/>
        <v>26.794170453294704</v>
      </c>
      <c r="D16" s="3">
        <f t="shared" si="2"/>
        <v>-3.2058295467052957</v>
      </c>
      <c r="E16" s="3">
        <f t="shared" si="3"/>
        <v>1068.5609885850829</v>
      </c>
      <c r="F16" s="6">
        <f t="shared" si="4"/>
        <v>2.5000000000000001E-2</v>
      </c>
    </row>
    <row r="17" spans="1:6" x14ac:dyDescent="0.3">
      <c r="A17" s="1">
        <v>4</v>
      </c>
      <c r="B17" s="110">
        <f t="shared" si="0"/>
        <v>30</v>
      </c>
      <c r="C17" s="3">
        <f t="shared" si="1"/>
        <v>26.714024714627072</v>
      </c>
      <c r="D17" s="3">
        <f t="shared" si="2"/>
        <v>-3.2859752853729276</v>
      </c>
      <c r="E17" s="3">
        <f t="shared" si="3"/>
        <v>1065.2750132997101</v>
      </c>
      <c r="F17" s="6">
        <f t="shared" si="4"/>
        <v>2.5000000000000001E-2</v>
      </c>
    </row>
    <row r="18" spans="1:6" x14ac:dyDescent="0.3">
      <c r="A18" s="1">
        <v>5</v>
      </c>
      <c r="B18" s="110">
        <f t="shared" si="0"/>
        <v>30</v>
      </c>
      <c r="C18" s="3">
        <f t="shared" si="1"/>
        <v>26.631875332492754</v>
      </c>
      <c r="D18" s="3">
        <f t="shared" si="2"/>
        <v>-3.3681246675072458</v>
      </c>
      <c r="E18" s="3">
        <f t="shared" si="3"/>
        <v>1061.9068886322027</v>
      </c>
      <c r="F18" s="6">
        <f t="shared" si="4"/>
        <v>2.5000000000000001E-2</v>
      </c>
    </row>
    <row r="19" spans="1:6" x14ac:dyDescent="0.3">
      <c r="A19" s="1">
        <v>6</v>
      </c>
      <c r="B19" s="110">
        <f t="shared" si="0"/>
        <v>30</v>
      </c>
      <c r="C19" s="3">
        <f t="shared" si="1"/>
        <v>26.547672215805068</v>
      </c>
      <c r="D19" s="3">
        <f t="shared" si="2"/>
        <v>-3.4523277841949316</v>
      </c>
      <c r="E19" s="3">
        <f t="shared" si="3"/>
        <v>1058.4545608480078</v>
      </c>
      <c r="F19" s="6">
        <f t="shared" si="4"/>
        <v>2.5000000000000001E-2</v>
      </c>
    </row>
    <row r="20" spans="1:6" x14ac:dyDescent="0.3">
      <c r="A20" s="1">
        <v>7</v>
      </c>
      <c r="B20" s="110">
        <f t="shared" si="0"/>
        <v>30</v>
      </c>
      <c r="C20" s="3">
        <f t="shared" si="1"/>
        <v>26.461364021200197</v>
      </c>
      <c r="D20" s="3">
        <f t="shared" si="2"/>
        <v>-3.5386359787998032</v>
      </c>
      <c r="E20" s="3">
        <f t="shared" si="3"/>
        <v>1054.9159248692079</v>
      </c>
      <c r="F20" s="6">
        <f t="shared" si="4"/>
        <v>2.5000000000000001E-2</v>
      </c>
    </row>
    <row r="21" spans="1:6" x14ac:dyDescent="0.3">
      <c r="A21" s="1">
        <v>8</v>
      </c>
      <c r="B21" s="110">
        <f t="shared" si="0"/>
        <v>30</v>
      </c>
      <c r="C21" s="3">
        <f t="shared" si="1"/>
        <v>26.372898121730199</v>
      </c>
      <c r="D21" s="3">
        <f t="shared" si="2"/>
        <v>-3.6271018782698015</v>
      </c>
      <c r="E21" s="3">
        <f t="shared" si="3"/>
        <v>1051.2888229909381</v>
      </c>
      <c r="F21" s="6">
        <f t="shared" si="4"/>
        <v>2.5000000000000001E-2</v>
      </c>
    </row>
    <row r="22" spans="1:6" x14ac:dyDescent="0.3">
      <c r="A22" s="1">
        <v>9</v>
      </c>
      <c r="B22" s="110">
        <f t="shared" si="0"/>
        <v>30</v>
      </c>
      <c r="C22" s="3">
        <f t="shared" si="1"/>
        <v>26.282220574773454</v>
      </c>
      <c r="D22" s="3">
        <f t="shared" si="2"/>
        <v>-3.7177794252265457</v>
      </c>
      <c r="E22" s="3">
        <f t="shared" si="3"/>
        <v>1047.5710435657115</v>
      </c>
      <c r="F22" s="6">
        <f t="shared" si="4"/>
        <v>2.5000000000000001E-2</v>
      </c>
    </row>
    <row r="23" spans="1:6" x14ac:dyDescent="0.3">
      <c r="A23" s="1">
        <v>10</v>
      </c>
      <c r="B23" s="110">
        <f t="shared" si="0"/>
        <v>30</v>
      </c>
      <c r="C23" s="3">
        <f t="shared" si="1"/>
        <v>26.18927608914279</v>
      </c>
      <c r="D23" s="3">
        <f t="shared" si="2"/>
        <v>-3.8107239108572095</v>
      </c>
      <c r="E23" s="3">
        <f t="shared" si="3"/>
        <v>1043.7603196548544</v>
      </c>
      <c r="F23" s="6">
        <f t="shared" si="4"/>
        <v>2.5000000000000001E-2</v>
      </c>
    </row>
    <row r="24" spans="1:6" x14ac:dyDescent="0.3">
      <c r="A24" s="1">
        <v>11</v>
      </c>
      <c r="B24" s="110">
        <f t="shared" si="0"/>
        <v>30</v>
      </c>
      <c r="C24" s="3">
        <f t="shared" si="1"/>
        <v>26.09400799137136</v>
      </c>
      <c r="D24" s="3">
        <f t="shared" si="2"/>
        <v>-3.9059920086286404</v>
      </c>
      <c r="E24" s="3">
        <f t="shared" si="3"/>
        <v>1039.8543276462258</v>
      </c>
      <c r="F24" s="6">
        <f t="shared" si="4"/>
        <v>2.5000000000000001E-2</v>
      </c>
    </row>
    <row r="25" spans="1:6" x14ac:dyDescent="0.3">
      <c r="A25" s="1">
        <v>12</v>
      </c>
      <c r="B25" s="110">
        <f t="shared" si="0"/>
        <v>30</v>
      </c>
      <c r="C25" s="3">
        <f t="shared" si="1"/>
        <v>25.996358191155647</v>
      </c>
      <c r="D25" s="3">
        <f t="shared" si="2"/>
        <v>-4.0036418088443533</v>
      </c>
      <c r="E25" s="3">
        <f t="shared" si="3"/>
        <v>1035.8506858373814</v>
      </c>
      <c r="F25" s="6">
        <f t="shared" si="4"/>
        <v>2.5000000000000001E-2</v>
      </c>
    </row>
    <row r="26" spans="1:6" x14ac:dyDescent="0.3">
      <c r="A26" s="1">
        <v>13</v>
      </c>
      <c r="B26" s="110">
        <f t="shared" si="0"/>
        <v>30</v>
      </c>
      <c r="C26" s="3">
        <f t="shared" si="1"/>
        <v>25.896267145934537</v>
      </c>
      <c r="D26" s="3">
        <f t="shared" si="2"/>
        <v>-4.1037328540654627</v>
      </c>
      <c r="E26" s="3">
        <f t="shared" si="3"/>
        <v>1031.7469529833161</v>
      </c>
      <c r="F26" s="6">
        <f t="shared" si="4"/>
        <v>2.5000000000000001E-2</v>
      </c>
    </row>
    <row r="27" spans="1:6" x14ac:dyDescent="0.3">
      <c r="A27" s="1">
        <v>14</v>
      </c>
      <c r="B27" s="110">
        <f t="shared" si="0"/>
        <v>30</v>
      </c>
      <c r="C27" s="3">
        <f t="shared" si="1"/>
        <v>25.793673824582903</v>
      </c>
      <c r="D27" s="3">
        <f t="shared" si="2"/>
        <v>-4.2063261754170966</v>
      </c>
      <c r="E27" s="3">
        <f t="shared" si="3"/>
        <v>1027.5406268078989</v>
      </c>
      <c r="F27" s="6">
        <f t="shared" si="4"/>
        <v>2.5000000000000001E-2</v>
      </c>
    </row>
    <row r="28" spans="1:6" x14ac:dyDescent="0.3">
      <c r="A28" s="1">
        <v>15</v>
      </c>
      <c r="B28" s="110">
        <f t="shared" si="0"/>
        <v>30</v>
      </c>
      <c r="C28" s="3">
        <f t="shared" si="1"/>
        <v>25.688515670197475</v>
      </c>
      <c r="D28" s="3">
        <f t="shared" si="2"/>
        <v>-4.3114843298025249</v>
      </c>
      <c r="E28" s="3">
        <f t="shared" si="3"/>
        <v>1023.2291424780964</v>
      </c>
      <c r="F28" s="6">
        <f t="shared" si="4"/>
        <v>2.5000000000000001E-2</v>
      </c>
    </row>
    <row r="29" spans="1:6" x14ac:dyDescent="0.3">
      <c r="A29" s="1">
        <v>16</v>
      </c>
      <c r="B29" s="110">
        <f t="shared" si="0"/>
        <v>30</v>
      </c>
      <c r="C29" s="3">
        <f t="shared" si="1"/>
        <v>25.580728561952412</v>
      </c>
      <c r="D29" s="3">
        <f t="shared" si="2"/>
        <v>-4.4192714380475877</v>
      </c>
      <c r="E29" s="3">
        <f t="shared" si="3"/>
        <v>1018.8098710400488</v>
      </c>
      <c r="F29" s="6">
        <f t="shared" si="4"/>
        <v>2.5000000000000001E-2</v>
      </c>
    </row>
    <row r="30" spans="1:6" x14ac:dyDescent="0.3">
      <c r="A30" s="1">
        <v>17</v>
      </c>
      <c r="B30" s="110">
        <f t="shared" si="0"/>
        <v>30</v>
      </c>
      <c r="C30" s="3">
        <f t="shared" si="1"/>
        <v>25.470246776001222</v>
      </c>
      <c r="D30" s="3">
        <f t="shared" si="2"/>
        <v>-4.5297532239987781</v>
      </c>
      <c r="E30" s="3">
        <f t="shared" si="3"/>
        <v>1014.2801178160501</v>
      </c>
      <c r="F30" s="6">
        <f t="shared" si="4"/>
        <v>2.5000000000000001E-2</v>
      </c>
    </row>
    <row r="31" spans="1:6" x14ac:dyDescent="0.3">
      <c r="A31" s="1">
        <v>18</v>
      </c>
      <c r="B31" s="110">
        <f t="shared" si="0"/>
        <v>30</v>
      </c>
      <c r="C31" s="3">
        <f t="shared" si="1"/>
        <v>25.357002945401252</v>
      </c>
      <c r="D31" s="3">
        <f t="shared" si="2"/>
        <v>-4.642997054598748</v>
      </c>
      <c r="E31" s="3">
        <f t="shared" si="3"/>
        <v>1009.6371207614513</v>
      </c>
      <c r="F31" s="6">
        <f t="shared" si="4"/>
        <v>2.5000000000000001E-2</v>
      </c>
    </row>
    <row r="32" spans="1:6" x14ac:dyDescent="0.3">
      <c r="A32" s="1">
        <v>19</v>
      </c>
      <c r="B32" s="110">
        <f t="shared" si="0"/>
        <v>30</v>
      </c>
      <c r="C32" s="3">
        <f t="shared" si="1"/>
        <v>25.240928019036286</v>
      </c>
      <c r="D32" s="3">
        <f t="shared" si="2"/>
        <v>-4.7590719809637143</v>
      </c>
      <c r="E32" s="3">
        <f t="shared" si="3"/>
        <v>1004.8780487804876</v>
      </c>
      <c r="F32" s="6">
        <f t="shared" si="4"/>
        <v>2.5000000000000001E-2</v>
      </c>
    </row>
    <row r="33" spans="1:6" x14ac:dyDescent="0.3">
      <c r="A33" s="1">
        <v>20</v>
      </c>
      <c r="B33" s="110">
        <f t="shared" si="0"/>
        <v>30</v>
      </c>
      <c r="C33" s="3">
        <f t="shared" si="1"/>
        <v>25.121951219512191</v>
      </c>
      <c r="D33" s="3">
        <f t="shared" si="2"/>
        <v>-4.8780487804878092</v>
      </c>
      <c r="E33" s="3">
        <f t="shared" si="3"/>
        <v>999.99999999999977</v>
      </c>
      <c r="F33" s="6">
        <f t="shared" si="4"/>
        <v>2.5000000000000001E-2</v>
      </c>
    </row>
  </sheetData>
  <conditionalFormatting sqref="A5:B5">
    <cfRule type="expression" dxfId="7" priority="3" stopIfTrue="1">
      <formula>$B$5&lt;$B$3</formula>
    </cfRule>
    <cfRule type="expression" dxfId="6" priority="4" stopIfTrue="1">
      <formula>$B$5&gt;$B$3</formula>
    </cfRule>
  </conditionalFormatting>
  <conditionalFormatting sqref="A10:B10">
    <cfRule type="expression" dxfId="5" priority="1" stopIfTrue="1">
      <formula>$B$5&lt;$B$3</formula>
    </cfRule>
    <cfRule type="expression" dxfId="4" priority="2" stopIfTrue="1">
      <formula>$B$5&gt;$B$3</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A4199-D01B-4C17-B9CC-F320D7161664}">
  <sheetPr>
    <tabColor rgb="FFFF0000"/>
  </sheetPr>
  <dimension ref="A1:G33"/>
  <sheetViews>
    <sheetView zoomScale="115" zoomScaleNormal="115" workbookViewId="0">
      <pane ySplit="12" topLeftCell="A13" activePane="bottomLeft" state="frozen"/>
      <selection activeCell="G15" sqref="G15"/>
      <selection pane="bottomLeft" activeCell="F6" sqref="F6"/>
    </sheetView>
  </sheetViews>
  <sheetFormatPr defaultRowHeight="14.4" x14ac:dyDescent="0.3"/>
  <cols>
    <col min="1" max="1" width="15.5546875" bestFit="1" customWidth="1"/>
    <col min="2" max="2" width="10.109375" bestFit="1" customWidth="1"/>
    <col min="3" max="3" width="8" customWidth="1"/>
    <col min="4" max="4" width="8.77734375" customWidth="1"/>
    <col min="5" max="5" width="16.21875" customWidth="1"/>
    <col min="6" max="7" width="10.5546875" customWidth="1"/>
  </cols>
  <sheetData>
    <row r="1" spans="1:7" x14ac:dyDescent="0.3">
      <c r="A1" s="1" t="s">
        <v>125</v>
      </c>
      <c r="B1" s="1">
        <v>10</v>
      </c>
      <c r="D1" s="1" t="s">
        <v>187</v>
      </c>
      <c r="E1" s="1" t="s">
        <v>188</v>
      </c>
      <c r="F1" s="1" t="s">
        <v>189</v>
      </c>
      <c r="G1" s="1" t="s">
        <v>190</v>
      </c>
    </row>
    <row r="2" spans="1:7" x14ac:dyDescent="0.3">
      <c r="A2" s="1" t="s">
        <v>60</v>
      </c>
      <c r="B2" s="1">
        <v>2</v>
      </c>
      <c r="D2" s="66">
        <v>40179</v>
      </c>
      <c r="E2" s="1" t="s">
        <v>191</v>
      </c>
      <c r="F2" s="2">
        <f>B10</f>
        <v>1077.9458114282338</v>
      </c>
      <c r="G2" s="1"/>
    </row>
    <row r="3" spans="1:7" x14ac:dyDescent="0.3">
      <c r="A3" s="87" t="s">
        <v>59</v>
      </c>
      <c r="B3" s="115">
        <v>0.06</v>
      </c>
      <c r="D3" s="1"/>
      <c r="E3" s="118" t="s">
        <v>195</v>
      </c>
      <c r="F3" s="1"/>
      <c r="G3" s="2">
        <f>B10+B9</f>
        <v>77.94581142823381</v>
      </c>
    </row>
    <row r="4" spans="1:7" x14ac:dyDescent="0.3">
      <c r="A4" s="1" t="s">
        <v>61</v>
      </c>
      <c r="B4" s="114">
        <f>B3/B2</f>
        <v>0.03</v>
      </c>
      <c r="D4" s="1"/>
      <c r="E4" s="118" t="s">
        <v>192</v>
      </c>
      <c r="F4" s="1"/>
      <c r="G4" s="113">
        <f>-B9</f>
        <v>1000</v>
      </c>
    </row>
    <row r="5" spans="1:7" x14ac:dyDescent="0.3">
      <c r="A5" s="87" t="s">
        <v>113</v>
      </c>
      <c r="B5" s="115">
        <v>0.05</v>
      </c>
      <c r="D5" s="1"/>
      <c r="E5" s="1"/>
      <c r="F5" s="1"/>
      <c r="G5" s="1"/>
    </row>
    <row r="6" spans="1:7" x14ac:dyDescent="0.3">
      <c r="A6" s="1" t="s">
        <v>114</v>
      </c>
      <c r="B6" s="6">
        <f>B5/B2</f>
        <v>2.5000000000000001E-2</v>
      </c>
      <c r="D6" s="66">
        <f>EDATE(D2,6)</f>
        <v>40360</v>
      </c>
      <c r="E6" s="1" t="s">
        <v>194</v>
      </c>
      <c r="F6" s="113">
        <f>G8-F7</f>
        <v>26.948645285705847</v>
      </c>
      <c r="G6" s="1"/>
    </row>
    <row r="7" spans="1:7" x14ac:dyDescent="0.3">
      <c r="A7" s="1" t="s">
        <v>128</v>
      </c>
      <c r="B7" s="6">
        <f>B2*B1</f>
        <v>20</v>
      </c>
      <c r="D7" s="1"/>
      <c r="E7" s="1" t="str">
        <f>E3</f>
        <v>Premium On BP</v>
      </c>
      <c r="F7" s="2">
        <f>-D14</f>
        <v>3.0513547142941526</v>
      </c>
      <c r="G7" s="1"/>
    </row>
    <row r="8" spans="1:7" x14ac:dyDescent="0.3">
      <c r="A8" s="1" t="s">
        <v>180</v>
      </c>
      <c r="B8" s="110">
        <f>B9*B4</f>
        <v>-30</v>
      </c>
      <c r="D8" s="1"/>
      <c r="E8" s="118" t="s">
        <v>191</v>
      </c>
      <c r="F8" s="1"/>
      <c r="G8" s="113">
        <f>B14</f>
        <v>30</v>
      </c>
    </row>
    <row r="9" spans="1:7" x14ac:dyDescent="0.3">
      <c r="A9" s="1" t="s">
        <v>174</v>
      </c>
      <c r="B9" s="111">
        <v>-1000</v>
      </c>
      <c r="D9" s="1"/>
      <c r="E9" s="1"/>
      <c r="F9" s="1"/>
      <c r="G9" s="1"/>
    </row>
    <row r="10" spans="1:7" x14ac:dyDescent="0.3">
      <c r="A10" s="87" t="s">
        <v>181</v>
      </c>
      <c r="B10" s="116">
        <f>PV(B6,B7,B8,B9)</f>
        <v>1077.9458114282338</v>
      </c>
      <c r="D10" s="1"/>
      <c r="E10" s="1"/>
      <c r="F10" s="1"/>
      <c r="G10" s="1"/>
    </row>
    <row r="12" spans="1:7" ht="28.8" x14ac:dyDescent="0.3">
      <c r="A12" s="117" t="s">
        <v>85</v>
      </c>
      <c r="B12" s="117" t="s">
        <v>182</v>
      </c>
      <c r="C12" s="117" t="s">
        <v>183</v>
      </c>
      <c r="D12" s="117" t="s">
        <v>184</v>
      </c>
      <c r="E12" s="117" t="s">
        <v>185</v>
      </c>
      <c r="F12" s="117" t="s">
        <v>113</v>
      </c>
    </row>
    <row r="13" spans="1:7" x14ac:dyDescent="0.3">
      <c r="A13" s="1">
        <v>0</v>
      </c>
      <c r="B13" s="1"/>
      <c r="C13" s="1"/>
      <c r="D13" s="1"/>
      <c r="E13" s="3">
        <f>B10</f>
        <v>1077.9458114282338</v>
      </c>
      <c r="F13" s="1"/>
    </row>
    <row r="14" spans="1:7" x14ac:dyDescent="0.3">
      <c r="A14" s="1">
        <v>1</v>
      </c>
      <c r="B14" s="110">
        <f>-$B$8</f>
        <v>30</v>
      </c>
      <c r="C14" s="3">
        <f>E13*$B$6</f>
        <v>26.948645285705847</v>
      </c>
      <c r="D14" s="3">
        <f>C14-B14</f>
        <v>-3.0513547142941526</v>
      </c>
      <c r="E14" s="3">
        <f>E13+D14</f>
        <v>1074.8944567139397</v>
      </c>
      <c r="F14" s="6">
        <f>C14/E13</f>
        <v>2.5000000000000001E-2</v>
      </c>
    </row>
    <row r="15" spans="1:7" x14ac:dyDescent="0.3">
      <c r="A15" s="1">
        <v>2</v>
      </c>
      <c r="B15" s="110">
        <f t="shared" ref="B15:B33" si="0">-$B$8</f>
        <v>30</v>
      </c>
      <c r="C15" s="3">
        <f t="shared" ref="C15:C33" si="1">E14*$B$6</f>
        <v>26.872361417848495</v>
      </c>
      <c r="D15" s="3">
        <f t="shared" ref="D15:D33" si="2">C15-B15</f>
        <v>-3.1276385821515049</v>
      </c>
      <c r="E15" s="3">
        <f t="shared" ref="E15:E33" si="3">E14+D15</f>
        <v>1071.7668181317881</v>
      </c>
      <c r="F15" s="6">
        <f t="shared" ref="F15:F33" si="4">C15/E14</f>
        <v>2.5000000000000001E-2</v>
      </c>
    </row>
    <row r="16" spans="1:7" x14ac:dyDescent="0.3">
      <c r="A16" s="1">
        <v>3</v>
      </c>
      <c r="B16" s="110">
        <f t="shared" si="0"/>
        <v>30</v>
      </c>
      <c r="C16" s="3">
        <f t="shared" si="1"/>
        <v>26.794170453294704</v>
      </c>
      <c r="D16" s="3">
        <f t="shared" si="2"/>
        <v>-3.2058295467052957</v>
      </c>
      <c r="E16" s="3">
        <f t="shared" si="3"/>
        <v>1068.5609885850829</v>
      </c>
      <c r="F16" s="6">
        <f t="shared" si="4"/>
        <v>2.5000000000000001E-2</v>
      </c>
    </row>
    <row r="17" spans="1:6" x14ac:dyDescent="0.3">
      <c r="A17" s="1">
        <v>4</v>
      </c>
      <c r="B17" s="110">
        <f t="shared" si="0"/>
        <v>30</v>
      </c>
      <c r="C17" s="3">
        <f t="shared" si="1"/>
        <v>26.714024714627072</v>
      </c>
      <c r="D17" s="3">
        <f t="shared" si="2"/>
        <v>-3.2859752853729276</v>
      </c>
      <c r="E17" s="3">
        <f t="shared" si="3"/>
        <v>1065.2750132997101</v>
      </c>
      <c r="F17" s="6">
        <f t="shared" si="4"/>
        <v>2.5000000000000001E-2</v>
      </c>
    </row>
    <row r="18" spans="1:6" x14ac:dyDescent="0.3">
      <c r="A18" s="1">
        <v>5</v>
      </c>
      <c r="B18" s="110">
        <f t="shared" si="0"/>
        <v>30</v>
      </c>
      <c r="C18" s="3">
        <f t="shared" si="1"/>
        <v>26.631875332492754</v>
      </c>
      <c r="D18" s="3">
        <f t="shared" si="2"/>
        <v>-3.3681246675072458</v>
      </c>
      <c r="E18" s="3">
        <f t="shared" si="3"/>
        <v>1061.9068886322027</v>
      </c>
      <c r="F18" s="6">
        <f t="shared" si="4"/>
        <v>2.5000000000000001E-2</v>
      </c>
    </row>
    <row r="19" spans="1:6" x14ac:dyDescent="0.3">
      <c r="A19" s="1">
        <v>6</v>
      </c>
      <c r="B19" s="110">
        <f t="shared" si="0"/>
        <v>30</v>
      </c>
      <c r="C19" s="3">
        <f t="shared" si="1"/>
        <v>26.547672215805068</v>
      </c>
      <c r="D19" s="3">
        <f t="shared" si="2"/>
        <v>-3.4523277841949316</v>
      </c>
      <c r="E19" s="3">
        <f t="shared" si="3"/>
        <v>1058.4545608480078</v>
      </c>
      <c r="F19" s="6">
        <f t="shared" si="4"/>
        <v>2.5000000000000001E-2</v>
      </c>
    </row>
    <row r="20" spans="1:6" x14ac:dyDescent="0.3">
      <c r="A20" s="1">
        <v>7</v>
      </c>
      <c r="B20" s="110">
        <f t="shared" si="0"/>
        <v>30</v>
      </c>
      <c r="C20" s="3">
        <f t="shared" si="1"/>
        <v>26.461364021200197</v>
      </c>
      <c r="D20" s="3">
        <f t="shared" si="2"/>
        <v>-3.5386359787998032</v>
      </c>
      <c r="E20" s="3">
        <f t="shared" si="3"/>
        <v>1054.9159248692079</v>
      </c>
      <c r="F20" s="6">
        <f t="shared" si="4"/>
        <v>2.5000000000000001E-2</v>
      </c>
    </row>
    <row r="21" spans="1:6" x14ac:dyDescent="0.3">
      <c r="A21" s="1">
        <v>8</v>
      </c>
      <c r="B21" s="110">
        <f t="shared" si="0"/>
        <v>30</v>
      </c>
      <c r="C21" s="3">
        <f t="shared" si="1"/>
        <v>26.372898121730199</v>
      </c>
      <c r="D21" s="3">
        <f t="shared" si="2"/>
        <v>-3.6271018782698015</v>
      </c>
      <c r="E21" s="3">
        <f t="shared" si="3"/>
        <v>1051.2888229909381</v>
      </c>
      <c r="F21" s="6">
        <f t="shared" si="4"/>
        <v>2.5000000000000001E-2</v>
      </c>
    </row>
    <row r="22" spans="1:6" x14ac:dyDescent="0.3">
      <c r="A22" s="1">
        <v>9</v>
      </c>
      <c r="B22" s="110">
        <f t="shared" si="0"/>
        <v>30</v>
      </c>
      <c r="C22" s="3">
        <f t="shared" si="1"/>
        <v>26.282220574773454</v>
      </c>
      <c r="D22" s="3">
        <f t="shared" si="2"/>
        <v>-3.7177794252265457</v>
      </c>
      <c r="E22" s="3">
        <f t="shared" si="3"/>
        <v>1047.5710435657115</v>
      </c>
      <c r="F22" s="6">
        <f t="shared" si="4"/>
        <v>2.5000000000000001E-2</v>
      </c>
    </row>
    <row r="23" spans="1:6" x14ac:dyDescent="0.3">
      <c r="A23" s="1">
        <v>10</v>
      </c>
      <c r="B23" s="110">
        <f t="shared" si="0"/>
        <v>30</v>
      </c>
      <c r="C23" s="3">
        <f t="shared" si="1"/>
        <v>26.18927608914279</v>
      </c>
      <c r="D23" s="3">
        <f t="shared" si="2"/>
        <v>-3.8107239108572095</v>
      </c>
      <c r="E23" s="3">
        <f t="shared" si="3"/>
        <v>1043.7603196548544</v>
      </c>
      <c r="F23" s="6">
        <f t="shared" si="4"/>
        <v>2.5000000000000001E-2</v>
      </c>
    </row>
    <row r="24" spans="1:6" x14ac:dyDescent="0.3">
      <c r="A24" s="1">
        <v>11</v>
      </c>
      <c r="B24" s="110">
        <f t="shared" si="0"/>
        <v>30</v>
      </c>
      <c r="C24" s="3">
        <f t="shared" si="1"/>
        <v>26.09400799137136</v>
      </c>
      <c r="D24" s="3">
        <f t="shared" si="2"/>
        <v>-3.9059920086286404</v>
      </c>
      <c r="E24" s="3">
        <f t="shared" si="3"/>
        <v>1039.8543276462258</v>
      </c>
      <c r="F24" s="6">
        <f t="shared" si="4"/>
        <v>2.5000000000000001E-2</v>
      </c>
    </row>
    <row r="25" spans="1:6" x14ac:dyDescent="0.3">
      <c r="A25" s="1">
        <v>12</v>
      </c>
      <c r="B25" s="110">
        <f t="shared" si="0"/>
        <v>30</v>
      </c>
      <c r="C25" s="3">
        <f t="shared" si="1"/>
        <v>25.996358191155647</v>
      </c>
      <c r="D25" s="3">
        <f t="shared" si="2"/>
        <v>-4.0036418088443533</v>
      </c>
      <c r="E25" s="3">
        <f t="shared" si="3"/>
        <v>1035.8506858373814</v>
      </c>
      <c r="F25" s="6">
        <f t="shared" si="4"/>
        <v>2.5000000000000001E-2</v>
      </c>
    </row>
    <row r="26" spans="1:6" x14ac:dyDescent="0.3">
      <c r="A26" s="1">
        <v>13</v>
      </c>
      <c r="B26" s="110">
        <f t="shared" si="0"/>
        <v>30</v>
      </c>
      <c r="C26" s="3">
        <f t="shared" si="1"/>
        <v>25.896267145934537</v>
      </c>
      <c r="D26" s="3">
        <f t="shared" si="2"/>
        <v>-4.1037328540654627</v>
      </c>
      <c r="E26" s="3">
        <f t="shared" si="3"/>
        <v>1031.7469529833161</v>
      </c>
      <c r="F26" s="6">
        <f t="shared" si="4"/>
        <v>2.5000000000000001E-2</v>
      </c>
    </row>
    <row r="27" spans="1:6" x14ac:dyDescent="0.3">
      <c r="A27" s="1">
        <v>14</v>
      </c>
      <c r="B27" s="110">
        <f t="shared" si="0"/>
        <v>30</v>
      </c>
      <c r="C27" s="3">
        <f t="shared" si="1"/>
        <v>25.793673824582903</v>
      </c>
      <c r="D27" s="3">
        <f t="shared" si="2"/>
        <v>-4.2063261754170966</v>
      </c>
      <c r="E27" s="3">
        <f t="shared" si="3"/>
        <v>1027.5406268078989</v>
      </c>
      <c r="F27" s="6">
        <f t="shared" si="4"/>
        <v>2.5000000000000001E-2</v>
      </c>
    </row>
    <row r="28" spans="1:6" x14ac:dyDescent="0.3">
      <c r="A28" s="1">
        <v>15</v>
      </c>
      <c r="B28" s="110">
        <f t="shared" si="0"/>
        <v>30</v>
      </c>
      <c r="C28" s="3">
        <f t="shared" si="1"/>
        <v>25.688515670197475</v>
      </c>
      <c r="D28" s="3">
        <f t="shared" si="2"/>
        <v>-4.3114843298025249</v>
      </c>
      <c r="E28" s="3">
        <f t="shared" si="3"/>
        <v>1023.2291424780964</v>
      </c>
      <c r="F28" s="6">
        <f t="shared" si="4"/>
        <v>2.5000000000000001E-2</v>
      </c>
    </row>
    <row r="29" spans="1:6" x14ac:dyDescent="0.3">
      <c r="A29" s="1">
        <v>16</v>
      </c>
      <c r="B29" s="110">
        <f t="shared" si="0"/>
        <v>30</v>
      </c>
      <c r="C29" s="3">
        <f t="shared" si="1"/>
        <v>25.580728561952412</v>
      </c>
      <c r="D29" s="3">
        <f t="shared" si="2"/>
        <v>-4.4192714380475877</v>
      </c>
      <c r="E29" s="3">
        <f t="shared" si="3"/>
        <v>1018.8098710400488</v>
      </c>
      <c r="F29" s="6">
        <f t="shared" si="4"/>
        <v>2.5000000000000001E-2</v>
      </c>
    </row>
    <row r="30" spans="1:6" x14ac:dyDescent="0.3">
      <c r="A30" s="1">
        <v>17</v>
      </c>
      <c r="B30" s="110">
        <f t="shared" si="0"/>
        <v>30</v>
      </c>
      <c r="C30" s="3">
        <f t="shared" si="1"/>
        <v>25.470246776001222</v>
      </c>
      <c r="D30" s="3">
        <f t="shared" si="2"/>
        <v>-4.5297532239987781</v>
      </c>
      <c r="E30" s="3">
        <f t="shared" si="3"/>
        <v>1014.2801178160501</v>
      </c>
      <c r="F30" s="6">
        <f t="shared" si="4"/>
        <v>2.5000000000000001E-2</v>
      </c>
    </row>
    <row r="31" spans="1:6" x14ac:dyDescent="0.3">
      <c r="A31" s="1">
        <v>18</v>
      </c>
      <c r="B31" s="110">
        <f t="shared" si="0"/>
        <v>30</v>
      </c>
      <c r="C31" s="3">
        <f t="shared" si="1"/>
        <v>25.357002945401252</v>
      </c>
      <c r="D31" s="3">
        <f t="shared" si="2"/>
        <v>-4.642997054598748</v>
      </c>
      <c r="E31" s="3">
        <f t="shared" si="3"/>
        <v>1009.6371207614513</v>
      </c>
      <c r="F31" s="6">
        <f t="shared" si="4"/>
        <v>2.5000000000000001E-2</v>
      </c>
    </row>
    <row r="32" spans="1:6" x14ac:dyDescent="0.3">
      <c r="A32" s="1">
        <v>19</v>
      </c>
      <c r="B32" s="110">
        <f t="shared" si="0"/>
        <v>30</v>
      </c>
      <c r="C32" s="3">
        <f t="shared" si="1"/>
        <v>25.240928019036286</v>
      </c>
      <c r="D32" s="3">
        <f t="shared" si="2"/>
        <v>-4.7590719809637143</v>
      </c>
      <c r="E32" s="3">
        <f t="shared" si="3"/>
        <v>1004.8780487804876</v>
      </c>
      <c r="F32" s="6">
        <f t="shared" si="4"/>
        <v>2.5000000000000001E-2</v>
      </c>
    </row>
    <row r="33" spans="1:6" x14ac:dyDescent="0.3">
      <c r="A33" s="1">
        <v>20</v>
      </c>
      <c r="B33" s="110">
        <f t="shared" si="0"/>
        <v>30</v>
      </c>
      <c r="C33" s="3">
        <f t="shared" si="1"/>
        <v>25.121951219512191</v>
      </c>
      <c r="D33" s="3">
        <f t="shared" si="2"/>
        <v>-4.8780487804878092</v>
      </c>
      <c r="E33" s="3">
        <f t="shared" si="3"/>
        <v>999.99999999999977</v>
      </c>
      <c r="F33" s="6">
        <f t="shared" si="4"/>
        <v>2.5000000000000001E-2</v>
      </c>
    </row>
  </sheetData>
  <conditionalFormatting sqref="A5:B5">
    <cfRule type="expression" dxfId="3" priority="3" stopIfTrue="1">
      <formula>$B$5&lt;$B$3</formula>
    </cfRule>
    <cfRule type="expression" dxfId="2" priority="4" stopIfTrue="1">
      <formula>$B$5&gt;$B$3</formula>
    </cfRule>
  </conditionalFormatting>
  <conditionalFormatting sqref="A10:B10">
    <cfRule type="expression" dxfId="1" priority="1" stopIfTrue="1">
      <formula>$B$5&lt;$B$3</formula>
    </cfRule>
    <cfRule type="expression" dxfId="0" priority="2" stopIfTrue="1">
      <formula>$B$5&gt;$B$3</formula>
    </cfRule>
  </conditionalFormatting>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2DB36-C587-4201-9465-244D86904DB8}">
  <sheetPr>
    <tabColor rgb="FF0000FF"/>
  </sheetPr>
  <dimension ref="A1:E12"/>
  <sheetViews>
    <sheetView zoomScaleNormal="100" workbookViewId="0">
      <selection activeCell="B9" sqref="B9"/>
    </sheetView>
  </sheetViews>
  <sheetFormatPr defaultRowHeight="14.4" x14ac:dyDescent="0.3"/>
  <cols>
    <col min="1" max="1" width="21.5546875" bestFit="1" customWidth="1"/>
    <col min="2" max="3" width="10.5546875" bestFit="1" customWidth="1"/>
    <col min="4" max="4" width="1.5546875" customWidth="1"/>
  </cols>
  <sheetData>
    <row r="1" spans="1:5" x14ac:dyDescent="0.3">
      <c r="A1" s="1" t="s">
        <v>153</v>
      </c>
      <c r="B1" s="86">
        <v>-1000</v>
      </c>
    </row>
    <row r="2" spans="1:5" x14ac:dyDescent="0.3">
      <c r="A2" s="1" t="s">
        <v>130</v>
      </c>
      <c r="B2" s="86">
        <f>B1*B3</f>
        <v>-100</v>
      </c>
    </row>
    <row r="3" spans="1:5" x14ac:dyDescent="0.3">
      <c r="A3" s="1" t="s">
        <v>5</v>
      </c>
      <c r="B3" s="4">
        <v>0.1</v>
      </c>
    </row>
    <row r="4" spans="1:5" x14ac:dyDescent="0.3">
      <c r="A4" s="1" t="s">
        <v>154</v>
      </c>
      <c r="B4" s="25">
        <v>1</v>
      </c>
    </row>
    <row r="5" spans="1:5" ht="5.4" customHeight="1" x14ac:dyDescent="0.3"/>
    <row r="6" spans="1:5" x14ac:dyDescent="0.3">
      <c r="A6" s="29"/>
      <c r="B6" s="1">
        <v>1</v>
      </c>
      <c r="C6" s="1">
        <v>30</v>
      </c>
    </row>
    <row r="7" spans="1:5" x14ac:dyDescent="0.3">
      <c r="A7" s="102" t="s">
        <v>113</v>
      </c>
      <c r="B7" s="102" t="s">
        <v>155</v>
      </c>
      <c r="C7" s="102"/>
    </row>
    <row r="8" spans="1:5" x14ac:dyDescent="0.3">
      <c r="B8" s="100" t="str">
        <f>"years = "&amp;B6</f>
        <v>years = 1</v>
      </c>
      <c r="C8" s="100" t="str">
        <f>"years = "&amp;C6</f>
        <v>years = 30</v>
      </c>
    </row>
    <row r="9" spans="1:5" x14ac:dyDescent="0.3">
      <c r="A9" s="101">
        <v>0.05</v>
      </c>
      <c r="B9" s="3"/>
      <c r="C9" s="3"/>
    </row>
    <row r="10" spans="1:5" x14ac:dyDescent="0.3">
      <c r="A10" s="101">
        <v>0.1</v>
      </c>
      <c r="B10" s="3"/>
      <c r="C10" s="3"/>
    </row>
    <row r="11" spans="1:5" x14ac:dyDescent="0.3">
      <c r="A11" s="101">
        <v>0.15000000000000002</v>
      </c>
      <c r="B11" s="3"/>
      <c r="C11" s="3"/>
    </row>
    <row r="12" spans="1:5" x14ac:dyDescent="0.3">
      <c r="A12" s="101">
        <v>0.2</v>
      </c>
      <c r="B12" s="3"/>
      <c r="C12" s="3"/>
      <c r="E12" t="s">
        <v>161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57B7C-783A-4EBB-AAB7-0120A8EF53A9}">
  <sheetPr>
    <tabColor rgb="FFFF0000"/>
  </sheetPr>
  <dimension ref="A1:E12"/>
  <sheetViews>
    <sheetView zoomScale="85" zoomScaleNormal="85" workbookViewId="0">
      <selection activeCell="H31" sqref="H31"/>
    </sheetView>
  </sheetViews>
  <sheetFormatPr defaultRowHeight="14.4" x14ac:dyDescent="0.3"/>
  <cols>
    <col min="1" max="1" width="21.5546875" bestFit="1" customWidth="1"/>
    <col min="2" max="3" width="10.5546875" bestFit="1" customWidth="1"/>
    <col min="4" max="4" width="1.5546875" customWidth="1"/>
  </cols>
  <sheetData>
    <row r="1" spans="1:5" x14ac:dyDescent="0.3">
      <c r="A1" s="1" t="s">
        <v>153</v>
      </c>
      <c r="B1" s="86">
        <v>-1000</v>
      </c>
    </row>
    <row r="2" spans="1:5" x14ac:dyDescent="0.3">
      <c r="A2" s="1" t="s">
        <v>130</v>
      </c>
      <c r="B2" s="86">
        <f>B1*B3</f>
        <v>-100</v>
      </c>
    </row>
    <row r="3" spans="1:5" x14ac:dyDescent="0.3">
      <c r="A3" s="1" t="s">
        <v>5</v>
      </c>
      <c r="B3" s="4">
        <v>0.1</v>
      </c>
    </row>
    <row r="4" spans="1:5" x14ac:dyDescent="0.3">
      <c r="A4" s="1" t="s">
        <v>154</v>
      </c>
      <c r="B4" s="25">
        <v>1</v>
      </c>
    </row>
    <row r="5" spans="1:5" ht="5.4" customHeight="1" x14ac:dyDescent="0.3"/>
    <row r="6" spans="1:5" x14ac:dyDescent="0.3">
      <c r="A6" s="29"/>
      <c r="B6" s="1">
        <v>1</v>
      </c>
      <c r="C6" s="1">
        <v>30</v>
      </c>
    </row>
    <row r="7" spans="1:5" x14ac:dyDescent="0.3">
      <c r="A7" s="102" t="s">
        <v>113</v>
      </c>
      <c r="B7" s="102" t="s">
        <v>155</v>
      </c>
      <c r="C7" s="102"/>
    </row>
    <row r="8" spans="1:5" x14ac:dyDescent="0.3">
      <c r="B8" s="100" t="str">
        <f>"years = "&amp;B6</f>
        <v>years = 1</v>
      </c>
      <c r="C8" s="100" t="str">
        <f>"years = "&amp;C6</f>
        <v>years = 30</v>
      </c>
    </row>
    <row r="9" spans="1:5" x14ac:dyDescent="0.3">
      <c r="A9" s="101">
        <v>0.05</v>
      </c>
      <c r="B9" s="3">
        <f t="shared" ref="B9:C12" si="0">PV($A9/$B$4,B$6,$B$2,$B$1)</f>
        <v>1047.6190476190475</v>
      </c>
      <c r="C9" s="3">
        <f t="shared" si="0"/>
        <v>1768.6225513441418</v>
      </c>
    </row>
    <row r="10" spans="1:5" x14ac:dyDescent="0.3">
      <c r="A10" s="101">
        <v>0.1</v>
      </c>
      <c r="B10" s="3">
        <f t="shared" si="0"/>
        <v>999.99999999999989</v>
      </c>
      <c r="C10" s="3">
        <f t="shared" si="0"/>
        <v>1000.0000000000001</v>
      </c>
    </row>
    <row r="11" spans="1:5" x14ac:dyDescent="0.3">
      <c r="A11" s="101">
        <v>0.15000000000000002</v>
      </c>
      <c r="B11" s="3">
        <f t="shared" si="0"/>
        <v>956.52173913043487</v>
      </c>
      <c r="C11" s="3">
        <f t="shared" si="0"/>
        <v>671.70101816462818</v>
      </c>
    </row>
    <row r="12" spans="1:5" x14ac:dyDescent="0.3">
      <c r="A12" s="101">
        <v>0.2</v>
      </c>
      <c r="B12" s="3">
        <f t="shared" si="0"/>
        <v>916.66666666666674</v>
      </c>
      <c r="C12" s="3">
        <f t="shared" si="0"/>
        <v>502.10636011654367</v>
      </c>
      <c r="E12" t="s">
        <v>161</v>
      </c>
    </row>
  </sheetData>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30FEF-C971-4C68-B7D1-74E9C44E6219}">
  <sheetPr>
    <tabColor rgb="FF0000FF"/>
  </sheetPr>
  <dimension ref="A1:D19"/>
  <sheetViews>
    <sheetView zoomScaleNormal="100" workbookViewId="0">
      <selection activeCell="B10" sqref="B10"/>
    </sheetView>
  </sheetViews>
  <sheetFormatPr defaultRowHeight="14.4" x14ac:dyDescent="0.3"/>
  <cols>
    <col min="1" max="1" width="27.6640625" customWidth="1"/>
    <col min="2" max="2" width="18.77734375" customWidth="1"/>
    <col min="3" max="3" width="24.88671875" customWidth="1"/>
    <col min="4" max="4" width="9.5546875" bestFit="1" customWidth="1"/>
    <col min="5" max="5" width="10.44140625" bestFit="1" customWidth="1"/>
  </cols>
  <sheetData>
    <row r="1" spans="1:4" x14ac:dyDescent="0.3">
      <c r="A1" s="1" t="s">
        <v>156</v>
      </c>
      <c r="B1" s="1">
        <v>10</v>
      </c>
      <c r="C1" s="97"/>
    </row>
    <row r="2" spans="1:4" x14ac:dyDescent="0.3">
      <c r="A2" s="1" t="s">
        <v>151</v>
      </c>
      <c r="B2" s="4">
        <v>0.05</v>
      </c>
    </row>
    <row r="3" spans="1:4" x14ac:dyDescent="0.3">
      <c r="A3" s="1" t="s">
        <v>152</v>
      </c>
      <c r="B3" s="4">
        <v>0.05</v>
      </c>
    </row>
    <row r="4" spans="1:4" x14ac:dyDescent="0.3">
      <c r="A4" s="1" t="s">
        <v>153</v>
      </c>
      <c r="B4" s="85">
        <v>1000</v>
      </c>
    </row>
    <row r="5" spans="1:4" x14ac:dyDescent="0.3">
      <c r="A5" s="1" t="s">
        <v>154</v>
      </c>
      <c r="B5" s="25">
        <v>1</v>
      </c>
    </row>
    <row r="7" spans="1:4" ht="18" x14ac:dyDescent="0.35">
      <c r="A7" s="98" t="s">
        <v>157</v>
      </c>
    </row>
    <row r="8" spans="1:4" x14ac:dyDescent="0.3">
      <c r="A8" s="121" t="s">
        <v>5</v>
      </c>
      <c r="B8" s="62">
        <v>0.02</v>
      </c>
      <c r="C8" s="62">
        <v>0.05</v>
      </c>
    </row>
    <row r="9" spans="1:4" x14ac:dyDescent="0.3">
      <c r="A9" s="100" t="s">
        <v>113</v>
      </c>
      <c r="B9" s="62" t="str">
        <f>TEXT(B8,"0.00%")&amp;" Coupon Rate"</f>
        <v>2.00% Coupon Rate</v>
      </c>
      <c r="C9" s="62" t="str">
        <f>TEXT(C8,"0.00%")&amp;" Coupon Rate"</f>
        <v>5.00% Coupon Rate</v>
      </c>
      <c r="D9" s="1" t="s">
        <v>158</v>
      </c>
    </row>
    <row r="10" spans="1:4" x14ac:dyDescent="0.3">
      <c r="A10" s="120">
        <v>0.05</v>
      </c>
      <c r="B10" s="3"/>
      <c r="C10" s="3"/>
      <c r="D10" s="2">
        <f>C10-B10</f>
        <v>0</v>
      </c>
    </row>
    <row r="11" spans="1:4" x14ac:dyDescent="0.3">
      <c r="A11" s="120">
        <v>0.15</v>
      </c>
      <c r="B11" s="3"/>
      <c r="C11" s="3"/>
      <c r="D11" s="2">
        <f>C11-B11</f>
        <v>0</v>
      </c>
    </row>
    <row r="12" spans="1:4" x14ac:dyDescent="0.3">
      <c r="A12" s="120">
        <v>0.2</v>
      </c>
      <c r="B12" s="3"/>
      <c r="C12" s="3"/>
      <c r="D12" s="2">
        <f>C12-B12</f>
        <v>0</v>
      </c>
    </row>
    <row r="13" spans="1:4" x14ac:dyDescent="0.3">
      <c r="A13" s="120">
        <v>0.25</v>
      </c>
      <c r="B13" s="3"/>
      <c r="C13" s="3"/>
      <c r="D13" s="2">
        <f>C13-B13</f>
        <v>0</v>
      </c>
    </row>
    <row r="14" spans="1:4" x14ac:dyDescent="0.3">
      <c r="B14" s="124" t="s">
        <v>159</v>
      </c>
      <c r="C14" s="124" t="s">
        <v>160</v>
      </c>
    </row>
    <row r="15" spans="1:4" x14ac:dyDescent="0.3">
      <c r="B15" s="124"/>
      <c r="C15" s="124"/>
    </row>
    <row r="16" spans="1:4" x14ac:dyDescent="0.3">
      <c r="B16" s="124"/>
      <c r="C16" s="124"/>
    </row>
    <row r="17" spans="1:3" x14ac:dyDescent="0.3">
      <c r="B17" s="124"/>
      <c r="C17" s="124"/>
    </row>
    <row r="18" spans="1:3" x14ac:dyDescent="0.3">
      <c r="B18" s="124"/>
      <c r="C18" s="124"/>
    </row>
    <row r="19" spans="1:3" x14ac:dyDescent="0.3">
      <c r="A19" s="119" t="str">
        <f>"Loss in value from: "&amp;A10&amp;" to "&amp;A13</f>
        <v>Loss in value from: 0.05 to 0.25</v>
      </c>
      <c r="B19" s="22"/>
      <c r="C19" s="22"/>
    </row>
  </sheetData>
  <mergeCells count="2">
    <mergeCell ref="B14:B18"/>
    <mergeCell ref="C14:C18"/>
  </mergeCell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685EC-6A22-4CC1-94D1-743C364FACA6}">
  <sheetPr>
    <tabColor rgb="FFFF0000"/>
  </sheetPr>
  <dimension ref="A1:D19"/>
  <sheetViews>
    <sheetView zoomScale="85" zoomScaleNormal="85" workbookViewId="0">
      <selection activeCell="I20" sqref="I20"/>
    </sheetView>
  </sheetViews>
  <sheetFormatPr defaultRowHeight="14.4" x14ac:dyDescent="0.3"/>
  <cols>
    <col min="1" max="1" width="21.5546875" bestFit="1" customWidth="1"/>
    <col min="2" max="2" width="10.5546875" bestFit="1" customWidth="1"/>
    <col min="3" max="4" width="24.88671875" customWidth="1"/>
    <col min="5" max="5" width="10.44140625" bestFit="1" customWidth="1"/>
  </cols>
  <sheetData>
    <row r="1" spans="1:4" x14ac:dyDescent="0.3">
      <c r="A1" s="1" t="s">
        <v>156</v>
      </c>
      <c r="B1" s="1">
        <v>10</v>
      </c>
      <c r="C1" s="97"/>
    </row>
    <row r="2" spans="1:4" x14ac:dyDescent="0.3">
      <c r="A2" s="1" t="s">
        <v>151</v>
      </c>
      <c r="B2" s="4">
        <v>0.05</v>
      </c>
    </row>
    <row r="3" spans="1:4" x14ac:dyDescent="0.3">
      <c r="A3" s="1" t="s">
        <v>152</v>
      </c>
      <c r="B3" s="4">
        <v>0.05</v>
      </c>
    </row>
    <row r="4" spans="1:4" x14ac:dyDescent="0.3">
      <c r="A4" s="1" t="s">
        <v>153</v>
      </c>
      <c r="B4" s="85">
        <v>1000</v>
      </c>
    </row>
    <row r="5" spans="1:4" x14ac:dyDescent="0.3">
      <c r="A5" s="1" t="s">
        <v>154</v>
      </c>
      <c r="B5" s="25">
        <v>1</v>
      </c>
    </row>
    <row r="7" spans="1:4" ht="18" x14ac:dyDescent="0.35">
      <c r="A7" s="98" t="s">
        <v>157</v>
      </c>
    </row>
    <row r="8" spans="1:4" x14ac:dyDescent="0.3">
      <c r="A8" s="121" t="s">
        <v>5</v>
      </c>
      <c r="B8" s="62">
        <v>0.02</v>
      </c>
      <c r="C8" s="62">
        <v>0.05</v>
      </c>
    </row>
    <row r="9" spans="1:4" x14ac:dyDescent="0.3">
      <c r="A9" s="100" t="s">
        <v>113</v>
      </c>
      <c r="B9" s="62" t="str">
        <f>TEXT(B8,"0.00%")&amp;" Coupon Rate"</f>
        <v>2.00% Coupon Rate</v>
      </c>
      <c r="C9" s="62" t="str">
        <f>TEXT(C8,"0.00%")&amp;" Coupon Rate"</f>
        <v>5.00% Coupon Rate</v>
      </c>
      <c r="D9" s="1" t="s">
        <v>158</v>
      </c>
    </row>
    <row r="10" spans="1:4" x14ac:dyDescent="0.3">
      <c r="A10" s="120">
        <v>0.05</v>
      </c>
      <c r="B10" s="3">
        <f>PV(A10,$B$1,-$B$8*$B$4,-$B$4)</f>
        <v>768.34795212445567</v>
      </c>
      <c r="C10" s="3">
        <f>PV(A10,$B$1,-$C$8*$B$4,-$B$4)</f>
        <v>1000</v>
      </c>
      <c r="D10" s="2">
        <f>C10-B10</f>
        <v>231.65204787554433</v>
      </c>
    </row>
    <row r="11" spans="1:4" x14ac:dyDescent="0.3">
      <c r="A11" s="120">
        <v>0.15</v>
      </c>
      <c r="B11" s="3">
        <f>PV(A11,$B$1,-$B$8*$B$4,-$B$4)</f>
        <v>347.56007863895042</v>
      </c>
      <c r="C11" s="3">
        <f>PV(A11,$B$1,-$C$8*$B$4,-$B$4)</f>
        <v>498.12313741457729</v>
      </c>
      <c r="D11" s="2">
        <f>C11-B11</f>
        <v>150.56305877562687</v>
      </c>
    </row>
    <row r="12" spans="1:4" x14ac:dyDescent="0.3">
      <c r="A12" s="120">
        <v>0.2</v>
      </c>
      <c r="B12" s="3">
        <f>PV(A12,$B$1,-$B$8*$B$4,-$B$4)</f>
        <v>245.35502460086119</v>
      </c>
      <c r="C12" s="3">
        <f>PV(A12,$B$1,-$C$8*$B$4,-$B$4)</f>
        <v>371.12918716738432</v>
      </c>
      <c r="D12" s="2">
        <f>C12-B12</f>
        <v>125.77416256652313</v>
      </c>
    </row>
    <row r="13" spans="1:4" x14ac:dyDescent="0.3">
      <c r="A13" s="120">
        <v>0.25</v>
      </c>
      <c r="B13" s="3">
        <f>PV(A13,$B$1,-$B$8*$B$4,-$B$4)</f>
        <v>178.784247808</v>
      </c>
      <c r="C13" s="3">
        <f>PV(A13,$B$1,-$C$8*$B$4,-$B$4)</f>
        <v>285.89934591999997</v>
      </c>
      <c r="D13" s="2">
        <f>C13-B13</f>
        <v>107.11509811199997</v>
      </c>
    </row>
    <row r="14" spans="1:4" x14ac:dyDescent="0.3">
      <c r="B14" s="124" t="s">
        <v>159</v>
      </c>
      <c r="C14" s="124" t="s">
        <v>160</v>
      </c>
    </row>
    <row r="15" spans="1:4" x14ac:dyDescent="0.3">
      <c r="B15" s="124"/>
      <c r="C15" s="124"/>
    </row>
    <row r="16" spans="1:4" x14ac:dyDescent="0.3">
      <c r="B16" s="124"/>
      <c r="C16" s="124"/>
    </row>
    <row r="17" spans="1:3" x14ac:dyDescent="0.3">
      <c r="B17" s="124"/>
      <c r="C17" s="124"/>
    </row>
    <row r="18" spans="1:3" x14ac:dyDescent="0.3">
      <c r="B18" s="124"/>
      <c r="C18" s="124"/>
    </row>
    <row r="19" spans="1:3" x14ac:dyDescent="0.3">
      <c r="A19" s="119" t="str">
        <f>"Loss in value from: "&amp;A10&amp;" to "&amp;A13</f>
        <v>Loss in value from: 0.05 to 0.25</v>
      </c>
      <c r="B19" s="22">
        <f>B13/B10-1</f>
        <v>-0.76731343226246951</v>
      </c>
      <c r="C19" s="22">
        <f>C13/C10-1</f>
        <v>-0.71410065408000001</v>
      </c>
    </row>
  </sheetData>
  <mergeCells count="2">
    <mergeCell ref="B14:B18"/>
    <mergeCell ref="C14:C18"/>
  </mergeCells>
  <pageMargins left="0.7" right="0.7" top="0.75" bottom="0.75" header="0.3" footer="0.3"/>
  <pageSetup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8FB49-395C-4599-B98B-A6A70086E0D7}">
  <sheetPr>
    <tabColor rgb="FF0000FF"/>
  </sheetPr>
  <dimension ref="A1:B5"/>
  <sheetViews>
    <sheetView zoomScale="205" zoomScaleNormal="205" workbookViewId="0">
      <selection activeCell="B4" sqref="B4"/>
    </sheetView>
  </sheetViews>
  <sheetFormatPr defaultRowHeight="14.4" x14ac:dyDescent="0.3"/>
  <cols>
    <col min="1" max="1" width="26.88671875" bestFit="1" customWidth="1"/>
  </cols>
  <sheetData>
    <row r="1" spans="1:2" x14ac:dyDescent="0.3">
      <c r="A1" s="1" t="s">
        <v>162</v>
      </c>
      <c r="B1" s="70">
        <v>0.25</v>
      </c>
    </row>
    <row r="2" spans="1:2" x14ac:dyDescent="0.3">
      <c r="A2" s="1" t="s">
        <v>163</v>
      </c>
      <c r="B2" s="70">
        <v>0.05</v>
      </c>
    </row>
    <row r="3" spans="1:2" x14ac:dyDescent="0.3">
      <c r="A3" s="1" t="s">
        <v>164</v>
      </c>
      <c r="B3" s="4">
        <v>3.9E-2</v>
      </c>
    </row>
    <row r="4" spans="1:2" x14ac:dyDescent="0.3">
      <c r="A4" s="1" t="s">
        <v>165</v>
      </c>
      <c r="B4" s="30"/>
    </row>
    <row r="5" spans="1:2" x14ac:dyDescent="0.3">
      <c r="A5" s="1" t="s">
        <v>166</v>
      </c>
      <c r="B5" s="6"/>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ADF25-7EF7-4798-AAF9-8CC766E3ACD0}">
  <sheetPr>
    <tabColor rgb="FFFF0000"/>
  </sheetPr>
  <dimension ref="A1:B5"/>
  <sheetViews>
    <sheetView zoomScale="235" zoomScaleNormal="235" workbookViewId="0">
      <selection activeCell="B5" sqref="B5"/>
    </sheetView>
  </sheetViews>
  <sheetFormatPr defaultRowHeight="14.4" x14ac:dyDescent="0.3"/>
  <cols>
    <col min="1" max="1" width="26.88671875" bestFit="1" customWidth="1"/>
  </cols>
  <sheetData>
    <row r="1" spans="1:2" x14ac:dyDescent="0.3">
      <c r="A1" s="1" t="s">
        <v>162</v>
      </c>
      <c r="B1" s="70">
        <v>0.25</v>
      </c>
    </row>
    <row r="2" spans="1:2" x14ac:dyDescent="0.3">
      <c r="A2" s="1" t="s">
        <v>163</v>
      </c>
      <c r="B2" s="70">
        <v>0.05</v>
      </c>
    </row>
    <row r="3" spans="1:2" x14ac:dyDescent="0.3">
      <c r="A3" s="1" t="s">
        <v>164</v>
      </c>
      <c r="B3" s="4">
        <v>3.9E-2</v>
      </c>
    </row>
    <row r="4" spans="1:2" x14ac:dyDescent="0.3">
      <c r="A4" s="1" t="s">
        <v>165</v>
      </c>
      <c r="B4" s="30">
        <f>B3</f>
        <v>3.9E-2</v>
      </c>
    </row>
    <row r="5" spans="1:2" x14ac:dyDescent="0.3">
      <c r="A5" s="1" t="s">
        <v>166</v>
      </c>
      <c r="B5" s="6">
        <f>B2*(1-B1)</f>
        <v>3.7500000000000006E-2</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058D9-16BD-46D8-B245-E70C90498BD7}">
  <sheetPr>
    <tabColor theme="1"/>
  </sheetPr>
  <dimension ref="A1"/>
  <sheetViews>
    <sheetView workbookViewId="0">
      <selection activeCell="F20" sqref="F20"/>
    </sheetView>
  </sheetViews>
  <sheetFormatPr defaultRowHeight="14.4" x14ac:dyDescent="0.3"/>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3C5D04-9871-4EAC-A873-841C6743A0AB}">
  <sheetPr>
    <tabColor rgb="FF0000FF"/>
  </sheetPr>
  <dimension ref="A1:G17"/>
  <sheetViews>
    <sheetView zoomScaleNormal="100" workbookViewId="0">
      <selection activeCell="G14" sqref="G14"/>
    </sheetView>
  </sheetViews>
  <sheetFormatPr defaultRowHeight="14.4" x14ac:dyDescent="0.3"/>
  <cols>
    <col min="1" max="1" width="51.109375" bestFit="1" customWidth="1"/>
    <col min="2" max="2" width="12.6640625" bestFit="1" customWidth="1"/>
  </cols>
  <sheetData>
    <row r="1" spans="1:7" x14ac:dyDescent="0.3">
      <c r="A1" s="1" t="s">
        <v>0</v>
      </c>
      <c r="B1" s="1" t="s">
        <v>1</v>
      </c>
    </row>
    <row r="2" spans="1:7" x14ac:dyDescent="0.3">
      <c r="A2" s="1" t="s">
        <v>2</v>
      </c>
      <c r="B2" s="2">
        <v>1000</v>
      </c>
    </row>
    <row r="3" spans="1:7" x14ac:dyDescent="0.3">
      <c r="A3" s="1" t="s">
        <v>3</v>
      </c>
      <c r="B3" s="1">
        <v>1</v>
      </c>
    </row>
    <row r="4" spans="1:7" x14ac:dyDescent="0.3">
      <c r="A4" s="1" t="s">
        <v>4</v>
      </c>
      <c r="B4" s="3"/>
    </row>
    <row r="5" spans="1:7" x14ac:dyDescent="0.3">
      <c r="A5" s="1" t="s">
        <v>5</v>
      </c>
      <c r="B5" s="4">
        <v>0.1</v>
      </c>
    </row>
    <row r="6" spans="1:7" x14ac:dyDescent="0.3">
      <c r="A6" s="1" t="s">
        <v>6</v>
      </c>
      <c r="B6" s="1">
        <v>2</v>
      </c>
    </row>
    <row r="7" spans="1:7" x14ac:dyDescent="0.3">
      <c r="A7" s="1" t="s">
        <v>7</v>
      </c>
      <c r="B7" s="5"/>
    </row>
    <row r="8" spans="1:7" x14ac:dyDescent="0.3">
      <c r="A8" s="1" t="s">
        <v>8</v>
      </c>
      <c r="B8" s="3"/>
    </row>
    <row r="9" spans="1:7" x14ac:dyDescent="0.3">
      <c r="A9" s="1" t="s">
        <v>9</v>
      </c>
      <c r="B9" s="1">
        <v>20</v>
      </c>
    </row>
    <row r="10" spans="1:7" x14ac:dyDescent="0.3">
      <c r="A10" s="1" t="s">
        <v>10</v>
      </c>
      <c r="B10" s="6"/>
    </row>
    <row r="11" spans="1:7" x14ac:dyDescent="0.3">
      <c r="A11" s="1" t="s">
        <v>11</v>
      </c>
      <c r="B11" s="7">
        <v>0.12</v>
      </c>
    </row>
    <row r="12" spans="1:7" x14ac:dyDescent="0.3">
      <c r="A12" s="1" t="s">
        <v>12</v>
      </c>
      <c r="B12" s="6"/>
      <c r="D12" s="1" t="s">
        <v>13</v>
      </c>
    </row>
    <row r="13" spans="1:7" x14ac:dyDescent="0.3">
      <c r="A13" s="1" t="s">
        <v>14</v>
      </c>
      <c r="B13" s="3"/>
      <c r="C13" t="s">
        <v>15</v>
      </c>
      <c r="D13" s="2"/>
    </row>
    <row r="14" spans="1:7" x14ac:dyDescent="0.3">
      <c r="A14" s="1" t="s">
        <v>16</v>
      </c>
      <c r="B14" s="5"/>
      <c r="C14" t="s">
        <v>15</v>
      </c>
      <c r="D14" s="1"/>
    </row>
    <row r="15" spans="1:7" x14ac:dyDescent="0.3">
      <c r="A15" s="8" t="s">
        <v>17</v>
      </c>
      <c r="B15" s="9"/>
      <c r="C15" s="10"/>
      <c r="D15" s="10"/>
      <c r="E15" s="10"/>
      <c r="F15" s="10"/>
      <c r="G15" s="11"/>
    </row>
    <row r="16" spans="1:7" x14ac:dyDescent="0.3">
      <c r="B16" s="12"/>
      <c r="C16" s="12"/>
      <c r="D16" s="12"/>
      <c r="E16" s="12"/>
      <c r="F16" s="12"/>
    </row>
    <row r="17" spans="2:6" x14ac:dyDescent="0.3">
      <c r="B17" s="12"/>
      <c r="C17" s="12"/>
      <c r="D17" s="12"/>
      <c r="E17" s="12"/>
      <c r="F17" s="12"/>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D92FC-2137-4350-9A1B-4289497D42E6}">
  <sheetPr>
    <tabColor rgb="FF0000FF"/>
  </sheetPr>
  <dimension ref="A1:F13"/>
  <sheetViews>
    <sheetView zoomScale="160" zoomScaleNormal="160" workbookViewId="0">
      <selection activeCell="C3" sqref="C3"/>
    </sheetView>
  </sheetViews>
  <sheetFormatPr defaultRowHeight="14.4" x14ac:dyDescent="0.3"/>
  <cols>
    <col min="1" max="1" width="2" bestFit="1" customWidth="1"/>
    <col min="2" max="2" width="31.109375" customWidth="1"/>
    <col min="3" max="3" width="12" bestFit="1" customWidth="1"/>
  </cols>
  <sheetData>
    <row r="1" spans="1:6" x14ac:dyDescent="0.3">
      <c r="B1" s="100" t="s">
        <v>103</v>
      </c>
      <c r="C1" s="1">
        <v>0.12</v>
      </c>
      <c r="D1" s="1" t="s">
        <v>99</v>
      </c>
    </row>
    <row r="2" spans="1:6" x14ac:dyDescent="0.3">
      <c r="B2" s="100" t="s">
        <v>104</v>
      </c>
      <c r="C2" s="1">
        <v>0.06</v>
      </c>
      <c r="D2" s="1" t="s">
        <v>100</v>
      </c>
    </row>
    <row r="3" spans="1:6" x14ac:dyDescent="0.3">
      <c r="A3" s="63">
        <v>3</v>
      </c>
      <c r="B3" s="100" t="s">
        <v>105</v>
      </c>
      <c r="C3" s="6"/>
      <c r="D3" s="1" t="s">
        <v>106</v>
      </c>
    </row>
    <row r="5" spans="1:6" x14ac:dyDescent="0.3">
      <c r="B5" s="100" t="s">
        <v>103</v>
      </c>
      <c r="C5" s="1">
        <v>0.01</v>
      </c>
      <c r="D5" s="1" t="s">
        <v>99</v>
      </c>
    </row>
    <row r="6" spans="1:6" x14ac:dyDescent="0.3">
      <c r="B6" s="100" t="s">
        <v>104</v>
      </c>
      <c r="C6" s="1">
        <v>1.4999999999999999E-2</v>
      </c>
      <c r="D6" s="1" t="s">
        <v>100</v>
      </c>
    </row>
    <row r="7" spans="1:6" x14ac:dyDescent="0.3">
      <c r="A7" s="63">
        <v>4</v>
      </c>
      <c r="B7" s="100" t="s">
        <v>105</v>
      </c>
      <c r="C7" s="6"/>
      <c r="D7" s="1" t="s">
        <v>106</v>
      </c>
    </row>
    <row r="9" spans="1:6" x14ac:dyDescent="0.3">
      <c r="B9" s="100" t="s">
        <v>103</v>
      </c>
      <c r="C9" s="1">
        <v>1.4999999999999999E-2</v>
      </c>
      <c r="D9" s="1" t="s">
        <v>99</v>
      </c>
    </row>
    <row r="10" spans="1:6" x14ac:dyDescent="0.3">
      <c r="B10" s="100" t="s">
        <v>104</v>
      </c>
      <c r="C10" s="1">
        <v>0.01</v>
      </c>
      <c r="D10" s="1" t="s">
        <v>100</v>
      </c>
    </row>
    <row r="11" spans="1:6" x14ac:dyDescent="0.3">
      <c r="A11" s="63">
        <v>5</v>
      </c>
      <c r="B11" s="100" t="s">
        <v>105</v>
      </c>
      <c r="C11" s="108"/>
      <c r="D11" s="1" t="s">
        <v>106</v>
      </c>
      <c r="F11" s="107"/>
    </row>
    <row r="13" spans="1:6" ht="28.8" x14ac:dyDescent="0.3">
      <c r="B13" s="103" t="s">
        <v>107</v>
      </c>
      <c r="C13" s="104"/>
      <c r="D13" s="104"/>
      <c r="E13" s="105"/>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008F3-B21D-4AC9-A40C-39F7CBD70B49}">
  <sheetPr>
    <tabColor rgb="FFFF0000"/>
  </sheetPr>
  <dimension ref="A1:G17"/>
  <sheetViews>
    <sheetView zoomScale="85" zoomScaleNormal="85" workbookViewId="0">
      <selection activeCell="G14" sqref="G14"/>
    </sheetView>
  </sheetViews>
  <sheetFormatPr defaultRowHeight="14.4" x14ac:dyDescent="0.3"/>
  <cols>
    <col min="1" max="1" width="51.109375" bestFit="1" customWidth="1"/>
    <col min="2" max="2" width="12.6640625" bestFit="1" customWidth="1"/>
  </cols>
  <sheetData>
    <row r="1" spans="1:7" x14ac:dyDescent="0.3">
      <c r="A1" s="1" t="s">
        <v>0</v>
      </c>
      <c r="B1" s="1" t="s">
        <v>1</v>
      </c>
    </row>
    <row r="2" spans="1:7" x14ac:dyDescent="0.3">
      <c r="A2" s="1" t="s">
        <v>2</v>
      </c>
      <c r="B2" s="2">
        <v>1000</v>
      </c>
    </row>
    <row r="3" spans="1:7" x14ac:dyDescent="0.3">
      <c r="A3" s="1" t="s">
        <v>3</v>
      </c>
      <c r="B3" s="1">
        <v>1</v>
      </c>
    </row>
    <row r="4" spans="1:7" x14ac:dyDescent="0.3">
      <c r="A4" s="1" t="s">
        <v>4</v>
      </c>
      <c r="B4" s="3">
        <f>B3*B2</f>
        <v>1000</v>
      </c>
    </row>
    <row r="5" spans="1:7" x14ac:dyDescent="0.3">
      <c r="A5" s="1" t="s">
        <v>5</v>
      </c>
      <c r="B5" s="4">
        <v>0.1</v>
      </c>
    </row>
    <row r="6" spans="1:7" x14ac:dyDescent="0.3">
      <c r="A6" s="1" t="s">
        <v>6</v>
      </c>
      <c r="B6" s="1">
        <v>2</v>
      </c>
    </row>
    <row r="7" spans="1:7" x14ac:dyDescent="0.3">
      <c r="A7" s="1" t="s">
        <v>7</v>
      </c>
      <c r="B7" s="5">
        <f>B5/B6</f>
        <v>0.05</v>
      </c>
    </row>
    <row r="8" spans="1:7" x14ac:dyDescent="0.3">
      <c r="A8" s="1" t="s">
        <v>8</v>
      </c>
      <c r="B8" s="3">
        <f>B7*B4</f>
        <v>50</v>
      </c>
    </row>
    <row r="9" spans="1:7" x14ac:dyDescent="0.3">
      <c r="A9" s="1" t="s">
        <v>9</v>
      </c>
      <c r="B9" s="1">
        <v>20</v>
      </c>
    </row>
    <row r="10" spans="1:7" x14ac:dyDescent="0.3">
      <c r="A10" s="1" t="s">
        <v>10</v>
      </c>
      <c r="B10" s="6">
        <f>B9*B6</f>
        <v>40</v>
      </c>
    </row>
    <row r="11" spans="1:7" x14ac:dyDescent="0.3">
      <c r="A11" s="1" t="s">
        <v>11</v>
      </c>
      <c r="B11" s="7">
        <v>0.12</v>
      </c>
    </row>
    <row r="12" spans="1:7" x14ac:dyDescent="0.3">
      <c r="A12" s="1" t="s">
        <v>12</v>
      </c>
      <c r="B12" s="6">
        <f>B11/B6</f>
        <v>0.06</v>
      </c>
      <c r="D12" s="1" t="s">
        <v>13</v>
      </c>
    </row>
    <row r="13" spans="1:7" x14ac:dyDescent="0.3">
      <c r="A13" s="1" t="s">
        <v>14</v>
      </c>
      <c r="B13" s="3">
        <f>PV(B12,B10,B8,B4)</f>
        <v>-849.53703128475081</v>
      </c>
      <c r="C13" t="s">
        <v>15</v>
      </c>
      <c r="D13" s="2">
        <f>-B8*((1-(1+B12)^-B10)/B12)-B4/(1+B12)^B10</f>
        <v>-849.53703128475104</v>
      </c>
    </row>
    <row r="14" spans="1:7" x14ac:dyDescent="0.3">
      <c r="A14" s="1" t="s">
        <v>16</v>
      </c>
      <c r="B14" s="5">
        <f>EFFECT(B11,B6)</f>
        <v>0.12360000000000015</v>
      </c>
      <c r="C14" t="s">
        <v>15</v>
      </c>
      <c r="D14" s="1">
        <f>(1+B12)^B6-1</f>
        <v>0.12360000000000015</v>
      </c>
    </row>
    <row r="15" spans="1:7" ht="43.2" x14ac:dyDescent="0.3">
      <c r="A15" s="8" t="s">
        <v>17</v>
      </c>
      <c r="B15" s="9" t="str">
        <f>"The Bond with a "&amp;TEXT(B5,"0.00%")&amp;" coupon is priced to yield "&amp;TEXT(B11,"0.00%")&amp;" at "&amp;DOLLAR(-B13)&amp;". This Bond is selling at "&amp;IF(ABS(B13)=B4,"Par",IF(ABS(B13)&gt;B4,"a Premium","a Discount"))&amp;". Further, the Effective Annual Yield is "&amp;TEXT(B14,"0.00%")&amp;"."</f>
        <v>The Bond with a 10.00% coupon is priced to yield 12.00% at $849.54. This Bond is selling at a Discount. Further, the Effective Annual Yield is 12.36%.</v>
      </c>
      <c r="C15" s="10"/>
      <c r="D15" s="10"/>
      <c r="E15" s="10"/>
      <c r="F15" s="10"/>
      <c r="G15" s="11"/>
    </row>
    <row r="16" spans="1:7" x14ac:dyDescent="0.3">
      <c r="B16" s="12"/>
      <c r="C16" s="12"/>
      <c r="D16" s="12"/>
      <c r="E16" s="12"/>
      <c r="F16" s="12"/>
    </row>
    <row r="17" spans="2:6" x14ac:dyDescent="0.3">
      <c r="B17" s="12"/>
      <c r="C17" s="12"/>
      <c r="D17" s="12"/>
      <c r="E17" s="12"/>
      <c r="F17" s="12"/>
    </row>
  </sheetData>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8A0EE-DEF3-458B-AABA-4E95E089ECE2}">
  <sheetPr>
    <tabColor rgb="FF0000FF"/>
  </sheetPr>
  <dimension ref="A1:G16"/>
  <sheetViews>
    <sheetView zoomScale="85" zoomScaleNormal="85" workbookViewId="0">
      <selection activeCell="G14" sqref="G14"/>
    </sheetView>
  </sheetViews>
  <sheetFormatPr defaultRowHeight="14.4" x14ac:dyDescent="0.3"/>
  <cols>
    <col min="1" max="1" width="51.109375" bestFit="1" customWidth="1"/>
    <col min="2" max="2" width="13.5546875" bestFit="1" customWidth="1"/>
    <col min="5" max="5" width="9.88671875" bestFit="1" customWidth="1"/>
  </cols>
  <sheetData>
    <row r="1" spans="1:7" x14ac:dyDescent="0.3">
      <c r="A1" s="1" t="s">
        <v>0</v>
      </c>
      <c r="B1" s="1" t="s">
        <v>1</v>
      </c>
    </row>
    <row r="2" spans="1:7" x14ac:dyDescent="0.3">
      <c r="A2" s="1" t="s">
        <v>2</v>
      </c>
      <c r="B2" s="2">
        <v>1000</v>
      </c>
    </row>
    <row r="3" spans="1:7" x14ac:dyDescent="0.3">
      <c r="A3" s="1" t="s">
        <v>3</v>
      </c>
      <c r="B3" s="1">
        <v>1</v>
      </c>
    </row>
    <row r="4" spans="1:7" x14ac:dyDescent="0.3">
      <c r="A4" s="1" t="s">
        <v>4</v>
      </c>
      <c r="B4" s="3"/>
    </row>
    <row r="5" spans="1:7" x14ac:dyDescent="0.3">
      <c r="A5" s="1" t="s">
        <v>5</v>
      </c>
      <c r="B5" s="4">
        <v>0.08</v>
      </c>
    </row>
    <row r="6" spans="1:7" x14ac:dyDescent="0.3">
      <c r="A6" s="1" t="s">
        <v>6</v>
      </c>
      <c r="B6" s="1">
        <v>2</v>
      </c>
    </row>
    <row r="7" spans="1:7" x14ac:dyDescent="0.3">
      <c r="A7" s="1" t="s">
        <v>7</v>
      </c>
      <c r="B7" s="5"/>
    </row>
    <row r="8" spans="1:7" x14ac:dyDescent="0.3">
      <c r="A8" s="1" t="s">
        <v>8</v>
      </c>
      <c r="B8" s="3"/>
    </row>
    <row r="9" spans="1:7" x14ac:dyDescent="0.3">
      <c r="A9" s="1" t="s">
        <v>9</v>
      </c>
      <c r="B9" s="1">
        <v>6</v>
      </c>
    </row>
    <row r="10" spans="1:7" x14ac:dyDescent="0.3">
      <c r="A10" s="1" t="s">
        <v>10</v>
      </c>
      <c r="B10" s="6"/>
    </row>
    <row r="11" spans="1:7" x14ac:dyDescent="0.3">
      <c r="A11" s="1" t="s">
        <v>11</v>
      </c>
      <c r="B11" s="6"/>
    </row>
    <row r="12" spans="1:7" x14ac:dyDescent="0.3">
      <c r="A12" s="1" t="s">
        <v>12</v>
      </c>
      <c r="B12" s="13"/>
    </row>
    <row r="13" spans="1:7" x14ac:dyDescent="0.3">
      <c r="A13" s="1" t="s">
        <v>18</v>
      </c>
      <c r="B13" s="14">
        <v>-911.37</v>
      </c>
      <c r="D13" s="1" t="s">
        <v>13</v>
      </c>
      <c r="E13" s="1" t="s">
        <v>19</v>
      </c>
    </row>
    <row r="14" spans="1:7" x14ac:dyDescent="0.3">
      <c r="A14" s="1" t="s">
        <v>16</v>
      </c>
      <c r="B14" s="5"/>
      <c r="D14" s="1">
        <f>(1+B12)^B6-1</f>
        <v>0</v>
      </c>
      <c r="E14" s="2">
        <f>FV(B12,B10,B8,B13)</f>
        <v>911.37</v>
      </c>
    </row>
    <row r="15" spans="1:7" x14ac:dyDescent="0.3">
      <c r="A15" s="1"/>
      <c r="B15" s="15"/>
    </row>
    <row r="16" spans="1:7" x14ac:dyDescent="0.3">
      <c r="A16" s="8" t="s">
        <v>17</v>
      </c>
      <c r="B16" s="9"/>
      <c r="C16" s="10"/>
      <c r="D16" s="10"/>
      <c r="E16" s="10"/>
      <c r="F16" s="10"/>
      <c r="G16" s="11"/>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52A4C-9996-4729-8375-CB91CB9C25E3}">
  <sheetPr>
    <tabColor rgb="FFFF0000"/>
  </sheetPr>
  <dimension ref="A1:G16"/>
  <sheetViews>
    <sheetView zoomScale="85" zoomScaleNormal="85" workbookViewId="0">
      <selection activeCell="G14" sqref="G14"/>
    </sheetView>
  </sheetViews>
  <sheetFormatPr defaultRowHeight="14.4" x14ac:dyDescent="0.3"/>
  <cols>
    <col min="1" max="1" width="51.109375" bestFit="1" customWidth="1"/>
    <col min="2" max="2" width="13.5546875" bestFit="1" customWidth="1"/>
    <col min="5" max="5" width="9.88671875" bestFit="1" customWidth="1"/>
  </cols>
  <sheetData>
    <row r="1" spans="1:7" x14ac:dyDescent="0.3">
      <c r="A1" s="1" t="s">
        <v>0</v>
      </c>
      <c r="B1" s="1" t="s">
        <v>1</v>
      </c>
    </row>
    <row r="2" spans="1:7" x14ac:dyDescent="0.3">
      <c r="A2" s="1" t="s">
        <v>2</v>
      </c>
      <c r="B2" s="2">
        <v>1000</v>
      </c>
    </row>
    <row r="3" spans="1:7" x14ac:dyDescent="0.3">
      <c r="A3" s="1" t="s">
        <v>3</v>
      </c>
      <c r="B3" s="1">
        <v>1</v>
      </c>
    </row>
    <row r="4" spans="1:7" x14ac:dyDescent="0.3">
      <c r="A4" s="1" t="s">
        <v>4</v>
      </c>
      <c r="B4" s="3">
        <f>B3*B2</f>
        <v>1000</v>
      </c>
    </row>
    <row r="5" spans="1:7" x14ac:dyDescent="0.3">
      <c r="A5" s="1" t="s">
        <v>5</v>
      </c>
      <c r="B5" s="4">
        <v>0.08</v>
      </c>
    </row>
    <row r="6" spans="1:7" x14ac:dyDescent="0.3">
      <c r="A6" s="1" t="s">
        <v>6</v>
      </c>
      <c r="B6" s="1">
        <v>2</v>
      </c>
    </row>
    <row r="7" spans="1:7" x14ac:dyDescent="0.3">
      <c r="A7" s="1" t="s">
        <v>7</v>
      </c>
      <c r="B7" s="5">
        <f>B5/B6</f>
        <v>0.04</v>
      </c>
    </row>
    <row r="8" spans="1:7" x14ac:dyDescent="0.3">
      <c r="A8" s="1" t="s">
        <v>8</v>
      </c>
      <c r="B8" s="3">
        <f>B7*B4</f>
        <v>40</v>
      </c>
    </row>
    <row r="9" spans="1:7" x14ac:dyDescent="0.3">
      <c r="A9" s="1" t="s">
        <v>9</v>
      </c>
      <c r="B9" s="1">
        <v>6</v>
      </c>
    </row>
    <row r="10" spans="1:7" x14ac:dyDescent="0.3">
      <c r="A10" s="1" t="s">
        <v>10</v>
      </c>
      <c r="B10" s="6">
        <f>B9*B6</f>
        <v>12</v>
      </c>
    </row>
    <row r="11" spans="1:7" x14ac:dyDescent="0.3">
      <c r="A11" s="1" t="s">
        <v>11</v>
      </c>
      <c r="B11" s="6">
        <f>B12*B6</f>
        <v>9.999939824283971E-2</v>
      </c>
    </row>
    <row r="12" spans="1:7" x14ac:dyDescent="0.3">
      <c r="A12" s="1" t="s">
        <v>12</v>
      </c>
      <c r="B12" s="13">
        <f>RATE(B10,B8,B13,B4)</f>
        <v>4.9999699121419855E-2</v>
      </c>
    </row>
    <row r="13" spans="1:7" x14ac:dyDescent="0.3">
      <c r="A13" s="1" t="s">
        <v>18</v>
      </c>
      <c r="B13" s="14">
        <v>-911.37</v>
      </c>
      <c r="D13" s="1" t="s">
        <v>13</v>
      </c>
      <c r="E13" s="1" t="s">
        <v>19</v>
      </c>
    </row>
    <row r="14" spans="1:7" x14ac:dyDescent="0.3">
      <c r="A14" s="1" t="s">
        <v>16</v>
      </c>
      <c r="B14" s="5">
        <f>EFFECT(B11,B6)</f>
        <v>0.1024993681550721</v>
      </c>
      <c r="D14" s="1">
        <f>(1+B12)^B6-1</f>
        <v>0.1024993681550721</v>
      </c>
      <c r="E14" s="2">
        <f>FV(B12,B10,B8,B13)</f>
        <v>1000.0000000008912</v>
      </c>
    </row>
    <row r="15" spans="1:7" x14ac:dyDescent="0.3">
      <c r="A15" s="1"/>
      <c r="B15" s="15"/>
    </row>
    <row r="16" spans="1:7" ht="43.2" x14ac:dyDescent="0.3">
      <c r="A16" s="8" t="s">
        <v>17</v>
      </c>
      <c r="B16" s="9" t="str">
        <f>"The Bond with a "&amp;TEXT(B5,"0.00%")&amp;" coupon is priced to yield "&amp;TEXT(B11,"0.00%")&amp;" at "&amp;DOLLAR(-B13)&amp;". This Bond is selling at "&amp;IF(ABS(B13)=B4,"Par",IF(ABS(B13)&gt;B4,"a Premium","a Discount"))&amp;". Further, the Effective Annual Yield is "&amp;TEXT(B14,"0.00%")&amp;"."</f>
        <v>The Bond with a 8.00% coupon is priced to yield 10.00% at $911.37. This Bond is selling at a Discount. Further, the Effective Annual Yield is 10.25%.</v>
      </c>
      <c r="C16" s="10"/>
      <c r="D16" s="10"/>
      <c r="E16" s="10"/>
      <c r="F16" s="10"/>
      <c r="G16" s="11"/>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A6F70-826A-44DF-860B-F9EDCA072528}">
  <sheetPr>
    <tabColor rgb="FF0000FF"/>
  </sheetPr>
  <dimension ref="A1:J2"/>
  <sheetViews>
    <sheetView workbookViewId="0">
      <selection activeCell="G14" sqref="G14"/>
    </sheetView>
  </sheetViews>
  <sheetFormatPr defaultRowHeight="14.4" x14ac:dyDescent="0.3"/>
  <sheetData>
    <row r="1" spans="1:10" ht="98.25" customHeight="1" x14ac:dyDescent="0.3">
      <c r="A1" s="1" t="s">
        <v>20</v>
      </c>
      <c r="B1" s="16"/>
      <c r="C1" s="17"/>
      <c r="D1" s="17"/>
      <c r="E1" s="17"/>
      <c r="F1" s="17"/>
      <c r="G1" s="17"/>
      <c r="H1" s="17"/>
      <c r="I1" s="17"/>
      <c r="J1" s="18"/>
    </row>
    <row r="2" spans="1:10" ht="98.25" customHeight="1" x14ac:dyDescent="0.3">
      <c r="A2" s="1" t="s">
        <v>21</v>
      </c>
      <c r="B2" s="16"/>
      <c r="C2" s="17"/>
      <c r="D2" s="17"/>
      <c r="E2" s="17"/>
      <c r="F2" s="17"/>
      <c r="G2" s="17"/>
      <c r="H2" s="17"/>
      <c r="I2" s="17"/>
      <c r="J2" s="18"/>
    </row>
  </sheetData>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66C08-FC87-40F0-9707-B4DDCEE1A8C8}">
  <sheetPr>
    <tabColor rgb="FFFF0000"/>
  </sheetPr>
  <dimension ref="A1:J2"/>
  <sheetViews>
    <sheetView workbookViewId="0">
      <selection activeCell="G14" sqref="G14"/>
    </sheetView>
  </sheetViews>
  <sheetFormatPr defaultRowHeight="14.4" x14ac:dyDescent="0.3"/>
  <sheetData>
    <row r="1" spans="1:10" ht="43.2" x14ac:dyDescent="0.3">
      <c r="A1" s="1" t="s">
        <v>20</v>
      </c>
      <c r="B1" s="16" t="s">
        <v>22</v>
      </c>
      <c r="C1" s="17"/>
      <c r="D1" s="17"/>
      <c r="E1" s="17"/>
      <c r="F1" s="17"/>
      <c r="G1" s="17"/>
      <c r="H1" s="17"/>
      <c r="I1" s="17"/>
      <c r="J1" s="18"/>
    </row>
    <row r="2" spans="1:10" ht="144" x14ac:dyDescent="0.3">
      <c r="A2" s="1" t="s">
        <v>21</v>
      </c>
      <c r="B2" s="16" t="s">
        <v>23</v>
      </c>
      <c r="C2" s="17"/>
      <c r="D2" s="17"/>
      <c r="E2" s="17"/>
      <c r="F2" s="17"/>
      <c r="G2" s="17"/>
      <c r="H2" s="17"/>
      <c r="I2" s="17"/>
      <c r="J2" s="18"/>
    </row>
  </sheetData>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C2A6F-11A3-4BED-8B98-9E9D19623423}">
  <sheetPr>
    <tabColor rgb="FF0000FF"/>
  </sheetPr>
  <dimension ref="A1:K11"/>
  <sheetViews>
    <sheetView workbookViewId="0">
      <selection activeCell="G14" sqref="G14"/>
    </sheetView>
  </sheetViews>
  <sheetFormatPr defaultRowHeight="14.4" x14ac:dyDescent="0.3"/>
  <cols>
    <col min="1" max="1" width="27" bestFit="1" customWidth="1"/>
    <col min="2" max="2" width="12.6640625" bestFit="1" customWidth="1"/>
    <col min="3" max="3" width="16.33203125" bestFit="1" customWidth="1"/>
  </cols>
  <sheetData>
    <row r="1" spans="1:11" x14ac:dyDescent="0.3">
      <c r="A1" s="1" t="s">
        <v>0</v>
      </c>
      <c r="B1" s="1" t="s">
        <v>1</v>
      </c>
    </row>
    <row r="2" spans="1:11" x14ac:dyDescent="0.3">
      <c r="A2" s="1" t="s">
        <v>5</v>
      </c>
      <c r="B2" s="4">
        <v>7.0000000000000007E-2</v>
      </c>
    </row>
    <row r="3" spans="1:11" x14ac:dyDescent="0.3">
      <c r="A3" s="1" t="s">
        <v>24</v>
      </c>
      <c r="B3" s="1">
        <v>20</v>
      </c>
    </row>
    <row r="4" spans="1:11" x14ac:dyDescent="0.3">
      <c r="A4" s="1" t="s">
        <v>25</v>
      </c>
      <c r="B4" s="19">
        <v>1000</v>
      </c>
      <c r="C4" t="s">
        <v>26</v>
      </c>
    </row>
    <row r="5" spans="1:11" x14ac:dyDescent="0.3">
      <c r="A5" s="1" t="s">
        <v>27</v>
      </c>
      <c r="B5" s="1">
        <v>1</v>
      </c>
      <c r="C5" t="s">
        <v>26</v>
      </c>
    </row>
    <row r="6" spans="1:11" x14ac:dyDescent="0.3">
      <c r="A6" s="1" t="s">
        <v>28</v>
      </c>
      <c r="B6" s="20"/>
    </row>
    <row r="7" spans="1:11" x14ac:dyDescent="0.3">
      <c r="A7" s="1" t="s">
        <v>29</v>
      </c>
      <c r="B7" s="4">
        <v>0.1</v>
      </c>
      <c r="C7" t="s">
        <v>26</v>
      </c>
    </row>
    <row r="8" spans="1:11" x14ac:dyDescent="0.3">
      <c r="A8" s="1" t="s">
        <v>30</v>
      </c>
      <c r="B8" s="4">
        <v>0.15</v>
      </c>
    </row>
    <row r="9" spans="1:11" x14ac:dyDescent="0.3">
      <c r="A9" s="1" t="s">
        <v>31</v>
      </c>
      <c r="B9" s="20"/>
    </row>
    <row r="10" spans="1:11" x14ac:dyDescent="0.3">
      <c r="A10" s="1" t="s">
        <v>32</v>
      </c>
      <c r="B10" s="20"/>
    </row>
    <row r="11" spans="1:11" ht="70.5" customHeight="1" x14ac:dyDescent="0.3">
      <c r="A11" s="1" t="s">
        <v>17</v>
      </c>
      <c r="B11" s="21"/>
      <c r="C11" s="17"/>
      <c r="D11" s="17"/>
      <c r="E11" s="17"/>
      <c r="F11" s="17"/>
      <c r="G11" s="17"/>
      <c r="H11" s="17"/>
      <c r="I11" s="17"/>
      <c r="J11" s="17"/>
      <c r="K11" s="18"/>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6A37D-369B-47BF-AB26-F7C0AC06B8F4}">
  <sheetPr>
    <tabColor rgb="FFFF0000"/>
  </sheetPr>
  <dimension ref="A1:K11"/>
  <sheetViews>
    <sheetView workbookViewId="0">
      <selection activeCell="G14" sqref="G14"/>
    </sheetView>
  </sheetViews>
  <sheetFormatPr defaultRowHeight="14.4" x14ac:dyDescent="0.3"/>
  <cols>
    <col min="1" max="1" width="27" bestFit="1" customWidth="1"/>
    <col min="2" max="2" width="12.6640625" bestFit="1" customWidth="1"/>
    <col min="3" max="3" width="16.33203125" bestFit="1" customWidth="1"/>
  </cols>
  <sheetData>
    <row r="1" spans="1:11" x14ac:dyDescent="0.3">
      <c r="A1" s="1" t="s">
        <v>0</v>
      </c>
      <c r="B1" s="1" t="s">
        <v>1</v>
      </c>
    </row>
    <row r="2" spans="1:11" x14ac:dyDescent="0.3">
      <c r="A2" s="1" t="s">
        <v>5</v>
      </c>
      <c r="B2" s="4">
        <v>7.0000000000000007E-2</v>
      </c>
    </row>
    <row r="3" spans="1:11" x14ac:dyDescent="0.3">
      <c r="A3" s="1" t="s">
        <v>24</v>
      </c>
      <c r="B3" s="1">
        <v>20</v>
      </c>
    </row>
    <row r="4" spans="1:11" x14ac:dyDescent="0.3">
      <c r="A4" s="1" t="s">
        <v>25</v>
      </c>
      <c r="B4" s="19">
        <v>1000</v>
      </c>
      <c r="C4" t="s">
        <v>26</v>
      </c>
    </row>
    <row r="5" spans="1:11" x14ac:dyDescent="0.3">
      <c r="A5" s="1" t="s">
        <v>27</v>
      </c>
      <c r="B5" s="1">
        <v>1</v>
      </c>
      <c r="C5" t="s">
        <v>26</v>
      </c>
    </row>
    <row r="6" spans="1:11" x14ac:dyDescent="0.3">
      <c r="A6" s="1" t="s">
        <v>28</v>
      </c>
      <c r="B6" s="20">
        <f>B4*B2/B5</f>
        <v>70</v>
      </c>
    </row>
    <row r="7" spans="1:11" x14ac:dyDescent="0.3">
      <c r="A7" s="1" t="s">
        <v>29</v>
      </c>
      <c r="B7" s="4">
        <v>0.1</v>
      </c>
      <c r="C7" t="s">
        <v>26</v>
      </c>
    </row>
    <row r="8" spans="1:11" x14ac:dyDescent="0.3">
      <c r="A8" s="1" t="s">
        <v>30</v>
      </c>
      <c r="B8" s="4">
        <v>0.15</v>
      </c>
    </row>
    <row r="9" spans="1:11" x14ac:dyDescent="0.3">
      <c r="A9" s="1" t="s">
        <v>31</v>
      </c>
      <c r="B9" s="20">
        <f>PV(B7/B$5,B$3*B$5,B$6,B$4)</f>
        <v>-744.59308840724293</v>
      </c>
    </row>
    <row r="10" spans="1:11" x14ac:dyDescent="0.3">
      <c r="A10" s="1" t="s">
        <v>32</v>
      </c>
      <c r="B10" s="20">
        <f>PV(B8/B$5,B$3*B$5,B$6,B$4)</f>
        <v>-499.25348210162844</v>
      </c>
    </row>
    <row r="11" spans="1:11" ht="43.2" x14ac:dyDescent="0.3">
      <c r="A11" s="1" t="s">
        <v>17</v>
      </c>
      <c r="B11" s="21" t="str">
        <f>"Price and YTM are inversely related. If a "&amp;TEXT(B2,"0.00%")&amp;" Coupon Bond is priced at an YTM of "&amp;TEXT(B8,"0.00%")&amp;" that is greater than the YTM that was used to value it when it was first issued, the Price will go down. For example, If the Bond was issued at a YTM of "&amp;TEXT(B7,"0.00%")&amp;" and it is reprice at a YTM of "&amp;TEXT(B8,"0.00%")&amp;", the price would go from "&amp;DOLLAR(-B9)&amp;" to "&amp;DOLLAR(-B10)&amp;"."</f>
        <v>Price and YTM are inversely related. If a 7.00% Coupon Bond is priced at an YTM of 15.00% that is greater than the YTM that was used to value it when it was first issued, the Price will go down. For example, If the Bond was issued at a YTM of 10.00% and it is reprice at a YTM of 15.00%, the price would go from $744.59 to $499.25.</v>
      </c>
      <c r="C11" s="17"/>
      <c r="D11" s="17"/>
      <c r="E11" s="17"/>
      <c r="F11" s="17"/>
      <c r="G11" s="17"/>
      <c r="H11" s="17"/>
      <c r="I11" s="17"/>
      <c r="J11" s="17"/>
      <c r="K11" s="18"/>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76C35-F0B5-4F5A-8BA1-5AA03E6A9C31}">
  <sheetPr>
    <tabColor rgb="FF0000FF"/>
  </sheetPr>
  <dimension ref="A1:G15"/>
  <sheetViews>
    <sheetView zoomScale="85" zoomScaleNormal="85" workbookViewId="0">
      <selection activeCell="G14" sqref="G14"/>
    </sheetView>
  </sheetViews>
  <sheetFormatPr defaultRowHeight="14.4" x14ac:dyDescent="0.3"/>
  <cols>
    <col min="1" max="1" width="51.109375" bestFit="1" customWidth="1"/>
    <col min="2" max="2" width="13.5546875" bestFit="1" customWidth="1"/>
  </cols>
  <sheetData>
    <row r="1" spans="1:7" x14ac:dyDescent="0.3">
      <c r="A1" s="1" t="s">
        <v>0</v>
      </c>
      <c r="B1" s="1" t="s">
        <v>1</v>
      </c>
    </row>
    <row r="2" spans="1:7" x14ac:dyDescent="0.3">
      <c r="A2" s="1" t="s">
        <v>2</v>
      </c>
      <c r="B2" s="1">
        <v>1000</v>
      </c>
    </row>
    <row r="3" spans="1:7" x14ac:dyDescent="0.3">
      <c r="A3" s="1" t="s">
        <v>3</v>
      </c>
      <c r="B3" s="1">
        <v>1</v>
      </c>
    </row>
    <row r="4" spans="1:7" x14ac:dyDescent="0.3">
      <c r="A4" s="1" t="s">
        <v>4</v>
      </c>
      <c r="B4" s="6"/>
    </row>
    <row r="5" spans="1:7" x14ac:dyDescent="0.3">
      <c r="A5" s="1" t="s">
        <v>5</v>
      </c>
      <c r="B5" s="4">
        <v>7.0000000000000007E-2</v>
      </c>
    </row>
    <row r="6" spans="1:7" x14ac:dyDescent="0.3">
      <c r="A6" s="1" t="s">
        <v>6</v>
      </c>
      <c r="B6" s="1">
        <v>1</v>
      </c>
    </row>
    <row r="7" spans="1:7" x14ac:dyDescent="0.3">
      <c r="A7" s="1" t="s">
        <v>7</v>
      </c>
      <c r="B7" s="5"/>
    </row>
    <row r="8" spans="1:7" x14ac:dyDescent="0.3">
      <c r="A8" s="1" t="s">
        <v>8</v>
      </c>
      <c r="B8" s="6"/>
    </row>
    <row r="9" spans="1:7" x14ac:dyDescent="0.3">
      <c r="A9" s="1" t="s">
        <v>9</v>
      </c>
      <c r="B9" s="1">
        <v>8</v>
      </c>
    </row>
    <row r="10" spans="1:7" x14ac:dyDescent="0.3">
      <c r="A10" s="1" t="s">
        <v>10</v>
      </c>
      <c r="B10" s="6"/>
    </row>
    <row r="11" spans="1:7" x14ac:dyDescent="0.3">
      <c r="A11" s="1" t="s">
        <v>11</v>
      </c>
      <c r="B11" s="7">
        <v>0.09</v>
      </c>
    </row>
    <row r="12" spans="1:7" x14ac:dyDescent="0.3">
      <c r="A12" s="1" t="s">
        <v>12</v>
      </c>
      <c r="B12" s="6"/>
      <c r="D12" s="1" t="s">
        <v>33</v>
      </c>
    </row>
    <row r="13" spans="1:7" x14ac:dyDescent="0.3">
      <c r="A13" s="1" t="s">
        <v>14</v>
      </c>
      <c r="B13" s="3"/>
      <c r="D13" s="1"/>
    </row>
    <row r="14" spans="1:7" x14ac:dyDescent="0.3">
      <c r="A14" s="1" t="s">
        <v>34</v>
      </c>
      <c r="B14" s="5"/>
    </row>
    <row r="15" spans="1:7" x14ac:dyDescent="0.3">
      <c r="A15" s="8" t="s">
        <v>17</v>
      </c>
      <c r="B15" s="9"/>
      <c r="C15" s="10"/>
      <c r="D15" s="10"/>
      <c r="E15" s="10"/>
      <c r="F15" s="10"/>
      <c r="G15" s="11"/>
    </row>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137D6-266D-420E-B3BC-1EDD0AEB68C7}">
  <sheetPr>
    <tabColor rgb="FFFF0000"/>
  </sheetPr>
  <dimension ref="A1:G15"/>
  <sheetViews>
    <sheetView zoomScale="85" zoomScaleNormal="85" workbookViewId="0">
      <selection activeCell="G14" sqref="G14"/>
    </sheetView>
  </sheetViews>
  <sheetFormatPr defaultRowHeight="14.4" x14ac:dyDescent="0.3"/>
  <cols>
    <col min="1" max="1" width="51.109375" bestFit="1" customWidth="1"/>
    <col min="2" max="2" width="13.5546875" bestFit="1" customWidth="1"/>
  </cols>
  <sheetData>
    <row r="1" spans="1:7" x14ac:dyDescent="0.3">
      <c r="A1" s="1" t="s">
        <v>0</v>
      </c>
      <c r="B1" s="1" t="s">
        <v>1</v>
      </c>
    </row>
    <row r="2" spans="1:7" x14ac:dyDescent="0.3">
      <c r="A2" s="1" t="s">
        <v>2</v>
      </c>
      <c r="B2" s="1">
        <v>1000</v>
      </c>
    </row>
    <row r="3" spans="1:7" x14ac:dyDescent="0.3">
      <c r="A3" s="1" t="s">
        <v>3</v>
      </c>
      <c r="B3" s="1">
        <v>1</v>
      </c>
    </row>
    <row r="4" spans="1:7" x14ac:dyDescent="0.3">
      <c r="A4" s="1" t="s">
        <v>4</v>
      </c>
      <c r="B4" s="6">
        <f>B3*B2</f>
        <v>1000</v>
      </c>
    </row>
    <row r="5" spans="1:7" x14ac:dyDescent="0.3">
      <c r="A5" s="1" t="s">
        <v>5</v>
      </c>
      <c r="B5" s="4">
        <v>7.0000000000000007E-2</v>
      </c>
    </row>
    <row r="6" spans="1:7" x14ac:dyDescent="0.3">
      <c r="A6" s="1" t="s">
        <v>6</v>
      </c>
      <c r="B6" s="1">
        <v>1</v>
      </c>
    </row>
    <row r="7" spans="1:7" x14ac:dyDescent="0.3">
      <c r="A7" s="1" t="s">
        <v>7</v>
      </c>
      <c r="B7" s="5">
        <f>B5/B6</f>
        <v>7.0000000000000007E-2</v>
      </c>
    </row>
    <row r="8" spans="1:7" x14ac:dyDescent="0.3">
      <c r="A8" s="1" t="s">
        <v>8</v>
      </c>
      <c r="B8" s="6">
        <f>B7*B4</f>
        <v>70</v>
      </c>
    </row>
    <row r="9" spans="1:7" x14ac:dyDescent="0.3">
      <c r="A9" s="1" t="s">
        <v>9</v>
      </c>
      <c r="B9" s="1">
        <v>8</v>
      </c>
    </row>
    <row r="10" spans="1:7" x14ac:dyDescent="0.3">
      <c r="A10" s="1" t="s">
        <v>10</v>
      </c>
      <c r="B10" s="6">
        <f>B9*B6</f>
        <v>8</v>
      </c>
    </row>
    <row r="11" spans="1:7" x14ac:dyDescent="0.3">
      <c r="A11" s="1" t="s">
        <v>11</v>
      </c>
      <c r="B11" s="7">
        <v>0.09</v>
      </c>
    </row>
    <row r="12" spans="1:7" x14ac:dyDescent="0.3">
      <c r="A12" s="1" t="s">
        <v>12</v>
      </c>
      <c r="B12" s="6">
        <f>B11/B6</f>
        <v>0.09</v>
      </c>
      <c r="D12" t="s">
        <v>33</v>
      </c>
    </row>
    <row r="13" spans="1:7" x14ac:dyDescent="0.3">
      <c r="A13" s="1" t="s">
        <v>14</v>
      </c>
      <c r="B13" s="3">
        <f>PV(B12,B10,B8,B4)</f>
        <v>-889.30361770505965</v>
      </c>
      <c r="D13">
        <f>-B8*((1-(1+B12)^-B10)/B12)-B4/(1+B12)^B10</f>
        <v>-889.30361770505965</v>
      </c>
    </row>
    <row r="14" spans="1:7" x14ac:dyDescent="0.3">
      <c r="A14" s="1" t="s">
        <v>34</v>
      </c>
      <c r="B14" s="5">
        <f>EFFECT(B11,B6)</f>
        <v>9.000000000000008E-2</v>
      </c>
    </row>
    <row r="15" spans="1:7" ht="43.2" x14ac:dyDescent="0.3">
      <c r="A15" s="8" t="s">
        <v>17</v>
      </c>
      <c r="B15" s="9" t="str">
        <f>"The Bond with a "&amp;TEXT(B5,"0.00%")&amp;" coupon is priced to yield "&amp;TEXT(B11,"0.00%")&amp;" at "&amp;DOLLAR(-B13)&amp;". This Bond is selling at "&amp;IF(ABS(B13)=B4,"Par",IF(ABS(B13)&gt;B4,"a Premium","a Discount"))&amp;". Further, the Effective Annual Yield is "&amp;TEXT(B14,"0.00%")&amp;"."</f>
        <v>The Bond with a 7.00% coupon is priced to yield 9.00% at $889.30. This Bond is selling at a Discount. Further, the Effective Annual Yield is 9.00%.</v>
      </c>
      <c r="C15" s="10"/>
      <c r="D15" s="10"/>
      <c r="E15" s="10"/>
      <c r="F15" s="10"/>
      <c r="G15" s="11"/>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1EED1-F875-40ED-9CEE-4D398130D753}">
  <sheetPr>
    <tabColor rgb="FF0000FF"/>
  </sheetPr>
  <dimension ref="A1:G16"/>
  <sheetViews>
    <sheetView zoomScale="85" zoomScaleNormal="85" workbookViewId="0">
      <selection activeCell="G14" sqref="G14"/>
    </sheetView>
  </sheetViews>
  <sheetFormatPr defaultRowHeight="14.4" x14ac:dyDescent="0.3"/>
  <cols>
    <col min="1" max="1" width="51.109375" bestFit="1" customWidth="1"/>
    <col min="2" max="2" width="13.5546875" bestFit="1" customWidth="1"/>
  </cols>
  <sheetData>
    <row r="1" spans="1:7" x14ac:dyDescent="0.3">
      <c r="A1" s="1" t="s">
        <v>0</v>
      </c>
      <c r="B1" s="1" t="s">
        <v>1</v>
      </c>
    </row>
    <row r="2" spans="1:7" x14ac:dyDescent="0.3">
      <c r="A2" s="1" t="s">
        <v>2</v>
      </c>
      <c r="B2" s="1">
        <v>1000</v>
      </c>
    </row>
    <row r="3" spans="1:7" x14ac:dyDescent="0.3">
      <c r="A3" s="1" t="s">
        <v>3</v>
      </c>
      <c r="B3" s="1">
        <v>1</v>
      </c>
    </row>
    <row r="4" spans="1:7" x14ac:dyDescent="0.3">
      <c r="A4" s="1" t="s">
        <v>4</v>
      </c>
      <c r="B4" s="6"/>
    </row>
    <row r="5" spans="1:7" x14ac:dyDescent="0.3">
      <c r="A5" s="1" t="s">
        <v>5</v>
      </c>
      <c r="B5" s="4">
        <v>0.1</v>
      </c>
    </row>
    <row r="6" spans="1:7" x14ac:dyDescent="0.3">
      <c r="A6" s="1" t="s">
        <v>6</v>
      </c>
      <c r="B6" s="1">
        <v>1</v>
      </c>
    </row>
    <row r="7" spans="1:7" x14ac:dyDescent="0.3">
      <c r="A7" s="1" t="s">
        <v>7</v>
      </c>
      <c r="B7" s="5"/>
    </row>
    <row r="8" spans="1:7" x14ac:dyDescent="0.3">
      <c r="A8" s="1" t="s">
        <v>8</v>
      </c>
      <c r="B8" s="6"/>
    </row>
    <row r="9" spans="1:7" x14ac:dyDescent="0.3">
      <c r="A9" s="1" t="s">
        <v>9</v>
      </c>
      <c r="B9" s="1">
        <v>9</v>
      </c>
    </row>
    <row r="10" spans="1:7" x14ac:dyDescent="0.3">
      <c r="A10" s="1" t="s">
        <v>10</v>
      </c>
      <c r="B10" s="6"/>
    </row>
    <row r="11" spans="1:7" x14ac:dyDescent="0.3">
      <c r="A11" s="1" t="s">
        <v>11</v>
      </c>
      <c r="B11" s="22"/>
    </row>
    <row r="12" spans="1:7" x14ac:dyDescent="0.3">
      <c r="A12" s="1" t="s">
        <v>12</v>
      </c>
      <c r="B12" s="13"/>
    </row>
    <row r="13" spans="1:7" x14ac:dyDescent="0.3">
      <c r="A13" s="1" t="s">
        <v>18</v>
      </c>
      <c r="B13" s="14">
        <v>-1145.7</v>
      </c>
    </row>
    <row r="14" spans="1:7" x14ac:dyDescent="0.3">
      <c r="A14" s="1" t="s">
        <v>34</v>
      </c>
      <c r="B14" s="5"/>
    </row>
    <row r="15" spans="1:7" x14ac:dyDescent="0.3">
      <c r="A15" s="1" t="s">
        <v>35</v>
      </c>
      <c r="B15" s="15">
        <f>(1+B11/B6)^B6-1</f>
        <v>0</v>
      </c>
    </row>
    <row r="16" spans="1:7" ht="45" customHeight="1" x14ac:dyDescent="0.3">
      <c r="A16" s="8" t="s">
        <v>17</v>
      </c>
      <c r="B16" s="9"/>
      <c r="C16" s="10"/>
      <c r="D16" s="10"/>
      <c r="E16" s="10"/>
      <c r="F16" s="10"/>
      <c r="G16" s="1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7118C-82EE-4F1B-ACEC-3BED9FF6AA0B}">
  <sheetPr>
    <tabColor rgb="FFFF0000"/>
  </sheetPr>
  <dimension ref="A1:F13"/>
  <sheetViews>
    <sheetView zoomScale="145" zoomScaleNormal="145" workbookViewId="0">
      <selection activeCell="B17" sqref="B17"/>
    </sheetView>
  </sheetViews>
  <sheetFormatPr defaultRowHeight="14.4" x14ac:dyDescent="0.3"/>
  <cols>
    <col min="1" max="1" width="2" bestFit="1" customWidth="1"/>
    <col min="2" max="2" width="31.109375" customWidth="1"/>
    <col min="3" max="3" width="12" bestFit="1" customWidth="1"/>
  </cols>
  <sheetData>
    <row r="1" spans="1:6" x14ac:dyDescent="0.3">
      <c r="B1" s="100" t="s">
        <v>103</v>
      </c>
      <c r="C1" s="1">
        <v>0.12</v>
      </c>
      <c r="D1" s="1" t="s">
        <v>99</v>
      </c>
    </row>
    <row r="2" spans="1:6" x14ac:dyDescent="0.3">
      <c r="B2" s="100" t="s">
        <v>104</v>
      </c>
      <c r="C2" s="1">
        <v>0.06</v>
      </c>
      <c r="D2" s="1" t="s">
        <v>100</v>
      </c>
    </row>
    <row r="3" spans="1:6" x14ac:dyDescent="0.3">
      <c r="A3" s="63">
        <v>3</v>
      </c>
      <c r="B3" s="100" t="s">
        <v>105</v>
      </c>
      <c r="C3" s="6">
        <f>(1+C1)/(1+C2)-1</f>
        <v>5.6603773584905648E-2</v>
      </c>
      <c r="D3" s="1" t="s">
        <v>106</v>
      </c>
    </row>
    <row r="5" spans="1:6" x14ac:dyDescent="0.3">
      <c r="B5" s="100" t="s">
        <v>103</v>
      </c>
      <c r="C5" s="1">
        <v>0.01</v>
      </c>
      <c r="D5" s="1" t="s">
        <v>99</v>
      </c>
    </row>
    <row r="6" spans="1:6" x14ac:dyDescent="0.3">
      <c r="B6" s="100" t="s">
        <v>104</v>
      </c>
      <c r="C6" s="1">
        <v>1.4999999999999999E-2</v>
      </c>
      <c r="D6" s="1" t="s">
        <v>100</v>
      </c>
    </row>
    <row r="7" spans="1:6" x14ac:dyDescent="0.3">
      <c r="A7" s="63">
        <v>4</v>
      </c>
      <c r="B7" s="100" t="s">
        <v>105</v>
      </c>
      <c r="C7" s="6">
        <f>(1+C5)/(1+C6)-1</f>
        <v>-4.9261083743841194E-3</v>
      </c>
      <c r="D7" s="1" t="s">
        <v>106</v>
      </c>
    </row>
    <row r="9" spans="1:6" x14ac:dyDescent="0.3">
      <c r="B9" s="100" t="s">
        <v>103</v>
      </c>
      <c r="C9" s="1">
        <v>1.4999999999999999E-2</v>
      </c>
      <c r="D9" s="1" t="s">
        <v>99</v>
      </c>
    </row>
    <row r="10" spans="1:6" x14ac:dyDescent="0.3">
      <c r="B10" s="100" t="s">
        <v>104</v>
      </c>
      <c r="C10" s="1">
        <v>0.01</v>
      </c>
      <c r="D10" s="1" t="s">
        <v>100</v>
      </c>
    </row>
    <row r="11" spans="1:6" x14ac:dyDescent="0.3">
      <c r="A11" s="63">
        <v>5</v>
      </c>
      <c r="B11" s="100" t="s">
        <v>105</v>
      </c>
      <c r="C11" s="108">
        <f>(1+C9)/(1+C10)-1</f>
        <v>4.9504950495049549E-3</v>
      </c>
      <c r="D11" s="1" t="s">
        <v>106</v>
      </c>
      <c r="F11" s="107"/>
    </row>
    <row r="13" spans="1:6" ht="28.8" x14ac:dyDescent="0.3">
      <c r="B13" s="103" t="s">
        <v>107</v>
      </c>
      <c r="C13" s="104"/>
      <c r="D13" s="104"/>
      <c r="E13" s="105"/>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C2735-10AF-4D9D-A289-205AFB7C243F}">
  <sheetPr>
    <tabColor rgb="FFFF0000"/>
  </sheetPr>
  <dimension ref="A1:G16"/>
  <sheetViews>
    <sheetView zoomScale="85" zoomScaleNormal="85" workbookViewId="0">
      <selection activeCell="G14" sqref="G14"/>
    </sheetView>
  </sheetViews>
  <sheetFormatPr defaultRowHeight="14.4" x14ac:dyDescent="0.3"/>
  <cols>
    <col min="1" max="1" width="51.109375" bestFit="1" customWidth="1"/>
    <col min="2" max="2" width="13.5546875" bestFit="1" customWidth="1"/>
  </cols>
  <sheetData>
    <row r="1" spans="1:7" x14ac:dyDescent="0.3">
      <c r="A1" s="1" t="s">
        <v>0</v>
      </c>
      <c r="B1" s="1" t="s">
        <v>1</v>
      </c>
    </row>
    <row r="2" spans="1:7" x14ac:dyDescent="0.3">
      <c r="A2" s="1" t="s">
        <v>2</v>
      </c>
      <c r="B2" s="1">
        <v>1000</v>
      </c>
    </row>
    <row r="3" spans="1:7" x14ac:dyDescent="0.3">
      <c r="A3" s="1" t="s">
        <v>3</v>
      </c>
      <c r="B3" s="1">
        <v>1</v>
      </c>
    </row>
    <row r="4" spans="1:7" x14ac:dyDescent="0.3">
      <c r="A4" s="1" t="s">
        <v>4</v>
      </c>
      <c r="B4" s="6">
        <f>B3*B2</f>
        <v>1000</v>
      </c>
    </row>
    <row r="5" spans="1:7" x14ac:dyDescent="0.3">
      <c r="A5" s="1" t="s">
        <v>5</v>
      </c>
      <c r="B5" s="4">
        <v>0.1</v>
      </c>
    </row>
    <row r="6" spans="1:7" x14ac:dyDescent="0.3">
      <c r="A6" s="1" t="s">
        <v>6</v>
      </c>
      <c r="B6" s="1">
        <v>1</v>
      </c>
    </row>
    <row r="7" spans="1:7" x14ac:dyDescent="0.3">
      <c r="A7" s="1" t="s">
        <v>7</v>
      </c>
      <c r="B7" s="5">
        <f>B5/B6</f>
        <v>0.1</v>
      </c>
    </row>
    <row r="8" spans="1:7" x14ac:dyDescent="0.3">
      <c r="A8" s="1" t="s">
        <v>8</v>
      </c>
      <c r="B8" s="6">
        <f>B7*B4</f>
        <v>100</v>
      </c>
    </row>
    <row r="9" spans="1:7" x14ac:dyDescent="0.3">
      <c r="A9" s="1" t="s">
        <v>9</v>
      </c>
      <c r="B9" s="1">
        <v>9</v>
      </c>
    </row>
    <row r="10" spans="1:7" x14ac:dyDescent="0.3">
      <c r="A10" s="1" t="s">
        <v>10</v>
      </c>
      <c r="B10" s="6">
        <f>B9*B6</f>
        <v>9</v>
      </c>
    </row>
    <row r="11" spans="1:7" x14ac:dyDescent="0.3">
      <c r="A11" s="1" t="s">
        <v>11</v>
      </c>
      <c r="B11" s="22">
        <f>RATE(B10,B8,B13,B4)</f>
        <v>7.6969467625368618E-2</v>
      </c>
    </row>
    <row r="12" spans="1:7" x14ac:dyDescent="0.3">
      <c r="A12" s="1" t="s">
        <v>12</v>
      </c>
      <c r="B12" s="13">
        <f>B11/B6</f>
        <v>7.6969467625368618E-2</v>
      </c>
    </row>
    <row r="13" spans="1:7" x14ac:dyDescent="0.3">
      <c r="A13" s="1" t="s">
        <v>18</v>
      </c>
      <c r="B13" s="14">
        <v>-1145.7</v>
      </c>
    </row>
    <row r="14" spans="1:7" x14ac:dyDescent="0.3">
      <c r="A14" s="1" t="s">
        <v>34</v>
      </c>
      <c r="B14" s="5">
        <f>EFFECT(B12,B6)</f>
        <v>7.6969467625368715E-2</v>
      </c>
    </row>
    <row r="15" spans="1:7" x14ac:dyDescent="0.3">
      <c r="A15" s="1" t="s">
        <v>35</v>
      </c>
      <c r="B15" s="15">
        <f>(1+B11/B6)^B6-1</f>
        <v>7.6969467625368715E-2</v>
      </c>
    </row>
    <row r="16" spans="1:7" ht="45" customHeight="1" x14ac:dyDescent="0.3">
      <c r="A16" s="8" t="s">
        <v>17</v>
      </c>
      <c r="B16" s="9" t="str">
        <f>"The Bond with a "&amp;TEXT(B5,"0.00%")&amp;" coupon is priced to yield "&amp;TEXT(B11,"0.00%")&amp;" at "&amp;DOLLAR(-B13)&amp;". This Bond is selling at "&amp;IF(ABS(B13)=B4,"Par",IF(ABS(B13)&gt;B4,"a Premium","a Discount"))&amp;". Further, the Effective Annual Yield is "&amp;TEXT(B14,"0.00%")&amp;"."</f>
        <v>The Bond with a 10.00% coupon is priced to yield 7.70% at $1,145.70. This Bond is selling at a Premium. Further, the Effective Annual Yield is 7.70%.</v>
      </c>
      <c r="C16" s="10"/>
      <c r="D16" s="10"/>
      <c r="E16" s="10"/>
      <c r="F16" s="10"/>
      <c r="G16" s="11"/>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D1A00-AED2-4C4E-B59A-D2F30C8A4A01}">
  <sheetPr>
    <tabColor rgb="FF0000FF"/>
  </sheetPr>
  <dimension ref="A1:B11"/>
  <sheetViews>
    <sheetView zoomScale="130" zoomScaleNormal="130" workbookViewId="0">
      <selection activeCell="G14" sqref="G14"/>
    </sheetView>
  </sheetViews>
  <sheetFormatPr defaultRowHeight="14.4" x14ac:dyDescent="0.3"/>
  <cols>
    <col min="1" max="1" width="51.109375" bestFit="1" customWidth="1"/>
    <col min="2" max="2" width="12.5546875" bestFit="1" customWidth="1"/>
  </cols>
  <sheetData>
    <row r="1" spans="1:2" x14ac:dyDescent="0.3">
      <c r="A1" s="1" t="s">
        <v>0</v>
      </c>
      <c r="B1" s="1" t="s">
        <v>36</v>
      </c>
    </row>
    <row r="2" spans="1:2" x14ac:dyDescent="0.3">
      <c r="A2" s="1" t="s">
        <v>2</v>
      </c>
      <c r="B2" s="23">
        <v>1000</v>
      </c>
    </row>
    <row r="3" spans="1:2" x14ac:dyDescent="0.3">
      <c r="A3" s="1" t="s">
        <v>3</v>
      </c>
      <c r="B3" s="1">
        <v>1</v>
      </c>
    </row>
    <row r="4" spans="1:2" x14ac:dyDescent="0.3">
      <c r="A4" s="1" t="s">
        <v>4</v>
      </c>
      <c r="B4" s="24"/>
    </row>
    <row r="5" spans="1:2" x14ac:dyDescent="0.3">
      <c r="A5" s="1" t="s">
        <v>5</v>
      </c>
      <c r="B5" s="6"/>
    </row>
    <row r="6" spans="1:2" x14ac:dyDescent="0.3">
      <c r="A6" s="1" t="s">
        <v>6</v>
      </c>
      <c r="B6" s="1">
        <v>1</v>
      </c>
    </row>
    <row r="7" spans="1:2" x14ac:dyDescent="0.3">
      <c r="A7" s="1" t="s">
        <v>8</v>
      </c>
      <c r="B7" s="24"/>
    </row>
    <row r="8" spans="1:2" x14ac:dyDescent="0.3">
      <c r="A8" s="1" t="s">
        <v>9</v>
      </c>
      <c r="B8" s="1">
        <v>16</v>
      </c>
    </row>
    <row r="9" spans="1:2" x14ac:dyDescent="0.3">
      <c r="A9" s="1" t="s">
        <v>11</v>
      </c>
      <c r="B9" s="4">
        <v>7.4999999999999997E-2</v>
      </c>
    </row>
    <row r="10" spans="1:2" x14ac:dyDescent="0.3">
      <c r="A10" s="1" t="s">
        <v>37</v>
      </c>
      <c r="B10" s="1">
        <v>0</v>
      </c>
    </row>
    <row r="11" spans="1:2" x14ac:dyDescent="0.3">
      <c r="A11" s="1" t="s">
        <v>14</v>
      </c>
      <c r="B11" s="23">
        <v>963</v>
      </c>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37340-0BE6-48CA-BBAB-5D2D2D39DB62}">
  <sheetPr>
    <tabColor rgb="FFFF0000"/>
  </sheetPr>
  <dimension ref="A1:B11"/>
  <sheetViews>
    <sheetView zoomScale="130" zoomScaleNormal="130" workbookViewId="0">
      <selection activeCell="G14" sqref="G14"/>
    </sheetView>
  </sheetViews>
  <sheetFormatPr defaultRowHeight="14.4" x14ac:dyDescent="0.3"/>
  <cols>
    <col min="1" max="1" width="51.109375" bestFit="1" customWidth="1"/>
    <col min="2" max="2" width="12.5546875" bestFit="1" customWidth="1"/>
  </cols>
  <sheetData>
    <row r="1" spans="1:2" x14ac:dyDescent="0.3">
      <c r="A1" s="1" t="s">
        <v>0</v>
      </c>
      <c r="B1" s="1" t="s">
        <v>36</v>
      </c>
    </row>
    <row r="2" spans="1:2" x14ac:dyDescent="0.3">
      <c r="A2" s="1" t="s">
        <v>2</v>
      </c>
      <c r="B2" s="23">
        <v>1000</v>
      </c>
    </row>
    <row r="3" spans="1:2" x14ac:dyDescent="0.3">
      <c r="A3" s="1" t="s">
        <v>3</v>
      </c>
      <c r="B3" s="1">
        <v>1</v>
      </c>
    </row>
    <row r="4" spans="1:2" x14ac:dyDescent="0.3">
      <c r="A4" s="1" t="s">
        <v>4</v>
      </c>
      <c r="B4" s="24">
        <f>-B3*B2</f>
        <v>-1000</v>
      </c>
    </row>
    <row r="5" spans="1:2" x14ac:dyDescent="0.3">
      <c r="A5" s="1" t="s">
        <v>5</v>
      </c>
      <c r="B5" s="6">
        <f>B7/B4</f>
        <v>7.0952527186809861E-2</v>
      </c>
    </row>
    <row r="6" spans="1:2" x14ac:dyDescent="0.3">
      <c r="A6" s="1" t="s">
        <v>6</v>
      </c>
      <c r="B6" s="1">
        <v>1</v>
      </c>
    </row>
    <row r="7" spans="1:2" x14ac:dyDescent="0.3">
      <c r="A7" s="1" t="s">
        <v>8</v>
      </c>
      <c r="B7" s="24">
        <f>PMT(B9/B6,B8*B6,B11,B4)</f>
        <v>-70.95252718680986</v>
      </c>
    </row>
    <row r="8" spans="1:2" x14ac:dyDescent="0.3">
      <c r="A8" s="1" t="s">
        <v>9</v>
      </c>
      <c r="B8" s="1">
        <v>16</v>
      </c>
    </row>
    <row r="9" spans="1:2" x14ac:dyDescent="0.3">
      <c r="A9" s="1" t="s">
        <v>11</v>
      </c>
      <c r="B9" s="4">
        <v>7.4999999999999997E-2</v>
      </c>
    </row>
    <row r="10" spans="1:2" x14ac:dyDescent="0.3">
      <c r="A10" s="1" t="s">
        <v>37</v>
      </c>
      <c r="B10" s="1">
        <v>0</v>
      </c>
    </row>
    <row r="11" spans="1:2" x14ac:dyDescent="0.3">
      <c r="A11" s="1" t="s">
        <v>14</v>
      </c>
      <c r="B11" s="23">
        <v>963</v>
      </c>
    </row>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C3985-F3B8-4345-B1B2-45108B570FA1}">
  <sheetPr>
    <tabColor rgb="FF0000FF"/>
  </sheetPr>
  <dimension ref="A1:B14"/>
  <sheetViews>
    <sheetView zoomScale="115" zoomScaleNormal="115" workbookViewId="0">
      <selection activeCell="G14" sqref="G14"/>
    </sheetView>
  </sheetViews>
  <sheetFormatPr defaultRowHeight="14.4" x14ac:dyDescent="0.3"/>
  <cols>
    <col min="1" max="1" width="51.109375" bestFit="1" customWidth="1"/>
    <col min="2" max="2" width="34.88671875" customWidth="1"/>
  </cols>
  <sheetData>
    <row r="1" spans="1:2" x14ac:dyDescent="0.3">
      <c r="A1" s="1" t="s">
        <v>0</v>
      </c>
      <c r="B1" s="1" t="s">
        <v>1</v>
      </c>
    </row>
    <row r="2" spans="1:2" x14ac:dyDescent="0.3">
      <c r="A2" s="1" t="s">
        <v>38</v>
      </c>
      <c r="B2" s="8">
        <v>15</v>
      </c>
    </row>
    <row r="3" spans="1:2" x14ac:dyDescent="0.3">
      <c r="A3" s="1" t="s">
        <v>39</v>
      </c>
      <c r="B3" s="1">
        <v>1</v>
      </c>
    </row>
    <row r="4" spans="1:2" x14ac:dyDescent="0.3">
      <c r="A4" s="1" t="s">
        <v>40</v>
      </c>
      <c r="B4" s="8">
        <f>B2-B3</f>
        <v>14</v>
      </c>
    </row>
    <row r="5" spans="1:2" x14ac:dyDescent="0.3">
      <c r="A5" s="1" t="s">
        <v>5</v>
      </c>
      <c r="B5" s="4">
        <v>6.0999999999999999E-2</v>
      </c>
    </row>
    <row r="6" spans="1:2" x14ac:dyDescent="0.3">
      <c r="A6" s="1" t="s">
        <v>27</v>
      </c>
      <c r="B6" s="25">
        <v>2</v>
      </c>
    </row>
    <row r="7" spans="1:2" x14ac:dyDescent="0.3">
      <c r="A7" s="1" t="s">
        <v>41</v>
      </c>
      <c r="B7" s="22"/>
    </row>
    <row r="8" spans="1:2" x14ac:dyDescent="0.3">
      <c r="A8" s="1" t="s">
        <v>42</v>
      </c>
      <c r="B8" s="6"/>
    </row>
    <row r="9" spans="1:2" x14ac:dyDescent="0.3">
      <c r="A9" s="1" t="s">
        <v>43</v>
      </c>
      <c r="B9" s="24"/>
    </row>
    <row r="10" spans="1:2" x14ac:dyDescent="0.3">
      <c r="A10" s="1" t="s">
        <v>44</v>
      </c>
      <c r="B10" s="23">
        <v>1000</v>
      </c>
    </row>
    <row r="11" spans="1:2" x14ac:dyDescent="0.3">
      <c r="A11" s="1" t="s">
        <v>45</v>
      </c>
      <c r="B11" s="4">
        <v>5.2999999999999999E-2</v>
      </c>
    </row>
    <row r="12" spans="1:2" x14ac:dyDescent="0.3">
      <c r="A12" s="1" t="s">
        <v>12</v>
      </c>
      <c r="B12" s="6"/>
    </row>
    <row r="13" spans="1:2" x14ac:dyDescent="0.3">
      <c r="A13" s="1" t="s">
        <v>46</v>
      </c>
      <c r="B13" s="24"/>
    </row>
    <row r="14" spans="1:2" ht="45.75" customHeight="1" x14ac:dyDescent="0.3">
      <c r="A14" s="8" t="s">
        <v>17</v>
      </c>
      <c r="B14" s="26"/>
    </row>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54B33-3D4E-4460-B531-B6402BF26DF8}">
  <sheetPr>
    <tabColor rgb="FFFF0000"/>
  </sheetPr>
  <dimension ref="A1:B14"/>
  <sheetViews>
    <sheetView zoomScale="85" zoomScaleNormal="85" workbookViewId="0">
      <selection activeCell="G14" sqref="G14"/>
    </sheetView>
  </sheetViews>
  <sheetFormatPr defaultRowHeight="14.4" x14ac:dyDescent="0.3"/>
  <cols>
    <col min="1" max="1" width="51.109375" bestFit="1" customWidth="1"/>
    <col min="2" max="2" width="34.88671875" customWidth="1"/>
  </cols>
  <sheetData>
    <row r="1" spans="1:2" x14ac:dyDescent="0.3">
      <c r="A1" s="1" t="s">
        <v>0</v>
      </c>
      <c r="B1" s="1" t="s">
        <v>1</v>
      </c>
    </row>
    <row r="2" spans="1:2" x14ac:dyDescent="0.3">
      <c r="A2" s="1" t="s">
        <v>38</v>
      </c>
      <c r="B2" s="8">
        <v>15</v>
      </c>
    </row>
    <row r="3" spans="1:2" x14ac:dyDescent="0.3">
      <c r="A3" s="1" t="s">
        <v>39</v>
      </c>
      <c r="B3" s="1">
        <v>1</v>
      </c>
    </row>
    <row r="4" spans="1:2" x14ac:dyDescent="0.3">
      <c r="A4" s="1" t="s">
        <v>40</v>
      </c>
      <c r="B4" s="8">
        <f>B2-B3</f>
        <v>14</v>
      </c>
    </row>
    <row r="5" spans="1:2" x14ac:dyDescent="0.3">
      <c r="A5" s="1" t="s">
        <v>5</v>
      </c>
      <c r="B5" s="4">
        <v>6.0999999999999999E-2</v>
      </c>
    </row>
    <row r="6" spans="1:2" x14ac:dyDescent="0.3">
      <c r="A6" s="1" t="s">
        <v>27</v>
      </c>
      <c r="B6" s="25">
        <v>2</v>
      </c>
    </row>
    <row r="7" spans="1:2" x14ac:dyDescent="0.3">
      <c r="A7" s="1" t="s">
        <v>41</v>
      </c>
      <c r="B7" s="22">
        <f>B6*B4</f>
        <v>28</v>
      </c>
    </row>
    <row r="8" spans="1:2" x14ac:dyDescent="0.3">
      <c r="A8" s="1" t="s">
        <v>42</v>
      </c>
      <c r="B8" s="6">
        <f>B5/B6</f>
        <v>3.0499999999999999E-2</v>
      </c>
    </row>
    <row r="9" spans="1:2" x14ac:dyDescent="0.3">
      <c r="A9" s="1" t="s">
        <v>43</v>
      </c>
      <c r="B9" s="24">
        <f>B10*B8</f>
        <v>30.5</v>
      </c>
    </row>
    <row r="10" spans="1:2" x14ac:dyDescent="0.3">
      <c r="A10" s="1" t="s">
        <v>44</v>
      </c>
      <c r="B10" s="23">
        <v>1000</v>
      </c>
    </row>
    <row r="11" spans="1:2" x14ac:dyDescent="0.3">
      <c r="A11" s="1" t="s">
        <v>45</v>
      </c>
      <c r="B11" s="4">
        <v>5.2999999999999999E-2</v>
      </c>
    </row>
    <row r="12" spans="1:2" x14ac:dyDescent="0.3">
      <c r="A12" s="1" t="s">
        <v>12</v>
      </c>
      <c r="B12" s="6">
        <f>B11/B6</f>
        <v>2.6499999999999999E-2</v>
      </c>
    </row>
    <row r="13" spans="1:2" x14ac:dyDescent="0.3">
      <c r="A13" s="1" t="s">
        <v>46</v>
      </c>
      <c r="B13" s="24">
        <f>PV(B12,B7,B9,B10)</f>
        <v>-1078.3723450809618</v>
      </c>
    </row>
    <row r="14" spans="1:2" ht="45.75" customHeight="1" x14ac:dyDescent="0.3">
      <c r="A14" s="8" t="s">
        <v>17</v>
      </c>
      <c r="B14" s="26" t="str">
        <f>"The "&amp;TEXT(B5,"0.00%")&amp;" Coupon Bond is priced to yield "&amp;TEXT(B11,"0.00%")&amp;" at "&amp;DOLLAR(-B13)&amp;"."</f>
        <v>The 6.10% Coupon Bond is priced to yield 5.30% at $1,078.37.</v>
      </c>
    </row>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5CEFA-16DF-4A8B-BEDF-9527A5AE7A2F}">
  <sheetPr>
    <tabColor rgb="FF0000FF"/>
  </sheetPr>
  <dimension ref="A1:B15"/>
  <sheetViews>
    <sheetView workbookViewId="0">
      <selection activeCell="G14" sqref="G14"/>
    </sheetView>
  </sheetViews>
  <sheetFormatPr defaultRowHeight="14.4" x14ac:dyDescent="0.3"/>
  <cols>
    <col min="1" max="1" width="51.109375" bestFit="1" customWidth="1"/>
    <col min="2" max="2" width="34.88671875" customWidth="1"/>
  </cols>
  <sheetData>
    <row r="1" spans="1:2" x14ac:dyDescent="0.3">
      <c r="A1" s="1" t="s">
        <v>0</v>
      </c>
      <c r="B1" s="1" t="s">
        <v>36</v>
      </c>
    </row>
    <row r="2" spans="1:2" x14ac:dyDescent="0.3">
      <c r="A2" s="1" t="s">
        <v>38</v>
      </c>
      <c r="B2" s="1">
        <v>15</v>
      </c>
    </row>
    <row r="3" spans="1:2" x14ac:dyDescent="0.3">
      <c r="A3" s="1" t="s">
        <v>39</v>
      </c>
      <c r="B3" s="1">
        <v>2</v>
      </c>
    </row>
    <row r="4" spans="1:2" x14ac:dyDescent="0.3">
      <c r="A4" s="1" t="s">
        <v>40</v>
      </c>
      <c r="B4" s="6"/>
    </row>
    <row r="5" spans="1:2" x14ac:dyDescent="0.3">
      <c r="A5" s="1" t="s">
        <v>5</v>
      </c>
      <c r="B5" s="4">
        <v>8.4000000000000005E-2</v>
      </c>
    </row>
    <row r="6" spans="1:2" x14ac:dyDescent="0.3">
      <c r="A6" s="1" t="s">
        <v>27</v>
      </c>
      <c r="B6" s="25">
        <v>2</v>
      </c>
    </row>
    <row r="7" spans="1:2" x14ac:dyDescent="0.3">
      <c r="A7" s="1" t="s">
        <v>41</v>
      </c>
      <c r="B7" s="22"/>
    </row>
    <row r="8" spans="1:2" x14ac:dyDescent="0.3">
      <c r="A8" s="1" t="s">
        <v>42</v>
      </c>
      <c r="B8" s="6"/>
    </row>
    <row r="9" spans="1:2" x14ac:dyDescent="0.3">
      <c r="A9" s="1" t="s">
        <v>43</v>
      </c>
      <c r="B9" s="24"/>
    </row>
    <row r="10" spans="1:2" x14ac:dyDescent="0.3">
      <c r="A10" s="1" t="s">
        <v>44</v>
      </c>
      <c r="B10" s="23">
        <v>-1000</v>
      </c>
    </row>
    <row r="11" spans="1:2" x14ac:dyDescent="0.3">
      <c r="A11" s="8" t="s">
        <v>47</v>
      </c>
      <c r="B11" s="7">
        <v>1.08</v>
      </c>
    </row>
    <row r="12" spans="1:2" x14ac:dyDescent="0.3">
      <c r="A12" s="8" t="s">
        <v>48</v>
      </c>
      <c r="B12" s="24"/>
    </row>
    <row r="13" spans="1:2" x14ac:dyDescent="0.3">
      <c r="A13" s="1" t="s">
        <v>12</v>
      </c>
      <c r="B13" s="27"/>
    </row>
    <row r="14" spans="1:2" x14ac:dyDescent="0.3">
      <c r="A14" s="8" t="s">
        <v>49</v>
      </c>
      <c r="B14" s="6"/>
    </row>
    <row r="15" spans="1:2" ht="31.5" customHeight="1" x14ac:dyDescent="0.3">
      <c r="A15" s="8" t="s">
        <v>17</v>
      </c>
      <c r="B15" s="28"/>
    </row>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9C43D5-4435-4F04-A10A-B64BF4E8E1DB}">
  <sheetPr>
    <tabColor rgb="FFFF0000"/>
  </sheetPr>
  <dimension ref="A1:B15"/>
  <sheetViews>
    <sheetView workbookViewId="0">
      <selection activeCell="G14" sqref="G14"/>
    </sheetView>
  </sheetViews>
  <sheetFormatPr defaultRowHeight="14.4" x14ac:dyDescent="0.3"/>
  <cols>
    <col min="1" max="1" width="51.109375" bestFit="1" customWidth="1"/>
    <col min="2" max="2" width="34.88671875" customWidth="1"/>
  </cols>
  <sheetData>
    <row r="1" spans="1:2" x14ac:dyDescent="0.3">
      <c r="A1" s="1" t="s">
        <v>0</v>
      </c>
      <c r="B1" s="1" t="s">
        <v>36</v>
      </c>
    </row>
    <row r="2" spans="1:2" x14ac:dyDescent="0.3">
      <c r="A2" s="1" t="s">
        <v>38</v>
      </c>
      <c r="B2" s="1">
        <v>15</v>
      </c>
    </row>
    <row r="3" spans="1:2" x14ac:dyDescent="0.3">
      <c r="A3" s="1" t="s">
        <v>39</v>
      </c>
      <c r="B3" s="1">
        <v>2</v>
      </c>
    </row>
    <row r="4" spans="1:2" x14ac:dyDescent="0.3">
      <c r="A4" s="1" t="s">
        <v>40</v>
      </c>
      <c r="B4" s="6">
        <f>B2-B3</f>
        <v>13</v>
      </c>
    </row>
    <row r="5" spans="1:2" x14ac:dyDescent="0.3">
      <c r="A5" s="1" t="s">
        <v>5</v>
      </c>
      <c r="B5" s="4">
        <v>8.4000000000000005E-2</v>
      </c>
    </row>
    <row r="6" spans="1:2" x14ac:dyDescent="0.3">
      <c r="A6" s="1" t="s">
        <v>27</v>
      </c>
      <c r="B6" s="25">
        <v>2</v>
      </c>
    </row>
    <row r="7" spans="1:2" x14ac:dyDescent="0.3">
      <c r="A7" s="1" t="s">
        <v>41</v>
      </c>
      <c r="B7" s="22">
        <f>B6*B4</f>
        <v>26</v>
      </c>
    </row>
    <row r="8" spans="1:2" x14ac:dyDescent="0.3">
      <c r="A8" s="1" t="s">
        <v>42</v>
      </c>
      <c r="B8" s="6">
        <f>B5/B6</f>
        <v>4.2000000000000003E-2</v>
      </c>
    </row>
    <row r="9" spans="1:2" x14ac:dyDescent="0.3">
      <c r="A9" s="1" t="s">
        <v>43</v>
      </c>
      <c r="B9" s="24">
        <f>B8*B10</f>
        <v>-42</v>
      </c>
    </row>
    <row r="10" spans="1:2" x14ac:dyDescent="0.3">
      <c r="A10" s="1" t="s">
        <v>44</v>
      </c>
      <c r="B10" s="23">
        <v>-1000</v>
      </c>
    </row>
    <row r="11" spans="1:2" x14ac:dyDescent="0.3">
      <c r="A11" s="8" t="s">
        <v>47</v>
      </c>
      <c r="B11" s="7">
        <v>1.08</v>
      </c>
    </row>
    <row r="12" spans="1:2" x14ac:dyDescent="0.3">
      <c r="A12" s="8" t="s">
        <v>48</v>
      </c>
      <c r="B12" s="24">
        <f>B11*-B10</f>
        <v>1080</v>
      </c>
    </row>
    <row r="13" spans="1:2" x14ac:dyDescent="0.3">
      <c r="A13" s="1" t="s">
        <v>12</v>
      </c>
      <c r="B13" s="27">
        <f>RATE(B7,B9,B12,B10)</f>
        <v>3.7148892567232139E-2</v>
      </c>
    </row>
    <row r="14" spans="1:2" x14ac:dyDescent="0.3">
      <c r="A14" s="8" t="s">
        <v>49</v>
      </c>
      <c r="B14" s="6">
        <f>B13*B6</f>
        <v>7.4297785134464278E-2</v>
      </c>
    </row>
    <row r="15" spans="1:2" ht="31.5" customHeight="1" x14ac:dyDescent="0.3">
      <c r="A15" s="8" t="s">
        <v>17</v>
      </c>
      <c r="B15" s="28" t="str">
        <f>"The "&amp;TEXT(B5,"0.00%")&amp;" Coupon Bond with "&amp;B4&amp;" years left until maturity has a YTM of "&amp;TEXT(B14,"0.00%")&amp;"."</f>
        <v>The 8.40% Coupon Bond with 13 years left until maturity has a YTM of 7.43%.</v>
      </c>
    </row>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BE199-D49F-40AC-85CF-E0557C25A46A}">
  <sheetPr>
    <tabColor rgb="FF0000FF"/>
  </sheetPr>
  <dimension ref="A1:D6"/>
  <sheetViews>
    <sheetView zoomScale="160" zoomScaleNormal="160" workbookViewId="0">
      <selection activeCell="G14" sqref="G14"/>
    </sheetView>
  </sheetViews>
  <sheetFormatPr defaultRowHeight="14.4" x14ac:dyDescent="0.3"/>
  <cols>
    <col min="1" max="1" width="34.88671875" customWidth="1"/>
    <col min="2" max="2" width="26.5546875" bestFit="1" customWidth="1"/>
    <col min="3" max="3" width="24.5546875" customWidth="1"/>
    <col min="4" max="4" width="42.5546875" customWidth="1"/>
  </cols>
  <sheetData>
    <row r="1" spans="1:4" x14ac:dyDescent="0.3">
      <c r="A1" s="1" t="s">
        <v>50</v>
      </c>
      <c r="B1" s="4">
        <v>5.7000000000000002E-2</v>
      </c>
    </row>
    <row r="2" spans="1:4" x14ac:dyDescent="0.3">
      <c r="A2" s="1" t="s">
        <v>51</v>
      </c>
      <c r="B2" s="4">
        <v>2.9000000000000001E-2</v>
      </c>
    </row>
    <row r="3" spans="1:4" x14ac:dyDescent="0.3">
      <c r="A3" s="1" t="s">
        <v>52</v>
      </c>
      <c r="B3" s="6"/>
    </row>
    <row r="4" spans="1:4" x14ac:dyDescent="0.3">
      <c r="A4" s="1" t="s">
        <v>17</v>
      </c>
      <c r="B4" s="28"/>
      <c r="D4" s="29"/>
    </row>
    <row r="6" spans="1:4" x14ac:dyDescent="0.3">
      <c r="A6" s="1" t="s">
        <v>53</v>
      </c>
      <c r="B6" s="30"/>
    </row>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62335-0678-413B-9780-F2A667265203}">
  <sheetPr>
    <tabColor rgb="FFFF0000"/>
  </sheetPr>
  <dimension ref="A1:D6"/>
  <sheetViews>
    <sheetView zoomScale="160" zoomScaleNormal="160" workbookViewId="0">
      <selection activeCell="G14" sqref="G14"/>
    </sheetView>
  </sheetViews>
  <sheetFormatPr defaultRowHeight="14.4" x14ac:dyDescent="0.3"/>
  <cols>
    <col min="1" max="1" width="34.88671875" customWidth="1"/>
    <col min="2" max="2" width="26.5546875" bestFit="1" customWidth="1"/>
    <col min="3" max="3" width="24.5546875" customWidth="1"/>
    <col min="4" max="4" width="42.5546875" customWidth="1"/>
  </cols>
  <sheetData>
    <row r="1" spans="1:4" x14ac:dyDescent="0.3">
      <c r="A1" s="1" t="s">
        <v>50</v>
      </c>
      <c r="B1" s="4">
        <v>5.7000000000000002E-2</v>
      </c>
    </row>
    <row r="2" spans="1:4" x14ac:dyDescent="0.3">
      <c r="A2" s="1" t="s">
        <v>51</v>
      </c>
      <c r="B2" s="4">
        <v>2.9000000000000001E-2</v>
      </c>
    </row>
    <row r="3" spans="1:4" x14ac:dyDescent="0.3">
      <c r="A3" s="1" t="s">
        <v>52</v>
      </c>
      <c r="B3" s="6">
        <f>(1+B1)/(1+B2)-1</f>
        <v>2.7210884353741527E-2</v>
      </c>
    </row>
    <row r="4" spans="1:4" ht="43.2" x14ac:dyDescent="0.3">
      <c r="A4" s="1" t="s">
        <v>17</v>
      </c>
      <c r="B4" s="28" t="str">
        <f>"The real rate (the percentage change in buying power) = r = "&amp;TEXT(B3,"0.0000%")&amp;"."</f>
        <v>The real rate (the percentage change in buying power) = r = 2.7211%.</v>
      </c>
      <c r="D4" s="29" t="str">
        <f>"Notice: End/Beg - 1 = Proportional Change = "&amp;DOLLAR(1+B1,3)&amp;"/"&amp;DOLLAR(1+B2,3)&amp;" - 1"</f>
        <v>Notice: End/Beg - 1 = Proportional Change = $1.057/$1.029 - 1</v>
      </c>
    </row>
    <row r="6" spans="1:4" x14ac:dyDescent="0.3">
      <c r="A6" s="1" t="s">
        <v>53</v>
      </c>
      <c r="B6" s="30">
        <f>B1-B2</f>
        <v>2.8000000000000001E-2</v>
      </c>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DBEE1-CA34-4B91-BCCF-305323EDFFD0}">
  <sheetPr>
    <tabColor rgb="FF0000FF"/>
  </sheetPr>
  <dimension ref="A1:B4"/>
  <sheetViews>
    <sheetView workbookViewId="0">
      <selection activeCell="G14" sqref="G14"/>
    </sheetView>
  </sheetViews>
  <sheetFormatPr defaultRowHeight="14.4" x14ac:dyDescent="0.3"/>
  <cols>
    <col min="1" max="1" width="34.88671875" customWidth="1"/>
    <col min="2" max="2" width="35.6640625" bestFit="1" customWidth="1"/>
  </cols>
  <sheetData>
    <row r="1" spans="1:2" x14ac:dyDescent="0.3">
      <c r="A1" s="1" t="s">
        <v>50</v>
      </c>
      <c r="B1" s="4">
        <v>0.13</v>
      </c>
    </row>
    <row r="2" spans="1:2" x14ac:dyDescent="0.3">
      <c r="A2" s="1" t="s">
        <v>54</v>
      </c>
      <c r="B2" s="31"/>
    </row>
    <row r="3" spans="1:2" x14ac:dyDescent="0.3">
      <c r="A3" s="1" t="s">
        <v>55</v>
      </c>
      <c r="B3" s="15">
        <v>7.0000000000000007E-2</v>
      </c>
    </row>
    <row r="4" spans="1:2" ht="60" customHeight="1" x14ac:dyDescent="0.3">
      <c r="A4" s="1" t="s">
        <v>17</v>
      </c>
      <c r="B4" s="28"/>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23DF1-AD86-4317-BCA8-FB16C16259B3}">
  <sheetPr>
    <tabColor rgb="FF0000FF"/>
  </sheetPr>
  <dimension ref="A1:K27"/>
  <sheetViews>
    <sheetView zoomScale="115" zoomScaleNormal="115" workbookViewId="0">
      <selection activeCell="C8" sqref="C8"/>
    </sheetView>
  </sheetViews>
  <sheetFormatPr defaultRowHeight="14.4" x14ac:dyDescent="0.3"/>
  <cols>
    <col min="1" max="1" width="2" customWidth="1"/>
    <col min="2" max="2" width="17" customWidth="1"/>
    <col min="3" max="3" width="14.88671875" customWidth="1"/>
    <col min="4" max="4" width="3.109375" customWidth="1"/>
    <col min="5" max="5" width="2" customWidth="1"/>
    <col min="6" max="6" width="17" customWidth="1"/>
    <col min="7" max="7" width="14.88671875" customWidth="1"/>
    <col min="8" max="8" width="3.109375" customWidth="1"/>
    <col min="9" max="9" width="3" customWidth="1"/>
    <col min="10" max="10" width="17" customWidth="1"/>
    <col min="11" max="11" width="14.88671875" customWidth="1"/>
  </cols>
  <sheetData>
    <row r="1" spans="1:11" ht="43.2" x14ac:dyDescent="0.3">
      <c r="A1" s="63">
        <v>6</v>
      </c>
      <c r="B1" s="64" t="s">
        <v>116</v>
      </c>
      <c r="C1" s="64"/>
      <c r="E1" s="63">
        <v>8</v>
      </c>
      <c r="F1" s="65" t="s">
        <v>117</v>
      </c>
      <c r="G1" s="65"/>
      <c r="I1" s="63">
        <v>10</v>
      </c>
      <c r="J1" s="65" t="s">
        <v>119</v>
      </c>
      <c r="K1" s="65"/>
    </row>
    <row r="2" spans="1:11" x14ac:dyDescent="0.3">
      <c r="B2" s="62" t="s">
        <v>108</v>
      </c>
      <c r="C2" s="62"/>
      <c r="F2" s="62" t="s">
        <v>108</v>
      </c>
      <c r="G2" s="62"/>
      <c r="J2" s="62" t="s">
        <v>108</v>
      </c>
      <c r="K2" s="62"/>
    </row>
    <row r="3" spans="1:11" x14ac:dyDescent="0.3">
      <c r="B3" s="1" t="s">
        <v>118</v>
      </c>
      <c r="C3" s="66">
        <v>40179</v>
      </c>
      <c r="F3" s="1" t="s">
        <v>120</v>
      </c>
      <c r="G3" s="66">
        <f>C3</f>
        <v>40179</v>
      </c>
      <c r="J3" s="1" t="s">
        <v>121</v>
      </c>
      <c r="K3" s="66">
        <f>EDATE(G3,24)</f>
        <v>40909</v>
      </c>
    </row>
    <row r="4" spans="1:11" x14ac:dyDescent="0.3">
      <c r="B4" s="1" t="s">
        <v>169</v>
      </c>
      <c r="C4" s="2">
        <v>-1000</v>
      </c>
      <c r="F4" s="1" t="s">
        <v>169</v>
      </c>
      <c r="G4" s="2">
        <f>-C4</f>
        <v>1000</v>
      </c>
      <c r="J4" s="1" t="s">
        <v>169</v>
      </c>
      <c r="K4" s="2">
        <f>G4</f>
        <v>1000</v>
      </c>
    </row>
    <row r="5" spans="1:11" x14ac:dyDescent="0.3">
      <c r="B5" s="1" t="s">
        <v>170</v>
      </c>
      <c r="C5" s="60">
        <v>0.1</v>
      </c>
      <c r="F5" s="1" t="s">
        <v>170</v>
      </c>
      <c r="G5" s="60">
        <f>C5</f>
        <v>0.1</v>
      </c>
      <c r="J5" s="1" t="s">
        <v>170</v>
      </c>
      <c r="K5" s="60">
        <f>G5</f>
        <v>0.1</v>
      </c>
    </row>
    <row r="6" spans="1:11" x14ac:dyDescent="0.3">
      <c r="B6" s="1" t="s">
        <v>60</v>
      </c>
      <c r="C6" s="1">
        <v>2</v>
      </c>
      <c r="F6" s="1" t="s">
        <v>60</v>
      </c>
      <c r="G6" s="25">
        <f>C6</f>
        <v>2</v>
      </c>
      <c r="J6" s="1" t="s">
        <v>60</v>
      </c>
      <c r="K6" s="25">
        <f>G6</f>
        <v>2</v>
      </c>
    </row>
    <row r="7" spans="1:11" x14ac:dyDescent="0.3">
      <c r="B7" s="1" t="s">
        <v>110</v>
      </c>
      <c r="C7" s="1">
        <v>3</v>
      </c>
      <c r="F7" s="1" t="s">
        <v>110</v>
      </c>
      <c r="G7" s="25">
        <f>C7</f>
        <v>3</v>
      </c>
      <c r="J7" s="1" t="s">
        <v>110</v>
      </c>
      <c r="K7" s="25">
        <f>$C$7-(YEAR(K3)-YEAR(G3))</f>
        <v>1</v>
      </c>
    </row>
    <row r="8" spans="1:11" x14ac:dyDescent="0.3">
      <c r="B8" s="1" t="s">
        <v>109</v>
      </c>
      <c r="C8" s="61"/>
      <c r="F8" s="1" t="s">
        <v>109</v>
      </c>
      <c r="G8" s="61"/>
      <c r="J8" s="1" t="s">
        <v>109</v>
      </c>
      <c r="K8" s="61"/>
    </row>
    <row r="9" spans="1:11" x14ac:dyDescent="0.3">
      <c r="B9" s="1" t="s">
        <v>111</v>
      </c>
      <c r="C9" s="6"/>
      <c r="F9" s="1" t="s">
        <v>111</v>
      </c>
      <c r="G9" s="6"/>
      <c r="J9" s="1" t="s">
        <v>111</v>
      </c>
      <c r="K9" s="6"/>
    </row>
    <row r="10" spans="1:11" x14ac:dyDescent="0.3">
      <c r="B10" s="1" t="s">
        <v>168</v>
      </c>
      <c r="C10" s="3"/>
      <c r="F10" s="1" t="s">
        <v>115</v>
      </c>
      <c r="G10" s="3"/>
      <c r="J10" s="1" t="s">
        <v>168</v>
      </c>
      <c r="K10" s="3"/>
    </row>
    <row r="11" spans="1:11" x14ac:dyDescent="0.3">
      <c r="B11" s="1" t="s">
        <v>113</v>
      </c>
      <c r="C11" s="60">
        <v>0.11</v>
      </c>
      <c r="F11" s="1" t="s">
        <v>113</v>
      </c>
      <c r="G11" s="60">
        <f>C11</f>
        <v>0.11</v>
      </c>
      <c r="J11" s="1" t="s">
        <v>113</v>
      </c>
      <c r="K11" s="60">
        <v>0.09</v>
      </c>
    </row>
    <row r="12" spans="1:11" x14ac:dyDescent="0.3">
      <c r="B12" s="1" t="s">
        <v>114</v>
      </c>
      <c r="C12" s="61"/>
      <c r="F12" s="1" t="s">
        <v>114</v>
      </c>
      <c r="G12" s="61"/>
      <c r="J12" s="1" t="s">
        <v>114</v>
      </c>
      <c r="K12" s="61"/>
    </row>
    <row r="13" spans="1:11" x14ac:dyDescent="0.3">
      <c r="B13" s="1" t="s">
        <v>82</v>
      </c>
      <c r="C13" s="3"/>
      <c r="F13" s="1" t="s">
        <v>82</v>
      </c>
      <c r="G13" s="3"/>
      <c r="J13" s="1" t="s">
        <v>82</v>
      </c>
      <c r="K13" s="3"/>
    </row>
    <row r="14" spans="1:11" x14ac:dyDescent="0.3">
      <c r="B14" s="1" t="s">
        <v>13</v>
      </c>
      <c r="C14" s="3"/>
      <c r="F14" s="1" t="s">
        <v>13</v>
      </c>
      <c r="G14" s="3"/>
      <c r="J14" s="1" t="s">
        <v>13</v>
      </c>
      <c r="K14" s="3"/>
    </row>
    <row r="16" spans="1:11" x14ac:dyDescent="0.3">
      <c r="A16" s="63">
        <v>7</v>
      </c>
      <c r="B16" s="64" t="s">
        <v>116</v>
      </c>
      <c r="C16" s="64"/>
      <c r="E16" s="63">
        <v>9</v>
      </c>
      <c r="F16" s="65" t="s">
        <v>117</v>
      </c>
      <c r="G16" s="65"/>
    </row>
    <row r="17" spans="2:7" x14ac:dyDescent="0.3">
      <c r="B17" s="62" t="s">
        <v>112</v>
      </c>
      <c r="C17" s="62"/>
      <c r="F17" s="62" t="s">
        <v>112</v>
      </c>
      <c r="G17" s="62"/>
    </row>
    <row r="18" spans="2:7" x14ac:dyDescent="0.3">
      <c r="B18" s="1" t="s">
        <v>169</v>
      </c>
      <c r="C18" s="2">
        <f t="shared" ref="C18:C23" si="0">C4</f>
        <v>-1000</v>
      </c>
      <c r="F18" s="1" t="s">
        <v>169</v>
      </c>
      <c r="G18" s="2">
        <f t="shared" ref="G18:G23" si="1">G4</f>
        <v>1000</v>
      </c>
    </row>
    <row r="19" spans="2:7" x14ac:dyDescent="0.3">
      <c r="B19" s="1" t="s">
        <v>170</v>
      </c>
      <c r="C19" s="60">
        <f t="shared" si="0"/>
        <v>0.1</v>
      </c>
      <c r="F19" s="1" t="s">
        <v>170</v>
      </c>
      <c r="G19" s="60">
        <f t="shared" si="1"/>
        <v>0.1</v>
      </c>
    </row>
    <row r="20" spans="2:7" x14ac:dyDescent="0.3">
      <c r="B20" s="1" t="s">
        <v>60</v>
      </c>
      <c r="C20" s="1">
        <f t="shared" si="0"/>
        <v>2</v>
      </c>
      <c r="F20" s="1" t="s">
        <v>60</v>
      </c>
      <c r="G20" s="1">
        <f t="shared" si="1"/>
        <v>2</v>
      </c>
    </row>
    <row r="21" spans="2:7" x14ac:dyDescent="0.3">
      <c r="B21" s="1" t="s">
        <v>110</v>
      </c>
      <c r="C21" s="1">
        <f t="shared" si="0"/>
        <v>3</v>
      </c>
      <c r="F21" s="1" t="s">
        <v>110</v>
      </c>
      <c r="G21" s="1">
        <f t="shared" si="1"/>
        <v>3</v>
      </c>
    </row>
    <row r="22" spans="2:7" x14ac:dyDescent="0.3">
      <c r="B22" s="1" t="s">
        <v>109</v>
      </c>
      <c r="C22" s="60">
        <f t="shared" si="0"/>
        <v>0</v>
      </c>
      <c r="F22" s="1" t="s">
        <v>109</v>
      </c>
      <c r="G22" s="60">
        <f t="shared" si="1"/>
        <v>0</v>
      </c>
    </row>
    <row r="23" spans="2:7" x14ac:dyDescent="0.3">
      <c r="B23" s="1" t="s">
        <v>111</v>
      </c>
      <c r="C23" s="1">
        <f t="shared" si="0"/>
        <v>0</v>
      </c>
      <c r="F23" s="1" t="s">
        <v>111</v>
      </c>
      <c r="G23" s="1">
        <f t="shared" si="1"/>
        <v>0</v>
      </c>
    </row>
    <row r="24" spans="2:7" x14ac:dyDescent="0.3">
      <c r="B24" s="1" t="s">
        <v>113</v>
      </c>
      <c r="C24" s="60">
        <f>C11</f>
        <v>0.11</v>
      </c>
      <c r="F24" s="1" t="s">
        <v>113</v>
      </c>
      <c r="G24" s="60">
        <f>G11</f>
        <v>0.11</v>
      </c>
    </row>
    <row r="25" spans="2:7" x14ac:dyDescent="0.3">
      <c r="B25" s="1" t="s">
        <v>114</v>
      </c>
      <c r="C25" s="60">
        <f>C12</f>
        <v>0</v>
      </c>
      <c r="F25" s="1" t="s">
        <v>114</v>
      </c>
      <c r="G25" s="60">
        <f>G12</f>
        <v>0</v>
      </c>
    </row>
    <row r="26" spans="2:7" x14ac:dyDescent="0.3">
      <c r="B26" s="1" t="s">
        <v>82</v>
      </c>
      <c r="C26" s="3"/>
      <c r="F26" s="1" t="s">
        <v>82</v>
      </c>
      <c r="G26" s="3"/>
    </row>
    <row r="27" spans="2:7" x14ac:dyDescent="0.3">
      <c r="B27" s="1" t="s">
        <v>13</v>
      </c>
      <c r="C27" s="3"/>
      <c r="F27" s="1" t="s">
        <v>13</v>
      </c>
      <c r="G27" s="3"/>
    </row>
  </sheetData>
  <pageMargins left="0.7" right="0.7" top="0.75" bottom="0.75" header="0.3" footer="0.3"/>
  <pageSetup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45F8F-01D3-4ABB-BAD2-53853491B89D}">
  <sheetPr>
    <tabColor rgb="FFFF0000"/>
  </sheetPr>
  <dimension ref="A1:B4"/>
  <sheetViews>
    <sheetView workbookViewId="0">
      <selection activeCell="G14" sqref="G14"/>
    </sheetView>
  </sheetViews>
  <sheetFormatPr defaultRowHeight="14.4" x14ac:dyDescent="0.3"/>
  <cols>
    <col min="1" max="1" width="34.88671875" customWidth="1"/>
    <col min="2" max="2" width="35.6640625" bestFit="1" customWidth="1"/>
  </cols>
  <sheetData>
    <row r="1" spans="1:2" x14ac:dyDescent="0.3">
      <c r="A1" s="1" t="s">
        <v>50</v>
      </c>
      <c r="B1" s="4">
        <v>0.13</v>
      </c>
    </row>
    <row r="2" spans="1:2" x14ac:dyDescent="0.3">
      <c r="A2" s="1" t="s">
        <v>54</v>
      </c>
      <c r="B2" s="31">
        <f>(1+B1)/(1+B3)-1</f>
        <v>5.6074766355139971E-2</v>
      </c>
    </row>
    <row r="3" spans="1:2" x14ac:dyDescent="0.3">
      <c r="A3" s="1" t="s">
        <v>55</v>
      </c>
      <c r="B3" s="15">
        <v>7.0000000000000007E-2</v>
      </c>
    </row>
    <row r="4" spans="1:2" ht="57.6" x14ac:dyDescent="0.3">
      <c r="A4" s="1" t="s">
        <v>17</v>
      </c>
      <c r="B4" s="28" t="str">
        <f>"If the real rate (the percentage change in buying power) = r = "&amp;TEXT(B3,"0.0000%")&amp;" and the Nominal Rate is R = ."&amp;TEXT(B1,"0.0000%")&amp;", then the inflation rate = h = "&amp;TEXT(B2,"0.0000%")&amp;"."</f>
        <v>If the real rate (the percentage change in buying power) = r = 7.0000% and the Nominal Rate is R = .13.0000%, then the inflation rate = h = 5.6075%.</v>
      </c>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573CB-CB3D-40BA-BB38-70D2DF8AEBA6}">
  <sheetPr>
    <tabColor rgb="FF0000FF"/>
  </sheetPr>
  <dimension ref="A1:B4"/>
  <sheetViews>
    <sheetView zoomScale="130" zoomScaleNormal="130" workbookViewId="0">
      <selection activeCell="G14" sqref="G14"/>
    </sheetView>
  </sheetViews>
  <sheetFormatPr defaultRowHeight="14.4" x14ac:dyDescent="0.3"/>
  <cols>
    <col min="1" max="1" width="34.88671875" customWidth="1"/>
    <col min="2" max="2" width="26.5546875" bestFit="1" customWidth="1"/>
  </cols>
  <sheetData>
    <row r="1" spans="1:2" x14ac:dyDescent="0.3">
      <c r="A1" s="1" t="s">
        <v>50</v>
      </c>
      <c r="B1" s="4">
        <v>0.17</v>
      </c>
    </row>
    <row r="2" spans="1:2" x14ac:dyDescent="0.3">
      <c r="A2" s="1" t="s">
        <v>51</v>
      </c>
      <c r="B2" s="4">
        <v>3.2000000000000001E-2</v>
      </c>
    </row>
    <row r="3" spans="1:2" x14ac:dyDescent="0.3">
      <c r="A3" s="1" t="s">
        <v>52</v>
      </c>
      <c r="B3" s="6"/>
    </row>
    <row r="4" spans="1:2" ht="36" customHeight="1" x14ac:dyDescent="0.3">
      <c r="A4" s="1" t="s">
        <v>17</v>
      </c>
      <c r="B4" s="28"/>
    </row>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16E1B-5760-4695-B775-129F33F7F02B}">
  <sheetPr>
    <tabColor rgb="FFFF0000"/>
  </sheetPr>
  <dimension ref="A1:B4"/>
  <sheetViews>
    <sheetView workbookViewId="0">
      <selection activeCell="G14" sqref="G14"/>
    </sheetView>
  </sheetViews>
  <sheetFormatPr defaultRowHeight="14.4" x14ac:dyDescent="0.3"/>
  <cols>
    <col min="1" max="1" width="34.88671875" customWidth="1"/>
    <col min="2" max="2" width="26.5546875" bestFit="1" customWidth="1"/>
  </cols>
  <sheetData>
    <row r="1" spans="1:2" x14ac:dyDescent="0.3">
      <c r="A1" s="1" t="s">
        <v>50</v>
      </c>
      <c r="B1" s="4">
        <v>0.17</v>
      </c>
    </row>
    <row r="2" spans="1:2" x14ac:dyDescent="0.3">
      <c r="A2" s="1" t="s">
        <v>51</v>
      </c>
      <c r="B2" s="4">
        <v>3.2000000000000001E-2</v>
      </c>
    </row>
    <row r="3" spans="1:2" x14ac:dyDescent="0.3">
      <c r="A3" s="1" t="s">
        <v>52</v>
      </c>
      <c r="B3" s="6">
        <f>(1+B1)/(1+B2)-1</f>
        <v>0.13372093023255793</v>
      </c>
    </row>
    <row r="4" spans="1:2" x14ac:dyDescent="0.3">
      <c r="A4" s="1" t="s">
        <v>17</v>
      </c>
      <c r="B4" s="28" t="str">
        <f>"The real return = r = "&amp;TEXT(B3,"0.0000%")&amp;"."</f>
        <v>The real return = r = 13.3721%.</v>
      </c>
    </row>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EE3B2-493F-4922-AD4B-B4E3D3086466}">
  <sheetPr>
    <tabColor rgb="FF0000FF"/>
  </sheetPr>
  <dimension ref="A1:B12"/>
  <sheetViews>
    <sheetView zoomScale="184" zoomScaleNormal="184" workbookViewId="0">
      <selection activeCell="G14" sqref="G14"/>
    </sheetView>
  </sheetViews>
  <sheetFormatPr defaultRowHeight="14.4" x14ac:dyDescent="0.3"/>
  <cols>
    <col min="1" max="1" width="41.6640625" bestFit="1" customWidth="1"/>
    <col min="2" max="2" width="10.33203125" bestFit="1" customWidth="1"/>
  </cols>
  <sheetData>
    <row r="1" spans="1:2" x14ac:dyDescent="0.3">
      <c r="A1" s="1" t="s">
        <v>56</v>
      </c>
      <c r="B1" s="1" t="s">
        <v>57</v>
      </c>
    </row>
    <row r="2" spans="1:2" x14ac:dyDescent="0.3">
      <c r="A2" s="1" t="s">
        <v>58</v>
      </c>
      <c r="B2" s="2">
        <v>1000</v>
      </c>
    </row>
    <row r="3" spans="1:2" x14ac:dyDescent="0.3">
      <c r="A3" s="1" t="s">
        <v>59</v>
      </c>
      <c r="B3" s="1">
        <v>7.4999999999999997E-2</v>
      </c>
    </row>
    <row r="4" spans="1:2" x14ac:dyDescent="0.3">
      <c r="A4" s="1" t="s">
        <v>60</v>
      </c>
      <c r="B4" s="1">
        <v>2</v>
      </c>
    </row>
    <row r="5" spans="1:2" x14ac:dyDescent="0.3">
      <c r="A5" s="1" t="s">
        <v>61</v>
      </c>
      <c r="B5" s="6"/>
    </row>
    <row r="6" spans="1:2" x14ac:dyDescent="0.3">
      <c r="A6" s="1" t="s">
        <v>62</v>
      </c>
      <c r="B6" s="3"/>
    </row>
    <row r="7" spans="1:2" x14ac:dyDescent="0.3">
      <c r="A7" s="1" t="s">
        <v>63</v>
      </c>
      <c r="B7" s="2">
        <v>-915</v>
      </c>
    </row>
    <row r="8" spans="1:2" x14ac:dyDescent="0.3">
      <c r="A8" s="1" t="s">
        <v>64</v>
      </c>
      <c r="B8" s="25">
        <v>2</v>
      </c>
    </row>
    <row r="9" spans="1:2" x14ac:dyDescent="0.3">
      <c r="A9" s="1" t="s">
        <v>65</v>
      </c>
      <c r="B9" s="22"/>
    </row>
    <row r="10" spans="1:2" x14ac:dyDescent="0.3">
      <c r="A10" s="1" t="s">
        <v>66</v>
      </c>
      <c r="B10" s="3"/>
    </row>
    <row r="11" spans="1:2" x14ac:dyDescent="0.3">
      <c r="A11" s="1" t="s">
        <v>67</v>
      </c>
      <c r="B11" s="3"/>
    </row>
    <row r="12" spans="1:2" x14ac:dyDescent="0.3">
      <c r="A12" s="1" t="s">
        <v>68</v>
      </c>
      <c r="B12" s="3"/>
    </row>
  </sheetData>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32164-63EA-40AD-BF16-F1581402E195}">
  <sheetPr>
    <tabColor rgb="FFFF0000"/>
  </sheetPr>
  <dimension ref="A1:B12"/>
  <sheetViews>
    <sheetView zoomScale="184" zoomScaleNormal="184" workbookViewId="0">
      <selection activeCell="G14" sqref="G14"/>
    </sheetView>
  </sheetViews>
  <sheetFormatPr defaultRowHeight="14.4" x14ac:dyDescent="0.3"/>
  <cols>
    <col min="1" max="1" width="41.6640625" bestFit="1" customWidth="1"/>
    <col min="2" max="2" width="10.33203125" bestFit="1" customWidth="1"/>
  </cols>
  <sheetData>
    <row r="1" spans="1:2" x14ac:dyDescent="0.3">
      <c r="A1" s="1" t="s">
        <v>56</v>
      </c>
      <c r="B1" s="1" t="s">
        <v>57</v>
      </c>
    </row>
    <row r="2" spans="1:2" x14ac:dyDescent="0.3">
      <c r="A2" s="1" t="s">
        <v>58</v>
      </c>
      <c r="B2" s="2">
        <v>1000</v>
      </c>
    </row>
    <row r="3" spans="1:2" x14ac:dyDescent="0.3">
      <c r="A3" s="1" t="s">
        <v>59</v>
      </c>
      <c r="B3" s="1">
        <v>7.4999999999999997E-2</v>
      </c>
    </row>
    <row r="4" spans="1:2" x14ac:dyDescent="0.3">
      <c r="A4" s="1" t="s">
        <v>60</v>
      </c>
      <c r="B4" s="1">
        <v>2</v>
      </c>
    </row>
    <row r="5" spans="1:2" x14ac:dyDescent="0.3">
      <c r="A5" s="1" t="s">
        <v>61</v>
      </c>
      <c r="B5" s="6">
        <f>B3/B4</f>
        <v>3.7499999999999999E-2</v>
      </c>
    </row>
    <row r="6" spans="1:2" x14ac:dyDescent="0.3">
      <c r="A6" s="1" t="s">
        <v>62</v>
      </c>
      <c r="B6" s="3">
        <f>B2*B5</f>
        <v>37.5</v>
      </c>
    </row>
    <row r="7" spans="1:2" x14ac:dyDescent="0.3">
      <c r="A7" s="1" t="s">
        <v>63</v>
      </c>
      <c r="B7" s="2">
        <v>-915</v>
      </c>
    </row>
    <row r="8" spans="1:2" x14ac:dyDescent="0.3">
      <c r="A8" s="1" t="s">
        <v>64</v>
      </c>
      <c r="B8" s="25">
        <v>2</v>
      </c>
    </row>
    <row r="9" spans="1:2" x14ac:dyDescent="0.3">
      <c r="A9" s="1" t="s">
        <v>65</v>
      </c>
      <c r="B9" s="22">
        <f>12/B4</f>
        <v>6</v>
      </c>
    </row>
    <row r="10" spans="1:2" x14ac:dyDescent="0.3">
      <c r="A10" s="1" t="s">
        <v>66</v>
      </c>
      <c r="B10" s="3">
        <f>B8/B9*B6</f>
        <v>12.5</v>
      </c>
    </row>
    <row r="11" spans="1:2" x14ac:dyDescent="0.3">
      <c r="A11" s="1" t="s">
        <v>67</v>
      </c>
      <c r="B11" s="3">
        <f>B6-B10</f>
        <v>25</v>
      </c>
    </row>
    <row r="12" spans="1:2" x14ac:dyDescent="0.3">
      <c r="A12" s="1" t="s">
        <v>68</v>
      </c>
      <c r="B12" s="3">
        <f>B7-B11</f>
        <v>-940</v>
      </c>
    </row>
  </sheetData>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7CA8D-E54C-48F7-9200-39798187C7A5}">
  <sheetPr>
    <tabColor rgb="FF0000FF"/>
  </sheetPr>
  <dimension ref="A1:E17"/>
  <sheetViews>
    <sheetView workbookViewId="0">
      <selection activeCell="G14" sqref="G14"/>
    </sheetView>
  </sheetViews>
  <sheetFormatPr defaultRowHeight="14.4" x14ac:dyDescent="0.3"/>
  <cols>
    <col min="1" max="1" width="33.88671875" bestFit="1" customWidth="1"/>
    <col min="2" max="2" width="15.33203125" bestFit="1" customWidth="1"/>
    <col min="3" max="3" width="3" customWidth="1"/>
    <col min="4" max="4" width="49.33203125" bestFit="1" customWidth="1"/>
    <col min="5" max="5" width="15.5546875" bestFit="1" customWidth="1"/>
  </cols>
  <sheetData>
    <row r="1" spans="1:5" x14ac:dyDescent="0.3">
      <c r="A1" s="1" t="s">
        <v>69</v>
      </c>
      <c r="B1" s="32">
        <v>45000000</v>
      </c>
      <c r="D1" s="1" t="str">
        <f t="shared" ref="D1:E9" si="0">A1</f>
        <v>Total Face Value =</v>
      </c>
      <c r="E1" s="2">
        <f t="shared" si="0"/>
        <v>45000000</v>
      </c>
    </row>
    <row r="2" spans="1:5" x14ac:dyDescent="0.3">
      <c r="A2" s="1" t="s">
        <v>24</v>
      </c>
      <c r="B2" s="1">
        <v>20</v>
      </c>
      <c r="D2" s="1" t="str">
        <f t="shared" si="0"/>
        <v>Years to Maturity =</v>
      </c>
      <c r="E2" s="1">
        <f t="shared" si="0"/>
        <v>20</v>
      </c>
    </row>
    <row r="3" spans="1:5" x14ac:dyDescent="0.3">
      <c r="A3" s="1" t="s">
        <v>45</v>
      </c>
      <c r="B3" s="1">
        <v>7.4999999999999997E-2</v>
      </c>
      <c r="D3" s="1" t="str">
        <f t="shared" si="0"/>
        <v>YTM =</v>
      </c>
      <c r="E3" s="1">
        <f t="shared" si="0"/>
        <v>7.4999999999999997E-2</v>
      </c>
    </row>
    <row r="4" spans="1:5" x14ac:dyDescent="0.3">
      <c r="A4" s="1" t="s">
        <v>5</v>
      </c>
      <c r="B4" s="1">
        <v>7.4999999999999997E-2</v>
      </c>
      <c r="D4" s="1" t="s">
        <v>70</v>
      </c>
      <c r="E4" s="1"/>
    </row>
    <row r="5" spans="1:5" x14ac:dyDescent="0.3">
      <c r="A5" s="1" t="s">
        <v>27</v>
      </c>
      <c r="B5" s="1">
        <v>1</v>
      </c>
      <c r="D5" s="1" t="str">
        <f t="shared" si="0"/>
        <v>n =</v>
      </c>
      <c r="E5" s="1">
        <v>1</v>
      </c>
    </row>
    <row r="6" spans="1:5" x14ac:dyDescent="0.3">
      <c r="A6" s="1" t="s">
        <v>71</v>
      </c>
      <c r="B6" s="3"/>
      <c r="D6" s="1" t="s">
        <v>70</v>
      </c>
      <c r="E6" s="1"/>
    </row>
    <row r="7" spans="1:5" x14ac:dyDescent="0.3">
      <c r="A7" s="1" t="s">
        <v>72</v>
      </c>
      <c r="B7" s="1">
        <v>0.35</v>
      </c>
      <c r="D7" s="1" t="str">
        <f t="shared" si="0"/>
        <v>Tax Rate =</v>
      </c>
      <c r="E7" s="25">
        <f t="shared" si="0"/>
        <v>0.35</v>
      </c>
    </row>
    <row r="8" spans="1:5" x14ac:dyDescent="0.3">
      <c r="A8" s="1" t="s">
        <v>73</v>
      </c>
      <c r="B8" s="2">
        <v>1000</v>
      </c>
      <c r="D8" s="1" t="str">
        <f t="shared" si="0"/>
        <v>Face Value =</v>
      </c>
      <c r="E8" s="2">
        <f t="shared" si="0"/>
        <v>1000</v>
      </c>
    </row>
    <row r="9" spans="1:5" x14ac:dyDescent="0.3">
      <c r="A9" s="1" t="s">
        <v>74</v>
      </c>
      <c r="B9" s="3"/>
      <c r="D9" s="1" t="str">
        <f t="shared" si="0"/>
        <v>Number Needed =</v>
      </c>
      <c r="E9" s="33"/>
    </row>
    <row r="10" spans="1:5" x14ac:dyDescent="0.3">
      <c r="A10" s="1" t="s">
        <v>75</v>
      </c>
      <c r="B10" s="3"/>
      <c r="D10" s="1" t="s">
        <v>76</v>
      </c>
      <c r="E10" s="3"/>
    </row>
    <row r="11" spans="1:5" x14ac:dyDescent="0.3">
      <c r="A11" s="1" t="s">
        <v>77</v>
      </c>
      <c r="B11" s="3"/>
      <c r="D11" s="1" t="s">
        <v>78</v>
      </c>
      <c r="E11" s="3"/>
    </row>
    <row r="12" spans="1:5" x14ac:dyDescent="0.3">
      <c r="A12" s="1"/>
      <c r="B12" s="1"/>
      <c r="D12" s="1"/>
      <c r="E12" s="1"/>
    </row>
    <row r="13" spans="1:5" x14ac:dyDescent="0.3">
      <c r="A13" s="1"/>
      <c r="B13" s="1"/>
      <c r="D13" s="1"/>
      <c r="E13" s="1"/>
    </row>
    <row r="14" spans="1:5" x14ac:dyDescent="0.3">
      <c r="A14" s="1"/>
      <c r="B14" s="1"/>
      <c r="D14" s="1"/>
      <c r="E14" s="1"/>
    </row>
    <row r="15" spans="1:5" x14ac:dyDescent="0.3">
      <c r="A15" s="1"/>
      <c r="B15" s="1"/>
      <c r="D15" s="1"/>
      <c r="E15" s="1"/>
    </row>
    <row r="16" spans="1:5" x14ac:dyDescent="0.3">
      <c r="A16" s="1"/>
      <c r="B16" s="1"/>
      <c r="D16" s="1"/>
      <c r="E16" s="1"/>
    </row>
    <row r="17" spans="1:5" x14ac:dyDescent="0.3">
      <c r="A17" s="1"/>
      <c r="B17" s="1"/>
      <c r="D17" s="1"/>
      <c r="E17" s="1"/>
    </row>
  </sheetData>
  <pageMargins left="0.7" right="0.7" top="0.75" bottom="0.75" header="0.3" footer="0.3"/>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C249FE-AC61-4EF1-98F2-429CFCEA38E8}">
  <sheetPr>
    <tabColor rgb="FFFF0000"/>
  </sheetPr>
  <dimension ref="A1:J67"/>
  <sheetViews>
    <sheetView zoomScale="115" zoomScaleNormal="115" workbookViewId="0">
      <selection activeCell="G14" sqref="G14"/>
    </sheetView>
  </sheetViews>
  <sheetFormatPr defaultRowHeight="14.4" x14ac:dyDescent="0.3"/>
  <cols>
    <col min="1" max="1" width="24.77734375" style="29" customWidth="1"/>
    <col min="2" max="2" width="15.33203125" bestFit="1" customWidth="1"/>
    <col min="3" max="3" width="6.21875" bestFit="1" customWidth="1"/>
    <col min="4" max="4" width="24.77734375" style="29" customWidth="1"/>
    <col min="5" max="5" width="15.5546875" bestFit="1" customWidth="1"/>
    <col min="6" max="6" width="23.33203125" bestFit="1" customWidth="1"/>
    <col min="7" max="7" width="6.6640625" customWidth="1"/>
    <col min="8" max="8" width="33.21875" bestFit="1" customWidth="1"/>
    <col min="9" max="9" width="19.5546875" customWidth="1"/>
    <col min="10" max="10" width="17.6640625" customWidth="1"/>
  </cols>
  <sheetData>
    <row r="1" spans="1:10" x14ac:dyDescent="0.3">
      <c r="A1" s="34" t="s">
        <v>69</v>
      </c>
      <c r="B1" s="32">
        <v>45000000</v>
      </c>
      <c r="D1" s="34" t="str">
        <f t="shared" ref="D1:E9" si="0">A1</f>
        <v>Total Face Value =</v>
      </c>
      <c r="E1" s="2">
        <f t="shared" si="0"/>
        <v>45000000</v>
      </c>
    </row>
    <row r="2" spans="1:10" x14ac:dyDescent="0.3">
      <c r="A2" s="34" t="s">
        <v>24</v>
      </c>
      <c r="B2" s="1">
        <v>20</v>
      </c>
      <c r="D2" s="34" t="str">
        <f t="shared" si="0"/>
        <v>Years to Maturity =</v>
      </c>
      <c r="E2" s="1">
        <f t="shared" si="0"/>
        <v>20</v>
      </c>
    </row>
    <row r="3" spans="1:10" x14ac:dyDescent="0.3">
      <c r="A3" s="34" t="s">
        <v>45</v>
      </c>
      <c r="B3" s="1">
        <v>7.4999999999999997E-2</v>
      </c>
      <c r="D3" s="34" t="str">
        <f t="shared" si="0"/>
        <v>YTM =</v>
      </c>
      <c r="E3" s="1">
        <f t="shared" si="0"/>
        <v>7.4999999999999997E-2</v>
      </c>
    </row>
    <row r="4" spans="1:10" x14ac:dyDescent="0.3">
      <c r="A4" s="34" t="s">
        <v>5</v>
      </c>
      <c r="B4" s="1">
        <v>7.4999999999999997E-2</v>
      </c>
      <c r="D4" s="34"/>
      <c r="E4" s="1"/>
    </row>
    <row r="5" spans="1:10" ht="28.8" x14ac:dyDescent="0.3">
      <c r="A5" s="34" t="s">
        <v>27</v>
      </c>
      <c r="B5" s="1">
        <v>1</v>
      </c>
      <c r="D5" s="34" t="s">
        <v>79</v>
      </c>
      <c r="E5" s="1">
        <v>2</v>
      </c>
    </row>
    <row r="6" spans="1:10" x14ac:dyDescent="0.3">
      <c r="A6" s="34" t="s">
        <v>71</v>
      </c>
      <c r="B6" s="3">
        <f>B1*B4*B5</f>
        <v>3375000</v>
      </c>
      <c r="D6" s="34" t="s">
        <v>70</v>
      </c>
      <c r="E6" s="1"/>
    </row>
    <row r="7" spans="1:10" x14ac:dyDescent="0.3">
      <c r="A7" s="34" t="s">
        <v>72</v>
      </c>
      <c r="B7" s="1">
        <v>0.35</v>
      </c>
      <c r="D7" s="34" t="str">
        <f t="shared" si="0"/>
        <v>Tax Rate =</v>
      </c>
      <c r="E7" s="25">
        <f t="shared" si="0"/>
        <v>0.35</v>
      </c>
      <c r="I7" t="s">
        <v>80</v>
      </c>
    </row>
    <row r="8" spans="1:10" x14ac:dyDescent="0.3">
      <c r="A8" s="34" t="s">
        <v>73</v>
      </c>
      <c r="B8" s="2">
        <v>1000</v>
      </c>
      <c r="D8" s="34" t="str">
        <f t="shared" si="0"/>
        <v>Face Value =</v>
      </c>
      <c r="E8" s="2">
        <f t="shared" si="0"/>
        <v>1000</v>
      </c>
      <c r="I8" s="35">
        <f>E1/I9</f>
        <v>196217.04415314266</v>
      </c>
      <c r="J8" t="s">
        <v>81</v>
      </c>
    </row>
    <row r="9" spans="1:10" x14ac:dyDescent="0.3">
      <c r="A9" s="34" t="s">
        <v>74</v>
      </c>
      <c r="B9" s="3">
        <f>B1/B8</f>
        <v>45000</v>
      </c>
      <c r="D9" s="34" t="str">
        <f t="shared" si="0"/>
        <v>Number Needed =</v>
      </c>
      <c r="E9" s="33">
        <f>E1/E10</f>
        <v>196217.04415314266</v>
      </c>
      <c r="I9">
        <f>E8/(1+E3/E5)^(E5*E2)</f>
        <v>229.33787528100049</v>
      </c>
      <c r="J9">
        <f>45000000 / 229.34</f>
        <v>196215.22630156099</v>
      </c>
    </row>
    <row r="10" spans="1:10" x14ac:dyDescent="0.3">
      <c r="A10" s="34" t="s">
        <v>75</v>
      </c>
      <c r="B10" s="3">
        <f>PV(B3/B5,B2*B5,B6,B1)</f>
        <v>-45000000</v>
      </c>
      <c r="D10" s="34" t="s">
        <v>76</v>
      </c>
      <c r="E10" s="3">
        <f>E8/(1+E3/E5)^(E5*E2)</f>
        <v>229.33787528100049</v>
      </c>
    </row>
    <row r="11" spans="1:10" ht="28.8" x14ac:dyDescent="0.3">
      <c r="A11" s="34" t="s">
        <v>77</v>
      </c>
      <c r="B11" s="3">
        <f>B10-B6</f>
        <v>-48375000</v>
      </c>
      <c r="D11" s="34" t="s">
        <v>78</v>
      </c>
      <c r="E11" s="3">
        <f>E8*E9</f>
        <v>196217044.15314266</v>
      </c>
    </row>
    <row r="12" spans="1:10" x14ac:dyDescent="0.3">
      <c r="A12" s="34"/>
      <c r="B12" s="1"/>
      <c r="D12" s="34"/>
      <c r="E12" s="1"/>
    </row>
    <row r="13" spans="1:10" x14ac:dyDescent="0.3">
      <c r="A13" s="34" t="s">
        <v>82</v>
      </c>
      <c r="B13" s="2">
        <f>PV(B3,B2,-B6,-B1)</f>
        <v>45000000</v>
      </c>
      <c r="D13" s="34" t="s">
        <v>82</v>
      </c>
      <c r="E13" s="2">
        <f>PV(E3/E5,E2*E5,,-E11)</f>
        <v>45000000</v>
      </c>
    </row>
    <row r="14" spans="1:10" x14ac:dyDescent="0.3">
      <c r="A14" s="36"/>
      <c r="B14" s="37"/>
      <c r="D14" s="36"/>
      <c r="E14" s="37"/>
    </row>
    <row r="15" spans="1:10" x14ac:dyDescent="0.3">
      <c r="A15" s="36"/>
      <c r="B15" s="37"/>
      <c r="E15" s="37"/>
    </row>
    <row r="16" spans="1:10" x14ac:dyDescent="0.3">
      <c r="B16" s="37"/>
      <c r="D16" s="36"/>
      <c r="E16" s="37"/>
    </row>
    <row r="17" spans="1:8" x14ac:dyDescent="0.3">
      <c r="A17" s="36"/>
      <c r="B17" s="37"/>
      <c r="D17" s="36"/>
      <c r="E17" s="37"/>
    </row>
    <row r="18" spans="1:8" x14ac:dyDescent="0.3">
      <c r="A18" s="38"/>
      <c r="B18" s="37"/>
      <c r="D18" s="36"/>
      <c r="E18" s="37"/>
    </row>
    <row r="19" spans="1:8" x14ac:dyDescent="0.3">
      <c r="A19" s="36"/>
      <c r="B19" s="37"/>
      <c r="D19" s="36"/>
      <c r="E19" s="37"/>
    </row>
    <row r="20" spans="1:8" x14ac:dyDescent="0.3">
      <c r="A20" s="36"/>
      <c r="B20" s="37"/>
      <c r="D20" s="36"/>
      <c r="E20" s="37"/>
    </row>
    <row r="21" spans="1:8" x14ac:dyDescent="0.3">
      <c r="A21" s="36"/>
      <c r="B21" s="37"/>
      <c r="D21" s="36"/>
      <c r="E21" s="37"/>
    </row>
    <row r="22" spans="1:8" x14ac:dyDescent="0.3">
      <c r="A22" s="36"/>
      <c r="B22" s="37"/>
      <c r="D22" s="36"/>
      <c r="E22" s="37"/>
    </row>
    <row r="23" spans="1:8" x14ac:dyDescent="0.3">
      <c r="A23" s="36"/>
      <c r="B23" s="37"/>
      <c r="D23" s="36"/>
      <c r="E23" s="37"/>
    </row>
    <row r="25" spans="1:8" ht="28.8" x14ac:dyDescent="0.3">
      <c r="C25" s="39" t="s">
        <v>83</v>
      </c>
      <c r="D25" s="39"/>
      <c r="E25" s="39"/>
      <c r="F25" s="39"/>
      <c r="G25" s="39"/>
      <c r="H25" s="40" t="s">
        <v>84</v>
      </c>
    </row>
    <row r="26" spans="1:8" x14ac:dyDescent="0.3">
      <c r="C26" s="41" t="s">
        <v>85</v>
      </c>
      <c r="D26" s="41" t="s">
        <v>86</v>
      </c>
      <c r="E26" s="42" t="s">
        <v>87</v>
      </c>
      <c r="F26" s="41" t="s">
        <v>88</v>
      </c>
      <c r="H26" s="43">
        <f>B6*(1-B7)</f>
        <v>2193750</v>
      </c>
    </row>
    <row r="27" spans="1:8" x14ac:dyDescent="0.3">
      <c r="C27" s="1">
        <v>0</v>
      </c>
      <c r="D27" s="34"/>
      <c r="E27" s="43">
        <f>E10*E9</f>
        <v>45000000</v>
      </c>
      <c r="F27" s="34"/>
    </row>
    <row r="28" spans="1:8" x14ac:dyDescent="0.3">
      <c r="C28" s="1">
        <v>1</v>
      </c>
      <c r="D28" s="44">
        <f>E27*$E$3/$E$5</f>
        <v>1687500</v>
      </c>
      <c r="E28" s="43">
        <f>E27+D28</f>
        <v>46687500</v>
      </c>
      <c r="F28" s="44">
        <f>D28*$E$7</f>
        <v>590625</v>
      </c>
      <c r="H28" s="40" t="s">
        <v>89</v>
      </c>
    </row>
    <row r="29" spans="1:8" x14ac:dyDescent="0.3">
      <c r="C29" s="1">
        <v>2</v>
      </c>
      <c r="D29" s="44">
        <f t="shared" ref="D29:D67" si="1">E28*$E$3/$E$5</f>
        <v>1750781.25</v>
      </c>
      <c r="E29" s="43">
        <f t="shared" ref="E29:E67" si="2">E28+D29</f>
        <v>48438281.25</v>
      </c>
      <c r="F29" s="44">
        <f t="shared" ref="F29:F67" si="3">D29*$E$7</f>
        <v>612773.4375</v>
      </c>
      <c r="H29" s="43">
        <f>SUM(F28:F29)</f>
        <v>1203398.4375</v>
      </c>
    </row>
    <row r="30" spans="1:8" x14ac:dyDescent="0.3">
      <c r="C30" s="1">
        <v>3</v>
      </c>
      <c r="D30" s="44">
        <f t="shared" si="1"/>
        <v>1816435.546875</v>
      </c>
      <c r="E30" s="43">
        <f t="shared" si="2"/>
        <v>50254716.796875</v>
      </c>
      <c r="F30" s="44">
        <f t="shared" si="3"/>
        <v>635752.44140625</v>
      </c>
    </row>
    <row r="31" spans="1:8" x14ac:dyDescent="0.3">
      <c r="C31" s="1">
        <v>4</v>
      </c>
      <c r="D31" s="44">
        <f t="shared" si="1"/>
        <v>1884551.8798828125</v>
      </c>
      <c r="E31" s="43">
        <f t="shared" si="2"/>
        <v>52139268.676757813</v>
      </c>
      <c r="F31" s="44">
        <f t="shared" si="3"/>
        <v>659593.15795898438</v>
      </c>
      <c r="H31" s="35">
        <f>SUM(F30:F31)</f>
        <v>1295345.5993652344</v>
      </c>
    </row>
    <row r="32" spans="1:8" x14ac:dyDescent="0.3">
      <c r="C32" s="1">
        <v>5</v>
      </c>
      <c r="D32" s="44">
        <f t="shared" si="1"/>
        <v>1955222.575378418</v>
      </c>
      <c r="E32" s="43">
        <f t="shared" si="2"/>
        <v>54094491.25213623</v>
      </c>
      <c r="F32" s="44">
        <f t="shared" si="3"/>
        <v>684327.90138244629</v>
      </c>
    </row>
    <row r="33" spans="3:6" x14ac:dyDescent="0.3">
      <c r="C33" s="1">
        <v>6</v>
      </c>
      <c r="D33" s="44">
        <f t="shared" si="1"/>
        <v>2028543.4219551086</v>
      </c>
      <c r="E33" s="43">
        <f t="shared" si="2"/>
        <v>56123034.674091339</v>
      </c>
      <c r="F33" s="44">
        <f t="shared" si="3"/>
        <v>709990.19768428802</v>
      </c>
    </row>
    <row r="34" spans="3:6" x14ac:dyDescent="0.3">
      <c r="C34" s="1">
        <v>7</v>
      </c>
      <c r="D34" s="44">
        <f t="shared" si="1"/>
        <v>2104613.8002784252</v>
      </c>
      <c r="E34" s="43">
        <f t="shared" si="2"/>
        <v>58227648.474369764</v>
      </c>
      <c r="F34" s="44">
        <f t="shared" si="3"/>
        <v>736614.83009744878</v>
      </c>
    </row>
    <row r="35" spans="3:6" x14ac:dyDescent="0.3">
      <c r="C35" s="1">
        <v>8</v>
      </c>
      <c r="D35" s="44">
        <f t="shared" si="1"/>
        <v>2183536.8177888659</v>
      </c>
      <c r="E35" s="43">
        <f t="shared" si="2"/>
        <v>60411185.292158633</v>
      </c>
      <c r="F35" s="44">
        <f t="shared" si="3"/>
        <v>764237.88622610306</v>
      </c>
    </row>
    <row r="36" spans="3:6" x14ac:dyDescent="0.3">
      <c r="C36" s="1">
        <v>9</v>
      </c>
      <c r="D36" s="44">
        <f t="shared" si="1"/>
        <v>2265419.4484559488</v>
      </c>
      <c r="E36" s="43">
        <f t="shared" si="2"/>
        <v>62676604.740614586</v>
      </c>
      <c r="F36" s="44">
        <f t="shared" si="3"/>
        <v>792896.80695958203</v>
      </c>
    </row>
    <row r="37" spans="3:6" x14ac:dyDescent="0.3">
      <c r="C37" s="1">
        <v>10</v>
      </c>
      <c r="D37" s="44">
        <f t="shared" si="1"/>
        <v>2350372.6777730468</v>
      </c>
      <c r="E37" s="43">
        <f t="shared" si="2"/>
        <v>65026977.418387629</v>
      </c>
      <c r="F37" s="44">
        <f t="shared" si="3"/>
        <v>822630.43722056632</v>
      </c>
    </row>
    <row r="38" spans="3:6" x14ac:dyDescent="0.3">
      <c r="C38" s="1">
        <v>11</v>
      </c>
      <c r="D38" s="44">
        <f t="shared" si="1"/>
        <v>2438511.6531895362</v>
      </c>
      <c r="E38" s="43">
        <f t="shared" si="2"/>
        <v>67465489.071577162</v>
      </c>
      <c r="F38" s="44">
        <f t="shared" si="3"/>
        <v>853479.07861633762</v>
      </c>
    </row>
    <row r="39" spans="3:6" x14ac:dyDescent="0.3">
      <c r="C39" s="1">
        <v>12</v>
      </c>
      <c r="D39" s="44">
        <f t="shared" si="1"/>
        <v>2529955.8401841433</v>
      </c>
      <c r="E39" s="43">
        <f t="shared" si="2"/>
        <v>69995444.911761299</v>
      </c>
      <c r="F39" s="44">
        <f t="shared" si="3"/>
        <v>885484.54406445008</v>
      </c>
    </row>
    <row r="40" spans="3:6" x14ac:dyDescent="0.3">
      <c r="C40" s="1">
        <v>13</v>
      </c>
      <c r="D40" s="44">
        <f t="shared" si="1"/>
        <v>2624829.1841910486</v>
      </c>
      <c r="E40" s="43">
        <f t="shared" si="2"/>
        <v>72620274.095952347</v>
      </c>
      <c r="F40" s="44">
        <f t="shared" si="3"/>
        <v>918690.21446686692</v>
      </c>
    </row>
    <row r="41" spans="3:6" x14ac:dyDescent="0.3">
      <c r="C41" s="1">
        <v>14</v>
      </c>
      <c r="D41" s="44">
        <f t="shared" si="1"/>
        <v>2723260.2785982131</v>
      </c>
      <c r="E41" s="43">
        <f t="shared" si="2"/>
        <v>75343534.374550566</v>
      </c>
      <c r="F41" s="44">
        <f t="shared" si="3"/>
        <v>953141.09750937449</v>
      </c>
    </row>
    <row r="42" spans="3:6" x14ac:dyDescent="0.3">
      <c r="C42" s="1">
        <v>15</v>
      </c>
      <c r="D42" s="44">
        <f t="shared" si="1"/>
        <v>2825382.5390456463</v>
      </c>
      <c r="E42" s="43">
        <f t="shared" si="2"/>
        <v>78168916.913596213</v>
      </c>
      <c r="F42" s="44">
        <f t="shared" si="3"/>
        <v>988883.88866597612</v>
      </c>
    </row>
    <row r="43" spans="3:6" x14ac:dyDescent="0.3">
      <c r="C43" s="1">
        <v>16</v>
      </c>
      <c r="D43" s="44">
        <f t="shared" si="1"/>
        <v>2931334.3842598577</v>
      </c>
      <c r="E43" s="43">
        <f t="shared" si="2"/>
        <v>81100251.297856078</v>
      </c>
      <c r="F43" s="44">
        <f t="shared" si="3"/>
        <v>1025967.0344909502</v>
      </c>
    </row>
    <row r="44" spans="3:6" x14ac:dyDescent="0.3">
      <c r="C44" s="1">
        <v>17</v>
      </c>
      <c r="D44" s="44">
        <f t="shared" si="1"/>
        <v>3041259.4236696027</v>
      </c>
      <c r="E44" s="43">
        <f t="shared" si="2"/>
        <v>84141510.721525684</v>
      </c>
      <c r="F44" s="44">
        <f t="shared" si="3"/>
        <v>1064440.7982843609</v>
      </c>
    </row>
    <row r="45" spans="3:6" x14ac:dyDescent="0.3">
      <c r="C45" s="1">
        <v>18</v>
      </c>
      <c r="D45" s="44">
        <f t="shared" si="1"/>
        <v>3155306.6520572132</v>
      </c>
      <c r="E45" s="43">
        <f t="shared" si="2"/>
        <v>87296817.3735829</v>
      </c>
      <c r="F45" s="44">
        <f t="shared" si="3"/>
        <v>1104357.3282200245</v>
      </c>
    </row>
    <row r="46" spans="3:6" x14ac:dyDescent="0.3">
      <c r="C46" s="1">
        <v>19</v>
      </c>
      <c r="D46" s="44">
        <f t="shared" si="1"/>
        <v>3273630.6515093585</v>
      </c>
      <c r="E46" s="43">
        <f t="shared" si="2"/>
        <v>90570448.025092259</v>
      </c>
      <c r="F46" s="44">
        <f t="shared" si="3"/>
        <v>1145770.7280282753</v>
      </c>
    </row>
    <row r="47" spans="3:6" x14ac:dyDescent="0.3">
      <c r="C47" s="1">
        <v>20</v>
      </c>
      <c r="D47" s="44">
        <f t="shared" si="1"/>
        <v>3396391.8009409597</v>
      </c>
      <c r="E47" s="43">
        <f t="shared" si="2"/>
        <v>93966839.82603322</v>
      </c>
      <c r="F47" s="44">
        <f t="shared" si="3"/>
        <v>1188737.1303293358</v>
      </c>
    </row>
    <row r="48" spans="3:6" x14ac:dyDescent="0.3">
      <c r="C48" s="1">
        <v>21</v>
      </c>
      <c r="D48" s="44">
        <f t="shared" si="1"/>
        <v>3523756.4934762456</v>
      </c>
      <c r="E48" s="43">
        <f t="shared" si="2"/>
        <v>97490596.319509462</v>
      </c>
      <c r="F48" s="44">
        <f t="shared" si="3"/>
        <v>1233314.7727166859</v>
      </c>
    </row>
    <row r="49" spans="3:6" x14ac:dyDescent="0.3">
      <c r="C49" s="1">
        <v>22</v>
      </c>
      <c r="D49" s="44">
        <f t="shared" si="1"/>
        <v>3655897.3619816047</v>
      </c>
      <c r="E49" s="43">
        <f t="shared" si="2"/>
        <v>101146493.68149106</v>
      </c>
      <c r="F49" s="44">
        <f t="shared" si="3"/>
        <v>1279564.0766935616</v>
      </c>
    </row>
    <row r="50" spans="3:6" x14ac:dyDescent="0.3">
      <c r="C50" s="1">
        <v>23</v>
      </c>
      <c r="D50" s="44">
        <f t="shared" si="1"/>
        <v>3792993.5130559145</v>
      </c>
      <c r="E50" s="43">
        <f t="shared" si="2"/>
        <v>104939487.19454698</v>
      </c>
      <c r="F50" s="44">
        <f t="shared" si="3"/>
        <v>1327547.7295695699</v>
      </c>
    </row>
    <row r="51" spans="3:6" x14ac:dyDescent="0.3">
      <c r="C51" s="1">
        <v>24</v>
      </c>
      <c r="D51" s="44">
        <f t="shared" si="1"/>
        <v>3935230.7697955118</v>
      </c>
      <c r="E51" s="43">
        <f t="shared" si="2"/>
        <v>108874717.96434249</v>
      </c>
      <c r="F51" s="44">
        <f t="shared" si="3"/>
        <v>1377330.769428429</v>
      </c>
    </row>
    <row r="52" spans="3:6" x14ac:dyDescent="0.3">
      <c r="C52" s="1">
        <v>25</v>
      </c>
      <c r="D52" s="44">
        <f t="shared" si="1"/>
        <v>4082801.9236628432</v>
      </c>
      <c r="E52" s="43">
        <f t="shared" si="2"/>
        <v>112957519.88800533</v>
      </c>
      <c r="F52" s="44">
        <f t="shared" si="3"/>
        <v>1428980.6732819951</v>
      </c>
    </row>
    <row r="53" spans="3:6" x14ac:dyDescent="0.3">
      <c r="C53" s="1">
        <v>26</v>
      </c>
      <c r="D53" s="44">
        <f t="shared" si="1"/>
        <v>4235906.9958001999</v>
      </c>
      <c r="E53" s="43">
        <f t="shared" si="2"/>
        <v>117193426.88380553</v>
      </c>
      <c r="F53" s="44">
        <f t="shared" si="3"/>
        <v>1482567.4485300698</v>
      </c>
    </row>
    <row r="54" spans="3:6" x14ac:dyDescent="0.3">
      <c r="C54" s="1">
        <v>27</v>
      </c>
      <c r="D54" s="44">
        <f t="shared" si="1"/>
        <v>4394753.5081427069</v>
      </c>
      <c r="E54" s="43">
        <f t="shared" si="2"/>
        <v>121588180.39194824</v>
      </c>
      <c r="F54" s="44">
        <f t="shared" si="3"/>
        <v>1538163.7278499473</v>
      </c>
    </row>
    <row r="55" spans="3:6" x14ac:dyDescent="0.3">
      <c r="C55" s="1">
        <v>28</v>
      </c>
      <c r="D55" s="44">
        <f t="shared" si="1"/>
        <v>4559556.7646980584</v>
      </c>
      <c r="E55" s="43">
        <f t="shared" si="2"/>
        <v>126147737.1566463</v>
      </c>
      <c r="F55" s="44">
        <f t="shared" si="3"/>
        <v>1595844.8676443202</v>
      </c>
    </row>
    <row r="56" spans="3:6" x14ac:dyDescent="0.3">
      <c r="C56" s="1">
        <v>29</v>
      </c>
      <c r="D56" s="44">
        <f t="shared" si="1"/>
        <v>4730540.1433742363</v>
      </c>
      <c r="E56" s="43">
        <f t="shared" si="2"/>
        <v>130878277.30002053</v>
      </c>
      <c r="F56" s="44">
        <f t="shared" si="3"/>
        <v>1655689.0501809826</v>
      </c>
    </row>
    <row r="57" spans="3:6" x14ac:dyDescent="0.3">
      <c r="C57" s="1">
        <v>30</v>
      </c>
      <c r="D57" s="44">
        <f t="shared" si="1"/>
        <v>4907935.3987507699</v>
      </c>
      <c r="E57" s="43">
        <f t="shared" si="2"/>
        <v>135786212.6987713</v>
      </c>
      <c r="F57" s="44">
        <f t="shared" si="3"/>
        <v>1717777.3895627693</v>
      </c>
    </row>
    <row r="58" spans="3:6" x14ac:dyDescent="0.3">
      <c r="C58" s="1">
        <v>31</v>
      </c>
      <c r="D58" s="44">
        <f t="shared" si="1"/>
        <v>5091982.9762039231</v>
      </c>
      <c r="E58" s="43">
        <f t="shared" si="2"/>
        <v>140878195.67497522</v>
      </c>
      <c r="F58" s="44">
        <f t="shared" si="3"/>
        <v>1782194.041671373</v>
      </c>
    </row>
    <row r="59" spans="3:6" x14ac:dyDescent="0.3">
      <c r="C59" s="1">
        <v>32</v>
      </c>
      <c r="D59" s="44">
        <f t="shared" si="1"/>
        <v>5282932.3378115706</v>
      </c>
      <c r="E59" s="43">
        <f t="shared" si="2"/>
        <v>146161128.01278678</v>
      </c>
      <c r="F59" s="44">
        <f t="shared" si="3"/>
        <v>1849026.3182340495</v>
      </c>
    </row>
    <row r="60" spans="3:6" x14ac:dyDescent="0.3">
      <c r="C60" s="1">
        <v>33</v>
      </c>
      <c r="D60" s="44">
        <f t="shared" si="1"/>
        <v>5481042.3004795043</v>
      </c>
      <c r="E60" s="43">
        <f t="shared" si="2"/>
        <v>151642170.31326628</v>
      </c>
      <c r="F60" s="44">
        <f t="shared" si="3"/>
        <v>1918364.8051678264</v>
      </c>
    </row>
    <row r="61" spans="3:6" x14ac:dyDescent="0.3">
      <c r="C61" s="1">
        <v>34</v>
      </c>
      <c r="D61" s="44">
        <f t="shared" si="1"/>
        <v>5686581.386747485</v>
      </c>
      <c r="E61" s="43">
        <f t="shared" si="2"/>
        <v>157328751.70001376</v>
      </c>
      <c r="F61" s="44">
        <f t="shared" si="3"/>
        <v>1990303.4853616196</v>
      </c>
    </row>
    <row r="62" spans="3:6" x14ac:dyDescent="0.3">
      <c r="C62" s="1">
        <v>35</v>
      </c>
      <c r="D62" s="44">
        <f t="shared" si="1"/>
        <v>5899828.1887505157</v>
      </c>
      <c r="E62" s="43">
        <f t="shared" si="2"/>
        <v>163228579.88876426</v>
      </c>
      <c r="F62" s="44">
        <f t="shared" si="3"/>
        <v>2064939.8660626803</v>
      </c>
    </row>
    <row r="63" spans="3:6" x14ac:dyDescent="0.3">
      <c r="C63" s="1">
        <v>36</v>
      </c>
      <c r="D63" s="44">
        <f t="shared" si="1"/>
        <v>6121071.7458286593</v>
      </c>
      <c r="E63" s="43">
        <f t="shared" si="2"/>
        <v>169349651.63459292</v>
      </c>
      <c r="F63" s="44">
        <f t="shared" si="3"/>
        <v>2142375.1110400306</v>
      </c>
    </row>
    <row r="64" spans="3:6" x14ac:dyDescent="0.3">
      <c r="C64" s="1">
        <v>37</v>
      </c>
      <c r="D64" s="44">
        <f t="shared" si="1"/>
        <v>6350611.9362972341</v>
      </c>
      <c r="E64" s="43">
        <f t="shared" si="2"/>
        <v>175700263.57089016</v>
      </c>
      <c r="F64" s="44">
        <f t="shared" si="3"/>
        <v>2222714.1777040316</v>
      </c>
    </row>
    <row r="65" spans="3:6" x14ac:dyDescent="0.3">
      <c r="C65" s="1">
        <v>38</v>
      </c>
      <c r="D65" s="44">
        <f t="shared" si="1"/>
        <v>6588759.8839083808</v>
      </c>
      <c r="E65" s="43">
        <f t="shared" si="2"/>
        <v>182289023.45479855</v>
      </c>
      <c r="F65" s="44">
        <f t="shared" si="3"/>
        <v>2306065.9593679332</v>
      </c>
    </row>
    <row r="66" spans="3:6" x14ac:dyDescent="0.3">
      <c r="C66" s="1">
        <v>39</v>
      </c>
      <c r="D66" s="44">
        <f t="shared" si="1"/>
        <v>6835838.379554945</v>
      </c>
      <c r="E66" s="43">
        <f t="shared" si="2"/>
        <v>189124861.83435351</v>
      </c>
      <c r="F66" s="44">
        <f t="shared" si="3"/>
        <v>2392543.4328442304</v>
      </c>
    </row>
    <row r="67" spans="3:6" x14ac:dyDescent="0.3">
      <c r="C67" s="1">
        <v>40</v>
      </c>
      <c r="D67" s="44">
        <f t="shared" si="1"/>
        <v>7092182.3187882565</v>
      </c>
      <c r="E67" s="43">
        <f t="shared" si="2"/>
        <v>196217044.15314177</v>
      </c>
      <c r="F67" s="44">
        <f t="shared" si="3"/>
        <v>2482263.8115758896</v>
      </c>
    </row>
  </sheetData>
  <pageMargins left="0.7" right="0.7" top="0.75" bottom="0.75" header="0.3" footer="0.3"/>
  <legacyDrawing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C34D4-B50B-4976-AEEB-B480B706DB95}">
  <dimension ref="A1"/>
  <sheetViews>
    <sheetView workbookViewId="0">
      <selection activeCell="G14" sqref="G14"/>
    </sheetView>
  </sheetViews>
  <sheetFormatPr defaultRowHeight="14.4" x14ac:dyDescent="0.3"/>
  <sheetData/>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FBDF0-D1AE-45B0-9A16-AAE81F268FFC}">
  <dimension ref="A1"/>
  <sheetViews>
    <sheetView workbookViewId="0">
      <selection activeCell="G14" sqref="G14"/>
    </sheetView>
  </sheetViews>
  <sheetFormatPr defaultRowHeight="14.4" x14ac:dyDescent="0.3"/>
  <sheetData/>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FD461-E2DB-45A3-8B67-828FD4320F9B}">
  <dimension ref="A1"/>
  <sheetViews>
    <sheetView workbookViewId="0">
      <selection activeCell="G14" sqref="G14"/>
    </sheetView>
  </sheetViews>
  <sheetFormatPr defaultRowHeight="14.4" x14ac:dyDescent="0.3"/>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62B4F-0BD5-4C7C-95C3-A54241B52CAC}">
  <sheetPr>
    <tabColor rgb="FFFF0000"/>
  </sheetPr>
  <dimension ref="A1:K27"/>
  <sheetViews>
    <sheetView workbookViewId="0">
      <selection activeCell="L15" sqref="L15"/>
    </sheetView>
  </sheetViews>
  <sheetFormatPr defaultRowHeight="14.4" x14ac:dyDescent="0.3"/>
  <cols>
    <col min="1" max="1" width="2" customWidth="1"/>
    <col min="2" max="2" width="17" customWidth="1"/>
    <col min="3" max="3" width="14.88671875" customWidth="1"/>
    <col min="4" max="4" width="3.109375" customWidth="1"/>
    <col min="5" max="5" width="2" customWidth="1"/>
    <col min="6" max="6" width="17" customWidth="1"/>
    <col min="7" max="7" width="14.88671875" customWidth="1"/>
    <col min="8" max="8" width="3.109375" customWidth="1"/>
    <col min="9" max="9" width="3" customWidth="1"/>
    <col min="10" max="10" width="17" customWidth="1"/>
    <col min="11" max="11" width="14.88671875" customWidth="1"/>
  </cols>
  <sheetData>
    <row r="1" spans="1:11" ht="43.2" x14ac:dyDescent="0.3">
      <c r="A1" s="63">
        <v>6</v>
      </c>
      <c r="B1" s="64" t="s">
        <v>116</v>
      </c>
      <c r="C1" s="64"/>
      <c r="E1" s="63">
        <v>8</v>
      </c>
      <c r="F1" s="65" t="s">
        <v>117</v>
      </c>
      <c r="G1" s="65"/>
      <c r="I1" s="63">
        <v>10</v>
      </c>
      <c r="J1" s="65" t="s">
        <v>119</v>
      </c>
      <c r="K1" s="65"/>
    </row>
    <row r="2" spans="1:11" x14ac:dyDescent="0.3">
      <c r="B2" s="62" t="s">
        <v>108</v>
      </c>
      <c r="C2" s="62"/>
      <c r="F2" s="62" t="s">
        <v>108</v>
      </c>
      <c r="G2" s="62"/>
      <c r="J2" s="62" t="s">
        <v>108</v>
      </c>
      <c r="K2" s="62"/>
    </row>
    <row r="3" spans="1:11" x14ac:dyDescent="0.3">
      <c r="B3" s="1" t="s">
        <v>118</v>
      </c>
      <c r="C3" s="66">
        <v>40179</v>
      </c>
      <c r="F3" s="1" t="s">
        <v>120</v>
      </c>
      <c r="G3" s="66">
        <f>C3</f>
        <v>40179</v>
      </c>
      <c r="J3" s="1" t="s">
        <v>121</v>
      </c>
      <c r="K3" s="66">
        <f>EDATE(G3,24)</f>
        <v>40909</v>
      </c>
    </row>
    <row r="4" spans="1:11" x14ac:dyDescent="0.3">
      <c r="B4" s="1" t="s">
        <v>169</v>
      </c>
      <c r="C4" s="2">
        <v>-1000</v>
      </c>
      <c r="F4" s="1" t="s">
        <v>169</v>
      </c>
      <c r="G4" s="2">
        <f>-C4</f>
        <v>1000</v>
      </c>
      <c r="J4" s="1" t="s">
        <v>169</v>
      </c>
      <c r="K4" s="2">
        <f>G4</f>
        <v>1000</v>
      </c>
    </row>
    <row r="5" spans="1:11" x14ac:dyDescent="0.3">
      <c r="B5" s="1" t="s">
        <v>170</v>
      </c>
      <c r="C5" s="60">
        <v>0.1</v>
      </c>
      <c r="F5" s="1" t="s">
        <v>170</v>
      </c>
      <c r="G5" s="60">
        <f>C5</f>
        <v>0.1</v>
      </c>
      <c r="J5" s="1" t="s">
        <v>170</v>
      </c>
      <c r="K5" s="60">
        <f>G5</f>
        <v>0.1</v>
      </c>
    </row>
    <row r="6" spans="1:11" x14ac:dyDescent="0.3">
      <c r="B6" s="1" t="s">
        <v>60</v>
      </c>
      <c r="C6" s="1">
        <v>2</v>
      </c>
      <c r="F6" s="1" t="s">
        <v>60</v>
      </c>
      <c r="G6" s="25">
        <f>C6</f>
        <v>2</v>
      </c>
      <c r="J6" s="1" t="s">
        <v>60</v>
      </c>
      <c r="K6" s="25">
        <f>G6</f>
        <v>2</v>
      </c>
    </row>
    <row r="7" spans="1:11" x14ac:dyDescent="0.3">
      <c r="B7" s="1" t="s">
        <v>110</v>
      </c>
      <c r="C7" s="1">
        <v>3</v>
      </c>
      <c r="F7" s="1" t="s">
        <v>110</v>
      </c>
      <c r="G7" s="25">
        <f>C7</f>
        <v>3</v>
      </c>
      <c r="J7" s="1" t="s">
        <v>110</v>
      </c>
      <c r="K7" s="25">
        <f>$C$7-(YEAR(K3)-YEAR(G3))</f>
        <v>1</v>
      </c>
    </row>
    <row r="8" spans="1:11" x14ac:dyDescent="0.3">
      <c r="B8" s="1" t="s">
        <v>109</v>
      </c>
      <c r="C8" s="61">
        <f>C5/C6</f>
        <v>0.05</v>
      </c>
      <c r="F8" s="1" t="s">
        <v>109</v>
      </c>
      <c r="G8" s="61">
        <f>G5/G6</f>
        <v>0.05</v>
      </c>
      <c r="J8" s="1" t="s">
        <v>109</v>
      </c>
      <c r="K8" s="61">
        <f>K5/K6</f>
        <v>0.05</v>
      </c>
    </row>
    <row r="9" spans="1:11" x14ac:dyDescent="0.3">
      <c r="B9" s="1" t="s">
        <v>111</v>
      </c>
      <c r="C9" s="6">
        <f>C6*C7</f>
        <v>6</v>
      </c>
      <c r="F9" s="1" t="s">
        <v>111</v>
      </c>
      <c r="G9" s="6">
        <f>G6*G7</f>
        <v>6</v>
      </c>
      <c r="J9" s="1" t="s">
        <v>111</v>
      </c>
      <c r="K9" s="6">
        <f>K6*K7</f>
        <v>2</v>
      </c>
    </row>
    <row r="10" spans="1:11" x14ac:dyDescent="0.3">
      <c r="B10" s="1" t="s">
        <v>168</v>
      </c>
      <c r="C10" s="3">
        <f>C4*C8</f>
        <v>-50</v>
      </c>
      <c r="F10" s="1" t="s">
        <v>115</v>
      </c>
      <c r="G10" s="3">
        <f>G4*G8</f>
        <v>50</v>
      </c>
      <c r="J10" s="1" t="s">
        <v>168</v>
      </c>
      <c r="K10" s="3">
        <f>K8*K4</f>
        <v>50</v>
      </c>
    </row>
    <row r="11" spans="1:11" x14ac:dyDescent="0.3">
      <c r="B11" s="1" t="s">
        <v>113</v>
      </c>
      <c r="C11" s="60">
        <v>0.11</v>
      </c>
      <c r="F11" s="1" t="s">
        <v>113</v>
      </c>
      <c r="G11" s="60">
        <f>C11</f>
        <v>0.11</v>
      </c>
      <c r="J11" s="1" t="s">
        <v>113</v>
      </c>
      <c r="K11" s="60">
        <v>0.09</v>
      </c>
    </row>
    <row r="12" spans="1:11" x14ac:dyDescent="0.3">
      <c r="B12" s="1" t="s">
        <v>114</v>
      </c>
      <c r="C12" s="61">
        <f>C11/C6</f>
        <v>5.5E-2</v>
      </c>
      <c r="F12" s="1" t="s">
        <v>114</v>
      </c>
      <c r="G12" s="61">
        <f>G11/G6</f>
        <v>5.5E-2</v>
      </c>
      <c r="J12" s="1" t="s">
        <v>114</v>
      </c>
      <c r="K12" s="61">
        <f>K11/K6</f>
        <v>4.4999999999999998E-2</v>
      </c>
    </row>
    <row r="13" spans="1:11" x14ac:dyDescent="0.3">
      <c r="B13" s="1" t="s">
        <v>82</v>
      </c>
      <c r="C13" s="3">
        <f>PV(C12,C9,C10,C4)</f>
        <v>975.02234845678151</v>
      </c>
      <c r="F13" s="1" t="s">
        <v>82</v>
      </c>
      <c r="G13" s="3">
        <f>PV(G12,G9,G10,G4)</f>
        <v>-975.02234845678151</v>
      </c>
      <c r="J13" s="1" t="s">
        <v>82</v>
      </c>
      <c r="K13" s="3">
        <f>PV(K12,K9,K10,K4)</f>
        <v>-1009.3633387514022</v>
      </c>
    </row>
    <row r="14" spans="1:11" x14ac:dyDescent="0.3">
      <c r="B14" s="1" t="s">
        <v>13</v>
      </c>
      <c r="C14" s="3">
        <f>-C10*((1-(1+C12)^-C9)/C12)-C4/(1+C12)^C9</f>
        <v>975.02234845678151</v>
      </c>
      <c r="F14" s="1" t="s">
        <v>13</v>
      </c>
      <c r="G14" s="3">
        <f>-G10*((1-(1+G12)^-G9)/G12)-G4/(1+G12)^G9</f>
        <v>-975.02234845678151</v>
      </c>
      <c r="J14" s="1" t="s">
        <v>13</v>
      </c>
      <c r="K14" s="3">
        <f>-K10*((1-(1+K12)^-K9)/K12)-K4/(1+K12)^K9</f>
        <v>-1009.3633387514024</v>
      </c>
    </row>
    <row r="16" spans="1:11" x14ac:dyDescent="0.3">
      <c r="A16" s="63">
        <v>7</v>
      </c>
      <c r="B16" s="64" t="s">
        <v>116</v>
      </c>
      <c r="C16" s="64"/>
      <c r="E16" s="63">
        <v>9</v>
      </c>
      <c r="F16" s="65" t="s">
        <v>117</v>
      </c>
      <c r="G16" s="65"/>
    </row>
    <row r="17" spans="2:7" x14ac:dyDescent="0.3">
      <c r="B17" s="62" t="s">
        <v>112</v>
      </c>
      <c r="C17" s="62"/>
      <c r="F17" s="62" t="s">
        <v>112</v>
      </c>
      <c r="G17" s="62"/>
    </row>
    <row r="18" spans="2:7" x14ac:dyDescent="0.3">
      <c r="B18" s="1" t="s">
        <v>169</v>
      </c>
      <c r="C18" s="2">
        <f t="shared" ref="C18:C23" si="0">C4</f>
        <v>-1000</v>
      </c>
      <c r="F18" s="1" t="s">
        <v>169</v>
      </c>
      <c r="G18" s="2">
        <f t="shared" ref="G18:G23" si="1">G4</f>
        <v>1000</v>
      </c>
    </row>
    <row r="19" spans="2:7" x14ac:dyDescent="0.3">
      <c r="B19" s="1" t="s">
        <v>170</v>
      </c>
      <c r="C19" s="60">
        <f t="shared" si="0"/>
        <v>0.1</v>
      </c>
      <c r="F19" s="1" t="s">
        <v>170</v>
      </c>
      <c r="G19" s="60">
        <f t="shared" si="1"/>
        <v>0.1</v>
      </c>
    </row>
    <row r="20" spans="2:7" x14ac:dyDescent="0.3">
      <c r="B20" s="1" t="s">
        <v>60</v>
      </c>
      <c r="C20" s="1">
        <f t="shared" si="0"/>
        <v>2</v>
      </c>
      <c r="F20" s="1" t="s">
        <v>60</v>
      </c>
      <c r="G20" s="1">
        <f t="shared" si="1"/>
        <v>2</v>
      </c>
    </row>
    <row r="21" spans="2:7" x14ac:dyDescent="0.3">
      <c r="B21" s="1" t="s">
        <v>110</v>
      </c>
      <c r="C21" s="1">
        <f t="shared" si="0"/>
        <v>3</v>
      </c>
      <c r="F21" s="1" t="s">
        <v>110</v>
      </c>
      <c r="G21" s="1">
        <f t="shared" si="1"/>
        <v>3</v>
      </c>
    </row>
    <row r="22" spans="2:7" x14ac:dyDescent="0.3">
      <c r="B22" s="1" t="s">
        <v>109</v>
      </c>
      <c r="C22" s="60">
        <f t="shared" si="0"/>
        <v>0.05</v>
      </c>
      <c r="F22" s="1" t="s">
        <v>109</v>
      </c>
      <c r="G22" s="60">
        <f t="shared" si="1"/>
        <v>0.05</v>
      </c>
    </row>
    <row r="23" spans="2:7" x14ac:dyDescent="0.3">
      <c r="B23" s="1" t="s">
        <v>111</v>
      </c>
      <c r="C23" s="1">
        <f t="shared" si="0"/>
        <v>6</v>
      </c>
      <c r="F23" s="1" t="s">
        <v>111</v>
      </c>
      <c r="G23" s="1">
        <f t="shared" si="1"/>
        <v>6</v>
      </c>
    </row>
    <row r="24" spans="2:7" x14ac:dyDescent="0.3">
      <c r="B24" s="1" t="s">
        <v>113</v>
      </c>
      <c r="C24" s="60">
        <f>C11</f>
        <v>0.11</v>
      </c>
      <c r="F24" s="1" t="s">
        <v>113</v>
      </c>
      <c r="G24" s="60">
        <f>G11</f>
        <v>0.11</v>
      </c>
    </row>
    <row r="25" spans="2:7" x14ac:dyDescent="0.3">
      <c r="B25" s="1" t="s">
        <v>114</v>
      </c>
      <c r="C25" s="60">
        <f>C12</f>
        <v>5.5E-2</v>
      </c>
      <c r="F25" s="1" t="s">
        <v>114</v>
      </c>
      <c r="G25" s="60">
        <f>G12</f>
        <v>5.5E-2</v>
      </c>
    </row>
    <row r="26" spans="2:7" x14ac:dyDescent="0.3">
      <c r="B26" s="1" t="s">
        <v>82</v>
      </c>
      <c r="C26" s="3">
        <f>PV(C25,C23,,C18)</f>
        <v>725.24583302459655</v>
      </c>
      <c r="F26" s="1" t="s">
        <v>82</v>
      </c>
      <c r="G26" s="3">
        <f>PV(G25,G23,,G18)</f>
        <v>-725.24583302459655</v>
      </c>
    </row>
    <row r="27" spans="2:7" x14ac:dyDescent="0.3">
      <c r="B27" s="1" t="s">
        <v>13</v>
      </c>
      <c r="C27" s="3">
        <f>-C18/(1+C25)^C23</f>
        <v>725.24583302459655</v>
      </c>
      <c r="F27" s="1" t="s">
        <v>13</v>
      </c>
      <c r="G27" s="3">
        <f>-G18/(1+G25)^G23</f>
        <v>-725.24583302459655</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60F06-0D87-4814-8651-F244B0DAB90C}">
  <sheetPr>
    <tabColor rgb="FF0000FF"/>
  </sheetPr>
  <dimension ref="A1:D11"/>
  <sheetViews>
    <sheetView zoomScale="160" zoomScaleNormal="160" workbookViewId="0">
      <selection activeCell="B8" sqref="B8"/>
    </sheetView>
  </sheetViews>
  <sheetFormatPr defaultRowHeight="14.4" x14ac:dyDescent="0.3"/>
  <cols>
    <col min="1" max="1" width="28.6640625" bestFit="1" customWidth="1"/>
    <col min="2" max="2" width="10.109375" bestFit="1" customWidth="1"/>
  </cols>
  <sheetData>
    <row r="1" spans="1:4" ht="28.8" x14ac:dyDescent="0.3">
      <c r="A1" s="65" t="s">
        <v>119</v>
      </c>
      <c r="B1" s="65"/>
    </row>
    <row r="2" spans="1:4" x14ac:dyDescent="0.3">
      <c r="A2" s="62" t="s">
        <v>108</v>
      </c>
      <c r="B2" s="62"/>
    </row>
    <row r="3" spans="1:4" x14ac:dyDescent="0.3">
      <c r="A3" s="1" t="s">
        <v>122</v>
      </c>
      <c r="B3" s="67">
        <v>-1009.3633387514022</v>
      </c>
    </row>
    <row r="4" spans="1:4" x14ac:dyDescent="0.3">
      <c r="A4" s="1" t="s">
        <v>171</v>
      </c>
      <c r="B4" s="2">
        <v>1000</v>
      </c>
    </row>
    <row r="5" spans="1:4" x14ac:dyDescent="0.3">
      <c r="A5" s="1" t="s">
        <v>172</v>
      </c>
      <c r="B5" s="14">
        <v>50</v>
      </c>
    </row>
    <row r="6" spans="1:4" x14ac:dyDescent="0.3">
      <c r="A6" s="1" t="s">
        <v>125</v>
      </c>
      <c r="B6" s="68">
        <v>1</v>
      </c>
    </row>
    <row r="7" spans="1:4" x14ac:dyDescent="0.3">
      <c r="A7" s="1" t="s">
        <v>124</v>
      </c>
      <c r="B7" s="68">
        <v>2</v>
      </c>
    </row>
    <row r="8" spans="1:4" x14ac:dyDescent="0.3">
      <c r="A8" s="1" t="s">
        <v>123</v>
      </c>
      <c r="B8" s="22"/>
    </row>
    <row r="9" spans="1:4" x14ac:dyDescent="0.3">
      <c r="A9" s="1" t="s">
        <v>114</v>
      </c>
      <c r="B9" s="61"/>
    </row>
    <row r="10" spans="1:4" x14ac:dyDescent="0.3">
      <c r="A10" s="1" t="s">
        <v>113</v>
      </c>
      <c r="B10" s="61"/>
      <c r="D10" t="s">
        <v>127</v>
      </c>
    </row>
    <row r="11" spans="1:4" x14ac:dyDescent="0.3">
      <c r="A11" s="1" t="s">
        <v>126</v>
      </c>
      <c r="B11" s="69"/>
      <c r="D11" s="109"/>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6AE01-C29B-4022-94FC-FAED5FCEF9CD}">
  <sheetPr>
    <tabColor rgb="FFFF0000"/>
  </sheetPr>
  <dimension ref="A1:D11"/>
  <sheetViews>
    <sheetView zoomScale="145" zoomScaleNormal="145" workbookViewId="0">
      <selection activeCell="B11" sqref="B11"/>
    </sheetView>
  </sheetViews>
  <sheetFormatPr defaultRowHeight="14.4" x14ac:dyDescent="0.3"/>
  <cols>
    <col min="1" max="1" width="27.88671875" bestFit="1" customWidth="1"/>
    <col min="2" max="2" width="14.88671875" customWidth="1"/>
  </cols>
  <sheetData>
    <row r="1" spans="1:4" ht="28.8" x14ac:dyDescent="0.3">
      <c r="A1" s="65" t="s">
        <v>119</v>
      </c>
      <c r="B1" s="65"/>
    </row>
    <row r="2" spans="1:4" x14ac:dyDescent="0.3">
      <c r="A2" s="62" t="s">
        <v>108</v>
      </c>
      <c r="B2" s="62"/>
    </row>
    <row r="3" spans="1:4" x14ac:dyDescent="0.3">
      <c r="A3" s="1" t="s">
        <v>122</v>
      </c>
      <c r="B3" s="67">
        <v>-1009.3633387514022</v>
      </c>
    </row>
    <row r="4" spans="1:4" x14ac:dyDescent="0.3">
      <c r="A4" s="1" t="s">
        <v>171</v>
      </c>
      <c r="B4" s="2">
        <v>1000</v>
      </c>
    </row>
    <row r="5" spans="1:4" x14ac:dyDescent="0.3">
      <c r="A5" s="1" t="s">
        <v>172</v>
      </c>
      <c r="B5" s="14">
        <v>50</v>
      </c>
    </row>
    <row r="6" spans="1:4" x14ac:dyDescent="0.3">
      <c r="A6" s="1" t="s">
        <v>125</v>
      </c>
      <c r="B6" s="68">
        <v>1</v>
      </c>
    </row>
    <row r="7" spans="1:4" x14ac:dyDescent="0.3">
      <c r="A7" s="1" t="s">
        <v>124</v>
      </c>
      <c r="B7" s="68">
        <v>2</v>
      </c>
    </row>
    <row r="8" spans="1:4" x14ac:dyDescent="0.3">
      <c r="A8" s="1" t="s">
        <v>123</v>
      </c>
      <c r="B8" s="22">
        <f>B7*B6</f>
        <v>2</v>
      </c>
    </row>
    <row r="9" spans="1:4" x14ac:dyDescent="0.3">
      <c r="A9" s="1" t="s">
        <v>114</v>
      </c>
      <c r="B9" s="61">
        <f>RATE(B8,B5,B3,B4)</f>
        <v>4.500000000050175E-2</v>
      </c>
    </row>
    <row r="10" spans="1:4" x14ac:dyDescent="0.3">
      <c r="A10" s="1" t="s">
        <v>113</v>
      </c>
      <c r="B10" s="61">
        <f>B9*B8</f>
        <v>9.00000000010035E-2</v>
      </c>
      <c r="D10" t="s">
        <v>127</v>
      </c>
    </row>
    <row r="11" spans="1:4" x14ac:dyDescent="0.3">
      <c r="A11" s="1" t="s">
        <v>126</v>
      </c>
      <c r="B11" s="69">
        <f>EFFECT(B10,B7)</f>
        <v>9.202500000104874E-2</v>
      </c>
      <c r="D11" s="109">
        <f>(1+B9)^B7-1</f>
        <v>9.202500000104874E-2</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2A0A4-AF7A-4B05-9730-046B54085665}">
  <sheetPr>
    <tabColor rgb="FF0000FF"/>
  </sheetPr>
  <dimension ref="A1"/>
  <sheetViews>
    <sheetView zoomScale="175" zoomScaleNormal="175" workbookViewId="0">
      <selection activeCell="B3" sqref="B3"/>
    </sheetView>
  </sheetViews>
  <sheetFormatPr defaultRowHeight="14.4" x14ac:dyDescent="0.3"/>
  <cols>
    <col min="1" max="1" width="28.88671875" bestFit="1" customWidth="1"/>
  </cols>
  <sheetData>
    <row r="1" spans="1:1" x14ac:dyDescent="0.3">
      <c r="A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59</vt:i4>
      </vt:variant>
      <vt:variant>
        <vt:lpstr>Named Ranges</vt:lpstr>
      </vt:variant>
      <vt:variant>
        <vt:i4>1</vt:i4>
      </vt:variant>
    </vt:vector>
  </HeadingPairs>
  <TitlesOfParts>
    <vt:vector size="60" baseType="lpstr">
      <vt:lpstr>1&amp;2</vt:lpstr>
      <vt:lpstr>1&amp;2an</vt:lpstr>
      <vt:lpstr>3&amp;4&amp;5</vt:lpstr>
      <vt:lpstr>3&amp;4&amp;5an</vt:lpstr>
      <vt:lpstr>6-10</vt:lpstr>
      <vt:lpstr>6-10an</vt:lpstr>
      <vt:lpstr>11</vt:lpstr>
      <vt:lpstr>11an</vt:lpstr>
      <vt:lpstr>12</vt:lpstr>
      <vt:lpstr>12an</vt:lpstr>
      <vt:lpstr>13</vt:lpstr>
      <vt:lpstr>13an</vt:lpstr>
      <vt:lpstr>13.5-1</vt:lpstr>
      <vt:lpstr>13.5-1an</vt:lpstr>
      <vt:lpstr>13.5-2</vt:lpstr>
      <vt:lpstr>13.5-3</vt:lpstr>
      <vt:lpstr>13.5-3an</vt:lpstr>
      <vt:lpstr>13.5-4D</vt:lpstr>
      <vt:lpstr>13.5-4Dan</vt:lpstr>
      <vt:lpstr>13.5-4P</vt:lpstr>
      <vt:lpstr>13.5-4Pan</vt:lpstr>
      <vt:lpstr>14</vt:lpstr>
      <vt:lpstr>14an</vt:lpstr>
      <vt:lpstr>14.5</vt:lpstr>
      <vt:lpstr>14.5an</vt:lpstr>
      <vt:lpstr>15</vt:lpstr>
      <vt:lpstr>15an</vt:lpstr>
      <vt:lpstr>HW Templates ==&gt;</vt:lpstr>
      <vt:lpstr>STP6.1</vt:lpstr>
      <vt:lpstr>STP6.1 (an)</vt:lpstr>
      <vt:lpstr>STP6.2</vt:lpstr>
      <vt:lpstr>STP6.2 (an)</vt:lpstr>
      <vt:lpstr>CTandCR 15a&amp;b</vt:lpstr>
      <vt:lpstr>CTandCR 15a&amp;b (an)</vt:lpstr>
      <vt:lpstr>Q&amp;P(2)</vt:lpstr>
      <vt:lpstr>Q&amp;P(2an)</vt:lpstr>
      <vt:lpstr>Q&amp;P(3)</vt:lpstr>
      <vt:lpstr>Q&amp;P(3an)</vt:lpstr>
      <vt:lpstr>Q&amp;P(4)</vt:lpstr>
      <vt:lpstr>Q&amp;P(4an)</vt:lpstr>
      <vt:lpstr>Q&amp;P(5)</vt:lpstr>
      <vt:lpstr>Q&amp;P(5an)</vt:lpstr>
      <vt:lpstr>Q&amp;P(6)</vt:lpstr>
      <vt:lpstr>Q&amp;P(6an)</vt:lpstr>
      <vt:lpstr>Q&amp;P(7)</vt:lpstr>
      <vt:lpstr>Q&amp;P(7an)</vt:lpstr>
      <vt:lpstr>Q&amp;P(9)</vt:lpstr>
      <vt:lpstr>Q&amp;P(9an)</vt:lpstr>
      <vt:lpstr>Q&amp;P(11)</vt:lpstr>
      <vt:lpstr>Q&amp;P(11an)</vt:lpstr>
      <vt:lpstr>Q&amp;P(12)</vt:lpstr>
      <vt:lpstr>Q&amp;P(12an)</vt:lpstr>
      <vt:lpstr>Q&amp;P(21)</vt:lpstr>
      <vt:lpstr>Q&amp;P(21an)</vt:lpstr>
      <vt:lpstr>Q&amp;P(23a&amp;b)</vt:lpstr>
      <vt:lpstr>Q&amp;P(23a&amp;b) (an)</vt:lpstr>
      <vt:lpstr>WOW6.1</vt:lpstr>
      <vt:lpstr>WOW6.2</vt:lpstr>
      <vt:lpstr>WOW6.3</vt:lpstr>
      <vt:lpstr>'13.5-2'!Print_Area</vt:lpstr>
    </vt:vector>
  </TitlesOfParts>
  <Company>Highline Community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Girvin</dc:creator>
  <cp:lastModifiedBy>Girvin, Michael</cp:lastModifiedBy>
  <cp:lastPrinted>2010-10-22T20:42:11Z</cp:lastPrinted>
  <dcterms:created xsi:type="dcterms:W3CDTF">2010-10-18T20:19:03Z</dcterms:created>
  <dcterms:modified xsi:type="dcterms:W3CDTF">2025-01-31T21:56:10Z</dcterms:modified>
</cp:coreProperties>
</file>