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16"/>
  <workbookPr defaultThemeVersion="124226"/>
  <mc:AlternateContent xmlns:mc="http://schemas.openxmlformats.org/markup-compatibility/2006">
    <mc:Choice Requires="x15">
      <x15ac:absPath xmlns:x15ac="http://schemas.microsoft.com/office/spreadsheetml/2010/11/ac" url="C:\Users\mgirvin\Desktop\00-455-2025\02-VideosFilesHomework\Ch05\"/>
    </mc:Choice>
  </mc:AlternateContent>
  <xr:revisionPtr revIDLastSave="0" documentId="13_ncr:1_{B51745EE-AD6F-48A2-9046-356B19FEA672}" xr6:coauthVersionLast="47" xr6:coauthVersionMax="47" xr10:uidLastSave="{00000000-0000-0000-0000-000000000000}"/>
  <bookViews>
    <workbookView xWindow="-108" yWindow="-108" windowWidth="23256" windowHeight="12576" xr2:uid="{00000000-000D-0000-FFFF-FFFF00000000}"/>
  </bookViews>
  <sheets>
    <sheet name="1&amp;2" sheetId="1" r:id="rId1"/>
    <sheet name="1&amp;2 (an)" sheetId="4" r:id="rId2"/>
    <sheet name="3" sheetId="2" r:id="rId3"/>
    <sheet name="3 (an)" sheetId="8" r:id="rId4"/>
    <sheet name="4" sheetId="6" r:id="rId5"/>
    <sheet name="4 (an)" sheetId="9" r:id="rId6"/>
    <sheet name="5" sheetId="7" r:id="rId7"/>
    <sheet name="5 (an)" sheetId="10" r:id="rId8"/>
    <sheet name="xxxx" sheetId="3" state="hidden" r:id="rId9"/>
    <sheet name="6&amp;7&amp;8" sheetId="12" r:id="rId10"/>
    <sheet name="6&amp;7&amp;8 (an)" sheetId="13" r:id="rId11"/>
    <sheet name="6.5" sheetId="94" r:id="rId12"/>
    <sheet name="6.5 (an)" sheetId="95" r:id="rId13"/>
    <sheet name="9" sheetId="14" r:id="rId14"/>
    <sheet name="9 (n)" sheetId="15" r:id="rId15"/>
    <sheet name="10" sheetId="16" r:id="rId16"/>
    <sheet name="10 (an)" sheetId="17" r:id="rId17"/>
    <sheet name="11" sheetId="18" r:id="rId18"/>
    <sheet name="11 (an)" sheetId="19" r:id="rId19"/>
    <sheet name="12" sheetId="20" r:id="rId20"/>
    <sheet name="12 (an)" sheetId="21" r:id="rId21"/>
    <sheet name="12.5" sheetId="92" r:id="rId22"/>
    <sheet name="12.5 (an)" sheetId="93" r:id="rId23"/>
    <sheet name="13" sheetId="22" r:id="rId24"/>
    <sheet name="13 (an)" sheetId="23" r:id="rId25"/>
    <sheet name="14" sheetId="24" r:id="rId26"/>
    <sheet name="14 (an)" sheetId="25" r:id="rId27"/>
    <sheet name="15" sheetId="26" r:id="rId28"/>
    <sheet name="15 (an)" sheetId="104" r:id="rId29"/>
    <sheet name="16" sheetId="28" r:id="rId30"/>
    <sheet name="16 (an)" sheetId="29" r:id="rId31"/>
    <sheet name="17" sheetId="30" r:id="rId32"/>
    <sheet name="17 (an)" sheetId="31" r:id="rId33"/>
    <sheet name="18" sheetId="32" r:id="rId34"/>
    <sheet name="18 (an)" sheetId="33" r:id="rId35"/>
    <sheet name="FC" sheetId="101" r:id="rId36"/>
    <sheet name="19&amp;20" sheetId="34" r:id="rId37"/>
    <sheet name="19&amp;20 (an)" sheetId="35" r:id="rId38"/>
    <sheet name="21" sheetId="36" r:id="rId39"/>
    <sheet name="21 (an)" sheetId="37" r:id="rId40"/>
    <sheet name="CF pattern" sheetId="102" r:id="rId41"/>
    <sheet name="22" sheetId="38" r:id="rId42"/>
    <sheet name="22 (an)" sheetId="39" r:id="rId43"/>
    <sheet name="22.5" sheetId="97" r:id="rId44"/>
    <sheet name="22.5 (an)" sheetId="98" r:id="rId45"/>
    <sheet name="23" sheetId="40" r:id="rId46"/>
    <sheet name="23 (an)" sheetId="41" r:id="rId47"/>
    <sheet name="24" sheetId="42" r:id="rId48"/>
    <sheet name="24 (an)" sheetId="43" r:id="rId49"/>
    <sheet name="25" sheetId="44" r:id="rId50"/>
    <sheet name="25 (an)" sheetId="45" r:id="rId51"/>
    <sheet name="26" sheetId="46" r:id="rId52"/>
    <sheet name="26 (an)" sheetId="47" r:id="rId53"/>
    <sheet name="27" sheetId="48" r:id="rId54"/>
    <sheet name="27 (an)" sheetId="49" r:id="rId55"/>
    <sheet name="28" sheetId="50" r:id="rId56"/>
    <sheet name="28 (an)" sheetId="51" r:id="rId57"/>
    <sheet name="29" sheetId="52" r:id="rId58"/>
    <sheet name="29 (an)" sheetId="53" r:id="rId59"/>
    <sheet name="30" sheetId="54" r:id="rId60"/>
    <sheet name="30 (an)" sheetId="103" r:id="rId61"/>
    <sheet name="Tax advantage" sheetId="55" r:id="rId62"/>
  </sheets>
  <definedNames>
    <definedName name="b" localSheetId="28">#REF!</definedName>
    <definedName name="b">#REF!</definedName>
    <definedName name="cp" localSheetId="28">#REF!</definedName>
    <definedName name="cp">#REF!</definedName>
    <definedName name="p" localSheetId="28">#REF!</definedName>
    <definedName name="p">#REF!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51" l="1"/>
  <c r="G11" i="103" a="1"/>
  <c r="G11" i="103" s="1"/>
  <c r="H10" i="103" a="1"/>
  <c r="H10" i="103" s="1"/>
  <c r="F10" i="103" a="1"/>
  <c r="F10" i="103" s="1"/>
  <c r="G6" i="103"/>
  <c r="G3" i="103"/>
  <c r="G1" i="103"/>
  <c r="H11" i="53" a="1"/>
  <c r="H11" i="53" s="1"/>
  <c r="B7" i="53"/>
  <c r="H6" i="53"/>
  <c r="H3" i="53"/>
  <c r="K10" i="51"/>
  <c r="H6" i="51"/>
  <c r="H3" i="51"/>
  <c r="H7" i="51" s="1"/>
  <c r="E10" i="49" a="1"/>
  <c r="E10" i="49" s="1"/>
  <c r="B13" i="25"/>
  <c r="I8" i="10" a="1"/>
  <c r="I8" i="10" s="1"/>
  <c r="H8" i="10" a="1"/>
  <c r="H8" i="10" s="1"/>
  <c r="G4" i="10"/>
  <c r="F17" i="10" a="1"/>
  <c r="F17" i="10" s="1"/>
  <c r="K24" i="9" a="1"/>
  <c r="K24" i="9" s="1"/>
  <c r="J24" i="9" a="1"/>
  <c r="J24" i="9" s="1"/>
  <c r="H20" i="9"/>
  <c r="I20" i="9"/>
  <c r="I9" i="9" a="1"/>
  <c r="I9" i="9" s="1"/>
  <c r="H9" i="9" a="1"/>
  <c r="H9" i="9" s="1"/>
  <c r="K22" i="8" a="1"/>
  <c r="K22" i="8" s="1"/>
  <c r="K21" i="8" a="1"/>
  <c r="K21" i="8" s="1"/>
  <c r="H20" i="8"/>
  <c r="I20" i="8"/>
  <c r="I9" i="8" a="1"/>
  <c r="I9" i="8" s="1"/>
  <c r="H9" i="8" a="1"/>
  <c r="H9" i="8" s="1"/>
  <c r="C13" i="104"/>
  <c r="E11" i="104"/>
  <c r="E10" i="104"/>
  <c r="E8" i="104"/>
  <c r="C8" i="104"/>
  <c r="C10" i="104" s="1"/>
  <c r="C11" i="104" s="1"/>
  <c r="C12" i="104" s="1"/>
  <c r="B15" i="104" s="1"/>
  <c r="B1" i="104"/>
  <c r="E10" i="26"/>
  <c r="E11" i="26"/>
  <c r="G10" i="53" l="1" a="1"/>
  <c r="G10" i="53" s="1"/>
  <c r="H7" i="53"/>
  <c r="G10" i="51" a="1"/>
  <c r="H11" i="51" a="1"/>
  <c r="B6" i="103"/>
  <c r="B3" i="103"/>
  <c r="D1" i="103"/>
  <c r="B1" i="103"/>
  <c r="C10" i="103" s="1"/>
  <c r="A11" i="53"/>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E10" i="53"/>
  <c r="B6" i="53"/>
  <c r="B3" i="53"/>
  <c r="A10" i="52"/>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E9" i="52"/>
  <c r="B6" i="52"/>
  <c r="B3" i="52"/>
  <c r="E10" i="51"/>
  <c r="B6" i="51"/>
  <c r="B3" i="51"/>
  <c r="B7" i="51" s="1"/>
  <c r="C19" i="49"/>
  <c r="B6" i="49"/>
  <c r="B18" i="49" s="1"/>
  <c r="B6" i="45"/>
  <c r="B7" i="45" s="1"/>
  <c r="B8" i="45" s="1"/>
  <c r="B6" i="43"/>
  <c r="B7" i="41"/>
  <c r="B9" i="41" s="1"/>
  <c r="B10" i="41" s="1"/>
  <c r="A1" i="41"/>
  <c r="B10" i="40"/>
  <c r="C44" i="98"/>
  <c r="C42" i="98"/>
  <c r="C41" i="98"/>
  <c r="C43" i="98" s="1"/>
  <c r="E35" i="98"/>
  <c r="E33" i="98"/>
  <c r="I36" i="98" s="1"/>
  <c r="E28" i="98"/>
  <c r="C27" i="98"/>
  <c r="E26" i="98"/>
  <c r="C29" i="98" s="1"/>
  <c r="B24" i="98"/>
  <c r="E22" i="98"/>
  <c r="E20" i="98"/>
  <c r="E21" i="98" s="1"/>
  <c r="C19" i="98"/>
  <c r="E18" i="98"/>
  <c r="E19" i="98" s="1"/>
  <c r="C18" i="98"/>
  <c r="C20" i="98" s="1"/>
  <c r="C22" i="98" s="1"/>
  <c r="E13" i="98"/>
  <c r="C12" i="98"/>
  <c r="C14" i="98" s="1"/>
  <c r="E11" i="98"/>
  <c r="C13" i="98" s="1"/>
  <c r="B9" i="98" s="1"/>
  <c r="A7" i="98"/>
  <c r="A6" i="98"/>
  <c r="A5" i="98"/>
  <c r="A4" i="98"/>
  <c r="A3" i="98"/>
  <c r="A2" i="98"/>
  <c r="A1" i="98"/>
  <c r="C14" i="97"/>
  <c r="C41" i="97"/>
  <c r="C43" i="97" s="1"/>
  <c r="C42" i="97"/>
  <c r="B7" i="37"/>
  <c r="B8" i="37" s="1"/>
  <c r="B6" i="37"/>
  <c r="A1" i="37"/>
  <c r="B20" i="35"/>
  <c r="B16" i="35"/>
  <c r="A10" i="35"/>
  <c r="B7" i="35"/>
  <c r="B11" i="35" s="1"/>
  <c r="B6" i="35"/>
  <c r="A1" i="35"/>
  <c r="B8" i="34"/>
  <c r="E35" i="97"/>
  <c r="E33" i="97"/>
  <c r="C36" i="97" s="1"/>
  <c r="B31" i="97" s="1"/>
  <c r="E28" i="97"/>
  <c r="C27" i="97"/>
  <c r="E26" i="97"/>
  <c r="E22" i="97"/>
  <c r="E20" i="97"/>
  <c r="C19" i="97"/>
  <c r="E18" i="97"/>
  <c r="B17" i="97" s="1"/>
  <c r="C18" i="97"/>
  <c r="C20" i="97" s="1"/>
  <c r="B9" i="97"/>
  <c r="A7" i="97"/>
  <c r="A6" i="97"/>
  <c r="A5" i="97"/>
  <c r="A4" i="97"/>
  <c r="A3" i="97"/>
  <c r="A2" i="97"/>
  <c r="A1" i="97"/>
  <c r="B15" i="33"/>
  <c r="G15" i="33" s="1"/>
  <c r="B14" i="33"/>
  <c r="G14" i="33" s="1"/>
  <c r="B13" i="33"/>
  <c r="G13" i="33" s="1"/>
  <c r="G16" i="33" s="1"/>
  <c r="E6" i="33"/>
  <c r="E5" i="33"/>
  <c r="B7" i="33" s="1"/>
  <c r="B8" i="33" s="1"/>
  <c r="A1" i="33"/>
  <c r="J11" i="53" l="1" a="1"/>
  <c r="J11" i="53" s="1"/>
  <c r="K10" i="53" a="1"/>
  <c r="G10" i="51"/>
  <c r="I11" i="51" s="1" a="1"/>
  <c r="H11" i="51"/>
  <c r="C45" i="98"/>
  <c r="C46" i="98" s="1"/>
  <c r="C15" i="98"/>
  <c r="B7" i="43"/>
  <c r="B9" i="43"/>
  <c r="B11" i="103"/>
  <c r="C11" i="103" s="1"/>
  <c r="D49" i="53"/>
  <c r="D47" i="53"/>
  <c r="D45" i="53"/>
  <c r="D43" i="53"/>
  <c r="D41" i="53"/>
  <c r="D39" i="53"/>
  <c r="D37" i="53"/>
  <c r="D35" i="53"/>
  <c r="D33" i="53"/>
  <c r="D31" i="53"/>
  <c r="D29" i="53"/>
  <c r="D27" i="53"/>
  <c r="D25" i="53"/>
  <c r="D23" i="53"/>
  <c r="D21" i="53"/>
  <c r="D19" i="53"/>
  <c r="D17" i="53"/>
  <c r="D50" i="53"/>
  <c r="D48" i="53"/>
  <c r="D46" i="53"/>
  <c r="D44" i="53"/>
  <c r="D42" i="53"/>
  <c r="D40" i="53"/>
  <c r="D38" i="53"/>
  <c r="D36" i="53"/>
  <c r="D34" i="53"/>
  <c r="D32" i="53"/>
  <c r="D30" i="53"/>
  <c r="D28" i="53"/>
  <c r="D26" i="53"/>
  <c r="D24" i="53"/>
  <c r="D22" i="53"/>
  <c r="D20" i="53"/>
  <c r="D18" i="53"/>
  <c r="C11" i="53"/>
  <c r="D12" i="53"/>
  <c r="D14" i="53"/>
  <c r="D16" i="53"/>
  <c r="D11" i="53"/>
  <c r="E11" i="53" s="1"/>
  <c r="D13" i="53"/>
  <c r="D15" i="53"/>
  <c r="B370" i="51"/>
  <c r="B369" i="51"/>
  <c r="B368" i="51"/>
  <c r="B367" i="51"/>
  <c r="B366" i="51"/>
  <c r="B365" i="51"/>
  <c r="B364" i="51"/>
  <c r="B363" i="51"/>
  <c r="B362" i="51"/>
  <c r="B361" i="51"/>
  <c r="B360" i="51"/>
  <c r="B359" i="51"/>
  <c r="B358" i="51"/>
  <c r="B357" i="51"/>
  <c r="B356" i="51"/>
  <c r="B355" i="51"/>
  <c r="B354" i="51"/>
  <c r="B353" i="51"/>
  <c r="B352" i="51"/>
  <c r="B351" i="51"/>
  <c r="B350" i="51"/>
  <c r="B349" i="51"/>
  <c r="B348" i="51"/>
  <c r="B347" i="51"/>
  <c r="B346" i="51"/>
  <c r="B345" i="51"/>
  <c r="B344" i="51"/>
  <c r="B343" i="51"/>
  <c r="B342" i="51"/>
  <c r="B341" i="51"/>
  <c r="B340" i="51"/>
  <c r="B339" i="51"/>
  <c r="B338" i="51"/>
  <c r="B337" i="51"/>
  <c r="B336" i="51"/>
  <c r="B335" i="51"/>
  <c r="B334" i="51"/>
  <c r="B333" i="51"/>
  <c r="B332" i="51"/>
  <c r="B331" i="51"/>
  <c r="B330" i="51"/>
  <c r="B329" i="51"/>
  <c r="B328" i="51"/>
  <c r="B327" i="51"/>
  <c r="B326" i="51"/>
  <c r="B325" i="51"/>
  <c r="B324" i="51"/>
  <c r="B323" i="51"/>
  <c r="B322" i="51"/>
  <c r="B321" i="51"/>
  <c r="B320" i="51"/>
  <c r="B319" i="51"/>
  <c r="B318" i="51"/>
  <c r="B317" i="51"/>
  <c r="B316" i="51"/>
  <c r="B315" i="51"/>
  <c r="B314" i="51"/>
  <c r="B313" i="51"/>
  <c r="B312" i="51"/>
  <c r="B311" i="51"/>
  <c r="B310" i="51"/>
  <c r="B309" i="51"/>
  <c r="B308" i="51"/>
  <c r="B307" i="51"/>
  <c r="B306" i="51"/>
  <c r="B305" i="51"/>
  <c r="B304" i="51"/>
  <c r="B303" i="51"/>
  <c r="B302" i="51"/>
  <c r="B301" i="51"/>
  <c r="B300" i="51"/>
  <c r="B299" i="51"/>
  <c r="B298" i="51"/>
  <c r="B297" i="51"/>
  <c r="B296" i="51"/>
  <c r="B295" i="51"/>
  <c r="B294" i="51"/>
  <c r="B293" i="51"/>
  <c r="B290" i="51"/>
  <c r="B289" i="51"/>
  <c r="B288" i="51"/>
  <c r="B287" i="51"/>
  <c r="B286" i="51"/>
  <c r="B285" i="51"/>
  <c r="B284" i="51"/>
  <c r="B283" i="51"/>
  <c r="B282" i="51"/>
  <c r="B281" i="51"/>
  <c r="B280" i="51"/>
  <c r="B279" i="51"/>
  <c r="B278" i="51"/>
  <c r="B277" i="51"/>
  <c r="B276" i="51"/>
  <c r="B275" i="51"/>
  <c r="B274" i="51"/>
  <c r="B273" i="51"/>
  <c r="B272" i="51"/>
  <c r="B271" i="51"/>
  <c r="B270" i="51"/>
  <c r="B269" i="51"/>
  <c r="B268" i="51"/>
  <c r="B267" i="51"/>
  <c r="B266" i="51"/>
  <c r="B265" i="51"/>
  <c r="B264" i="51"/>
  <c r="B263" i="51"/>
  <c r="B262" i="51"/>
  <c r="B261" i="51"/>
  <c r="B260" i="51"/>
  <c r="B259" i="51"/>
  <c r="B258" i="51"/>
  <c r="B257" i="51"/>
  <c r="B256" i="51"/>
  <c r="B255" i="51"/>
  <c r="B254" i="51"/>
  <c r="B253" i="51"/>
  <c r="B252" i="51"/>
  <c r="B251" i="51"/>
  <c r="B250" i="51"/>
  <c r="B249" i="51"/>
  <c r="B248" i="51"/>
  <c r="B247" i="51"/>
  <c r="B246" i="51"/>
  <c r="B245" i="51"/>
  <c r="B244" i="51"/>
  <c r="B243" i="51"/>
  <c r="B242" i="51"/>
  <c r="B241" i="51"/>
  <c r="B240" i="51"/>
  <c r="B239" i="51"/>
  <c r="B238" i="51"/>
  <c r="B237" i="51"/>
  <c r="B236" i="51"/>
  <c r="B235" i="51"/>
  <c r="B234" i="51"/>
  <c r="B233" i="51"/>
  <c r="B232" i="51"/>
  <c r="B231" i="51"/>
  <c r="B230" i="51"/>
  <c r="B229" i="51"/>
  <c r="B228" i="51"/>
  <c r="B227" i="51"/>
  <c r="B226" i="51"/>
  <c r="B225" i="51"/>
  <c r="B224" i="51"/>
  <c r="B223" i="51"/>
  <c r="B222" i="51"/>
  <c r="B221" i="51"/>
  <c r="B220" i="51"/>
  <c r="B219" i="51"/>
  <c r="B218" i="51"/>
  <c r="B217" i="51"/>
  <c r="B216" i="51"/>
  <c r="B215" i="51"/>
  <c r="B214" i="51"/>
  <c r="B213" i="51"/>
  <c r="B212" i="51"/>
  <c r="B211" i="51"/>
  <c r="B210" i="51"/>
  <c r="B209" i="51"/>
  <c r="B208" i="51"/>
  <c r="B207" i="51"/>
  <c r="B292" i="51"/>
  <c r="B291" i="51"/>
  <c r="B206" i="51"/>
  <c r="B205" i="51"/>
  <c r="B204" i="51"/>
  <c r="B203" i="51"/>
  <c r="B202" i="51"/>
  <c r="B201" i="51"/>
  <c r="B200" i="51"/>
  <c r="B199" i="51"/>
  <c r="B198" i="51"/>
  <c r="B197" i="51"/>
  <c r="B196" i="51"/>
  <c r="B195" i="51"/>
  <c r="B194" i="51"/>
  <c r="B193" i="51"/>
  <c r="B192" i="51"/>
  <c r="B191" i="51"/>
  <c r="B190" i="51"/>
  <c r="B189" i="51"/>
  <c r="B188" i="51"/>
  <c r="B187" i="51"/>
  <c r="B186" i="51"/>
  <c r="B185" i="51"/>
  <c r="B184" i="51"/>
  <c r="B183" i="51"/>
  <c r="B182" i="51"/>
  <c r="B181" i="51"/>
  <c r="B180" i="51"/>
  <c r="B179" i="51"/>
  <c r="B178" i="51"/>
  <c r="B177" i="51"/>
  <c r="B176" i="51"/>
  <c r="B175" i="51"/>
  <c r="B174" i="51"/>
  <c r="B173" i="51"/>
  <c r="B172" i="51"/>
  <c r="B171" i="51"/>
  <c r="B170" i="51"/>
  <c r="B169" i="51"/>
  <c r="B168" i="51"/>
  <c r="B167" i="51"/>
  <c r="B166" i="51"/>
  <c r="B165" i="51"/>
  <c r="B164" i="51"/>
  <c r="B163" i="51"/>
  <c r="B162" i="51"/>
  <c r="B161" i="51"/>
  <c r="B160" i="51"/>
  <c r="B159" i="51"/>
  <c r="B158" i="51"/>
  <c r="B157" i="51"/>
  <c r="B156" i="51"/>
  <c r="B155" i="51"/>
  <c r="B154" i="51"/>
  <c r="B153" i="51"/>
  <c r="B152" i="51"/>
  <c r="B151" i="51"/>
  <c r="B150" i="51"/>
  <c r="B149" i="51"/>
  <c r="B148" i="51"/>
  <c r="B147" i="51"/>
  <c r="B146" i="51"/>
  <c r="B145" i="51"/>
  <c r="B144" i="51"/>
  <c r="B143" i="51"/>
  <c r="B142" i="51"/>
  <c r="B141" i="51"/>
  <c r="B140" i="51"/>
  <c r="B139" i="51"/>
  <c r="B138" i="51"/>
  <c r="B137" i="51"/>
  <c r="B136" i="51"/>
  <c r="B135" i="51"/>
  <c r="B134" i="51"/>
  <c r="B133" i="51"/>
  <c r="B132" i="51"/>
  <c r="B131" i="51"/>
  <c r="B130" i="51"/>
  <c r="B129" i="51"/>
  <c r="B128" i="51"/>
  <c r="B127" i="51"/>
  <c r="B126" i="51"/>
  <c r="B125" i="51"/>
  <c r="B124" i="51"/>
  <c r="B123" i="51"/>
  <c r="B122" i="51"/>
  <c r="B121" i="51"/>
  <c r="B120" i="51"/>
  <c r="B119" i="51"/>
  <c r="B118" i="51"/>
  <c r="B117" i="51"/>
  <c r="B116" i="51"/>
  <c r="B115" i="51"/>
  <c r="B114" i="51"/>
  <c r="B113" i="51"/>
  <c r="B112" i="51"/>
  <c r="B111" i="51"/>
  <c r="B110" i="51"/>
  <c r="B109" i="51"/>
  <c r="B108" i="51"/>
  <c r="B107" i="51"/>
  <c r="B106" i="51"/>
  <c r="B105" i="51"/>
  <c r="B104" i="51"/>
  <c r="B103" i="51"/>
  <c r="B102" i="51"/>
  <c r="B101" i="51"/>
  <c r="B100" i="51"/>
  <c r="B99" i="51"/>
  <c r="B98" i="51"/>
  <c r="B97" i="51"/>
  <c r="B96" i="51"/>
  <c r="B95" i="51"/>
  <c r="B94" i="51"/>
  <c r="B93" i="51"/>
  <c r="B92" i="51"/>
  <c r="B91" i="51"/>
  <c r="B90" i="51"/>
  <c r="B89" i="51"/>
  <c r="B88" i="51"/>
  <c r="B87" i="51"/>
  <c r="B86" i="51"/>
  <c r="B85" i="51"/>
  <c r="B84" i="51"/>
  <c r="B83" i="51"/>
  <c r="B82" i="51"/>
  <c r="B81" i="51"/>
  <c r="B80" i="51"/>
  <c r="B79" i="51"/>
  <c r="B78" i="51"/>
  <c r="B77" i="51"/>
  <c r="B76" i="51"/>
  <c r="B75" i="51"/>
  <c r="B74" i="51"/>
  <c r="B73" i="51"/>
  <c r="B72" i="51"/>
  <c r="B71" i="51"/>
  <c r="B70" i="51"/>
  <c r="B69" i="51"/>
  <c r="B68" i="51"/>
  <c r="B67" i="51"/>
  <c r="B66" i="51"/>
  <c r="B65" i="51"/>
  <c r="B64" i="51"/>
  <c r="B63" i="51"/>
  <c r="B62" i="51"/>
  <c r="B61" i="51"/>
  <c r="B60" i="51"/>
  <c r="B59" i="51"/>
  <c r="B58" i="51"/>
  <c r="B57" i="51"/>
  <c r="B56" i="51"/>
  <c r="B55" i="51"/>
  <c r="B54" i="51"/>
  <c r="B53" i="51"/>
  <c r="B52" i="51"/>
  <c r="B51" i="51"/>
  <c r="B50" i="51"/>
  <c r="B49" i="51"/>
  <c r="B48" i="51"/>
  <c r="B47" i="51"/>
  <c r="B46" i="51"/>
  <c r="B45" i="51"/>
  <c r="B44" i="51"/>
  <c r="B43" i="51"/>
  <c r="B42" i="51"/>
  <c r="B41" i="51"/>
  <c r="B40" i="51"/>
  <c r="B39" i="51"/>
  <c r="B38" i="51"/>
  <c r="B37" i="51"/>
  <c r="B36" i="51"/>
  <c r="B35" i="51"/>
  <c r="B34" i="51"/>
  <c r="B33" i="51"/>
  <c r="B32" i="51"/>
  <c r="B31" i="51"/>
  <c r="B30" i="51"/>
  <c r="B29" i="51"/>
  <c r="B28" i="51"/>
  <c r="B27" i="51"/>
  <c r="B26" i="51"/>
  <c r="B25" i="51"/>
  <c r="B24" i="51"/>
  <c r="B23" i="51"/>
  <c r="B22" i="51"/>
  <c r="B21" i="51"/>
  <c r="B20" i="51"/>
  <c r="B19" i="51"/>
  <c r="B18" i="51"/>
  <c r="B17" i="51"/>
  <c r="B16" i="51"/>
  <c r="B15" i="51"/>
  <c r="B14" i="51"/>
  <c r="B13" i="51"/>
  <c r="B12" i="51"/>
  <c r="B11" i="51"/>
  <c r="C11" i="51"/>
  <c r="B11" i="49"/>
  <c r="B13" i="49"/>
  <c r="B15" i="49"/>
  <c r="B17" i="49"/>
  <c r="B19" i="49"/>
  <c r="B10" i="49"/>
  <c r="B12" i="49"/>
  <c r="B14" i="49"/>
  <c r="B16" i="49"/>
  <c r="C21" i="98"/>
  <c r="B17" i="98" s="1"/>
  <c r="C36" i="98"/>
  <c r="B31" i="98" s="1"/>
  <c r="C34" i="98"/>
  <c r="C35" i="98" s="1"/>
  <c r="E19" i="97"/>
  <c r="E21" i="97"/>
  <c r="C22" i="97"/>
  <c r="B24" i="97"/>
  <c r="B18" i="35"/>
  <c r="B8" i="35"/>
  <c r="I36" i="97"/>
  <c r="C13" i="33"/>
  <c r="H13" i="33"/>
  <c r="C14" i="33"/>
  <c r="H14" i="33"/>
  <c r="C15" i="33"/>
  <c r="H15" i="33"/>
  <c r="B6" i="33"/>
  <c r="K10" i="53" l="1"/>
  <c r="I11" i="53" s="1" a="1"/>
  <c r="H371" i="51"/>
  <c r="J11" i="51" a="1"/>
  <c r="I11" i="51"/>
  <c r="F3" i="43"/>
  <c r="B8" i="43"/>
  <c r="B12" i="103"/>
  <c r="C12" i="103" s="1"/>
  <c r="E12" i="53"/>
  <c r="C12" i="53"/>
  <c r="B12" i="53" s="1"/>
  <c r="B11" i="53"/>
  <c r="B371" i="51"/>
  <c r="D11" i="51"/>
  <c r="B22" i="35"/>
  <c r="B19" i="35"/>
  <c r="B21" i="35" s="1"/>
  <c r="H16" i="33"/>
  <c r="C16" i="33"/>
  <c r="I11" i="53" l="1"/>
  <c r="J11" i="51"/>
  <c r="B13" i="103"/>
  <c r="C13" i="103" s="1"/>
  <c r="E13" i="53"/>
  <c r="C13" i="53"/>
  <c r="B13" i="53" s="1"/>
  <c r="E11" i="51"/>
  <c r="B7" i="31"/>
  <c r="B6" i="31"/>
  <c r="B9" i="31" s="1"/>
  <c r="I2" i="31"/>
  <c r="B7" i="29"/>
  <c r="B6" i="29"/>
  <c r="B9" i="29" s="1"/>
  <c r="B11" i="25"/>
  <c r="B9" i="25"/>
  <c r="B8" i="25"/>
  <c r="A1" i="25"/>
  <c r="B14" i="22"/>
  <c r="B11" i="23"/>
  <c r="B9" i="23"/>
  <c r="B14" i="23" s="1"/>
  <c r="B8" i="23"/>
  <c r="A1" i="23"/>
  <c r="C11" i="21"/>
  <c r="C9" i="21"/>
  <c r="C8" i="21"/>
  <c r="J5" i="21"/>
  <c r="I5" i="21"/>
  <c r="K5" i="21" s="1"/>
  <c r="J4" i="21"/>
  <c r="I4" i="21"/>
  <c r="K4" i="21" s="1"/>
  <c r="J3" i="21"/>
  <c r="I3" i="21"/>
  <c r="K3" i="21" s="1"/>
  <c r="B1" i="21"/>
  <c r="B5" i="19"/>
  <c r="B4" i="19"/>
  <c r="B9" i="17"/>
  <c r="A9" i="17"/>
  <c r="B7" i="17"/>
  <c r="B10" i="17" s="1"/>
  <c r="B13" i="17" s="1"/>
  <c r="A7" i="17"/>
  <c r="A2" i="17"/>
  <c r="B10" i="15"/>
  <c r="B9" i="15"/>
  <c r="B7" i="15"/>
  <c r="B6" i="15"/>
  <c r="A1" i="15"/>
  <c r="A10" i="95"/>
  <c r="A9" i="95"/>
  <c r="B4" i="95"/>
  <c r="B9" i="95" s="1"/>
  <c r="C15" i="13"/>
  <c r="C14" i="13"/>
  <c r="E14" i="13" s="1"/>
  <c r="C9" i="13"/>
  <c r="C4" i="13"/>
  <c r="F12" i="10"/>
  <c r="D12" i="10"/>
  <c r="F11" i="10"/>
  <c r="D11" i="10"/>
  <c r="F10" i="10"/>
  <c r="D10" i="10"/>
  <c r="F9" i="10"/>
  <c r="D9" i="10"/>
  <c r="F8" i="10"/>
  <c r="D8" i="10"/>
  <c r="C14" i="4"/>
  <c r="C13" i="4"/>
  <c r="E15" i="4" s="1"/>
  <c r="C6" i="4"/>
  <c r="C5" i="4"/>
  <c r="E7" i="4" s="1"/>
  <c r="K11" i="51" l="1" a="1"/>
  <c r="C5" i="10"/>
  <c r="F4" i="10" s="1"/>
  <c r="F14" i="10"/>
  <c r="K6" i="21"/>
  <c r="B14" i="103"/>
  <c r="C14" i="103" s="1"/>
  <c r="E14" i="53"/>
  <c r="C14" i="53"/>
  <c r="B14" i="53" s="1"/>
  <c r="C12" i="51"/>
  <c r="B10" i="31"/>
  <c r="B10" i="29"/>
  <c r="B11" i="29" s="1"/>
  <c r="B11" i="28"/>
  <c r="B12" i="25"/>
  <c r="B15" i="25"/>
  <c r="B12" i="23"/>
  <c r="B11" i="17"/>
  <c r="B5" i="95"/>
  <c r="B10" i="95" s="1"/>
  <c r="C7" i="4"/>
  <c r="C15" i="4"/>
  <c r="A10" i="94"/>
  <c r="A9" i="94"/>
  <c r="K11" i="51" l="1"/>
  <c r="M11" i="51" s="1" a="1"/>
  <c r="M11" i="51" s="1"/>
  <c r="C15" i="103"/>
  <c r="B15" i="103"/>
  <c r="E15" i="53"/>
  <c r="C15" i="53"/>
  <c r="B15" i="53" s="1"/>
  <c r="D12" i="51"/>
  <c r="B11" i="31"/>
  <c r="H2" i="31"/>
  <c r="C16" i="103" l="1"/>
  <c r="B16" i="103"/>
  <c r="E16" i="53"/>
  <c r="C16" i="53"/>
  <c r="B16" i="53" s="1"/>
  <c r="E12" i="51"/>
  <c r="F3" i="42"/>
  <c r="B7" i="39"/>
  <c r="B17" i="103" l="1"/>
  <c r="C17" i="103" s="1"/>
  <c r="E17" i="53"/>
  <c r="C17" i="53"/>
  <c r="B17" i="53" s="1"/>
  <c r="C13" i="51"/>
  <c r="B11" i="93"/>
  <c r="C5" i="93" s="1"/>
  <c r="B5" i="93"/>
  <c r="B18" i="103" l="1"/>
  <c r="C18" i="103" s="1"/>
  <c r="E18" i="53"/>
  <c r="C18" i="53"/>
  <c r="B18" i="53" s="1"/>
  <c r="D13" i="51"/>
  <c r="C14" i="55"/>
  <c r="C15" i="55" s="1"/>
  <c r="C16" i="55" s="1"/>
  <c r="C17" i="55" s="1"/>
  <c r="C18" i="55" s="1"/>
  <c r="C19" i="55" s="1"/>
  <c r="C20" i="55" s="1"/>
  <c r="C21" i="55" s="1"/>
  <c r="C22" i="55" s="1"/>
  <c r="C23" i="55" s="1"/>
  <c r="C24" i="55" s="1"/>
  <c r="C25" i="55" s="1"/>
  <c r="C26" i="55" s="1"/>
  <c r="C27" i="55" s="1"/>
  <c r="C28" i="55" s="1"/>
  <c r="C29" i="55" s="1"/>
  <c r="C30" i="55" s="1"/>
  <c r="C31" i="55" s="1"/>
  <c r="C32" i="55" s="1"/>
  <c r="C33" i="55" s="1"/>
  <c r="C34" i="55" s="1"/>
  <c r="C35" i="55" s="1"/>
  <c r="C36" i="55" s="1"/>
  <c r="C37" i="55" s="1"/>
  <c r="C38" i="55" s="1"/>
  <c r="C39" i="55" s="1"/>
  <c r="C40" i="55" s="1"/>
  <c r="C41" i="55" s="1"/>
  <c r="C42" i="55" s="1"/>
  <c r="C43" i="55" s="1"/>
  <c r="C44" i="55" s="1"/>
  <c r="C45" i="55" s="1"/>
  <c r="C46" i="55" s="1"/>
  <c r="C47" i="55" s="1"/>
  <c r="C48" i="55" s="1"/>
  <c r="C49" i="55" s="1"/>
  <c r="C50" i="55" s="1"/>
  <c r="C51" i="55" s="1"/>
  <c r="C52" i="55" s="1"/>
  <c r="C53" i="55" s="1"/>
  <c r="B6" i="55"/>
  <c r="B3" i="55"/>
  <c r="B1" i="55" s="1"/>
  <c r="E13" i="55" s="1"/>
  <c r="E14" i="55" s="1"/>
  <c r="B6" i="54"/>
  <c r="B3" i="54"/>
  <c r="D1" i="54" s="1"/>
  <c r="B6" i="50"/>
  <c r="B3" i="50"/>
  <c r="C19" i="48"/>
  <c r="B4" i="47"/>
  <c r="B5" i="47" s="1"/>
  <c r="B5" i="46"/>
  <c r="B8" i="44"/>
  <c r="B7" i="40"/>
  <c r="A1" i="40" s="1"/>
  <c r="B8" i="39"/>
  <c r="B6" i="39"/>
  <c r="B8" i="38"/>
  <c r="A10" i="34"/>
  <c r="B8" i="36"/>
  <c r="A1" i="36"/>
  <c r="B22" i="34"/>
  <c r="B11" i="34"/>
  <c r="A1" i="34"/>
  <c r="B15" i="32"/>
  <c r="G15" i="32" s="1"/>
  <c r="B14" i="32"/>
  <c r="G14" i="32" s="1"/>
  <c r="B13" i="32"/>
  <c r="G13" i="32" s="1"/>
  <c r="B8" i="32"/>
  <c r="A1" i="32"/>
  <c r="B11" i="30"/>
  <c r="I2" i="30"/>
  <c r="H2" i="30"/>
  <c r="B15" i="26"/>
  <c r="E8" i="26"/>
  <c r="B1" i="26"/>
  <c r="B15" i="24"/>
  <c r="A1" i="24"/>
  <c r="A1" i="22"/>
  <c r="C11" i="20"/>
  <c r="J5" i="20"/>
  <c r="I5" i="20"/>
  <c r="K5" i="20" s="1"/>
  <c r="J4" i="20"/>
  <c r="I4" i="20"/>
  <c r="K4" i="20" s="1"/>
  <c r="J3" i="20"/>
  <c r="I3" i="20"/>
  <c r="K3" i="20" s="1"/>
  <c r="K6" i="20" s="1"/>
  <c r="B1" i="20"/>
  <c r="A1" i="14"/>
  <c r="A9" i="16"/>
  <c r="A7" i="16"/>
  <c r="A2" i="16"/>
  <c r="E14" i="12"/>
  <c r="F7" i="3"/>
  <c r="F8" i="3"/>
  <c r="F9" i="3"/>
  <c r="F10" i="3"/>
  <c r="F11" i="3"/>
  <c r="F12" i="3"/>
  <c r="F13" i="3"/>
  <c r="F14" i="3"/>
  <c r="F15" i="3"/>
  <c r="D15" i="3"/>
  <c r="D14" i="3"/>
  <c r="D13" i="3"/>
  <c r="D12" i="3"/>
  <c r="D11" i="3"/>
  <c r="D10" i="3"/>
  <c r="D9" i="3"/>
  <c r="D8" i="3"/>
  <c r="H7" i="3"/>
  <c r="D7" i="3"/>
  <c r="C5" i="9"/>
  <c r="C4" i="9"/>
  <c r="C5" i="8"/>
  <c r="C4" i="8"/>
  <c r="D19" i="9" l="1"/>
  <c r="F10" i="9"/>
  <c r="F11" i="9"/>
  <c r="F12" i="9"/>
  <c r="F17" i="9"/>
  <c r="F13" i="9"/>
  <c r="F14" i="9"/>
  <c r="F15" i="9"/>
  <c r="F16" i="9"/>
  <c r="F18" i="9"/>
  <c r="F19" i="9"/>
  <c r="F9" i="9"/>
  <c r="B19" i="103"/>
  <c r="C19" i="103" s="1"/>
  <c r="E19" i="53"/>
  <c r="C19" i="53"/>
  <c r="B19" i="53" s="1"/>
  <c r="E13" i="51"/>
  <c r="D16" i="3"/>
  <c r="H13" i="32"/>
  <c r="H15" i="32"/>
  <c r="H14" i="32"/>
  <c r="E15" i="55"/>
  <c r="D14" i="55"/>
  <c r="G16" i="32"/>
  <c r="D9" i="9"/>
  <c r="D10" i="9"/>
  <c r="D11" i="9"/>
  <c r="D12" i="9"/>
  <c r="D13" i="9"/>
  <c r="D14" i="9"/>
  <c r="D15" i="9"/>
  <c r="D16" i="9"/>
  <c r="D17" i="9"/>
  <c r="D18" i="9"/>
  <c r="D9" i="8"/>
  <c r="D10" i="8"/>
  <c r="D11" i="8"/>
  <c r="D12" i="8"/>
  <c r="D13" i="8"/>
  <c r="D14" i="8"/>
  <c r="D15" i="8"/>
  <c r="D16" i="8"/>
  <c r="D17" i="8"/>
  <c r="D18" i="8"/>
  <c r="D19" i="8"/>
  <c r="F9" i="8"/>
  <c r="F10" i="8"/>
  <c r="F11" i="8"/>
  <c r="F12" i="8"/>
  <c r="F13" i="8"/>
  <c r="F14" i="8"/>
  <c r="F15" i="8"/>
  <c r="F16" i="8"/>
  <c r="F17" i="8"/>
  <c r="F18" i="8"/>
  <c r="F19" i="8"/>
  <c r="C20" i="103" l="1"/>
  <c r="B20" i="103"/>
  <c r="E20" i="53"/>
  <c r="C20" i="53"/>
  <c r="B20" i="53" s="1"/>
  <c r="C14" i="51"/>
  <c r="H16" i="32"/>
  <c r="E16" i="55"/>
  <c r="D15" i="55"/>
  <c r="F21" i="9"/>
  <c r="C6" i="9"/>
  <c r="F21" i="8"/>
  <c r="C6" i="8"/>
  <c r="B21" i="103" l="1"/>
  <c r="C21" i="103" s="1"/>
  <c r="E21" i="53"/>
  <c r="C21" i="53"/>
  <c r="B21" i="53" s="1"/>
  <c r="D14" i="51"/>
  <c r="E17" i="55"/>
  <c r="D16" i="55"/>
  <c r="B22" i="103" l="1"/>
  <c r="C22" i="103" s="1"/>
  <c r="E22" i="53"/>
  <c r="C22" i="53"/>
  <c r="B22" i="53" s="1"/>
  <c r="E14" i="51"/>
  <c r="E18" i="55"/>
  <c r="D17" i="55"/>
  <c r="B23" i="103" l="1"/>
  <c r="C23" i="103" s="1"/>
  <c r="E23" i="53"/>
  <c r="C23" i="53"/>
  <c r="B23" i="53" s="1"/>
  <c r="C15" i="51"/>
  <c r="D15" i="51" s="1"/>
  <c r="E19" i="55"/>
  <c r="D18" i="55"/>
  <c r="B24" i="103" l="1"/>
  <c r="C24" i="103" s="1"/>
  <c r="E24" i="53"/>
  <c r="C24" i="53"/>
  <c r="B24" i="53" s="1"/>
  <c r="E15" i="51"/>
  <c r="E20" i="55"/>
  <c r="D19" i="55"/>
  <c r="B25" i="103" l="1"/>
  <c r="C25" i="103" s="1"/>
  <c r="E25" i="53"/>
  <c r="C25" i="53"/>
  <c r="B25" i="53" s="1"/>
  <c r="C16" i="51"/>
  <c r="D16" i="51" s="1"/>
  <c r="E16" i="51" s="1"/>
  <c r="E21" i="55"/>
  <c r="D20" i="55"/>
  <c r="B26" i="103" l="1"/>
  <c r="C26" i="103" s="1"/>
  <c r="E26" i="53"/>
  <c r="C26" i="53"/>
  <c r="B26" i="53" s="1"/>
  <c r="C17" i="51"/>
  <c r="D17" i="51" s="1"/>
  <c r="E17" i="51" s="1"/>
  <c r="E22" i="55"/>
  <c r="D21" i="55"/>
  <c r="B27" i="103" l="1"/>
  <c r="C27" i="103" s="1"/>
  <c r="E27" i="53"/>
  <c r="C27" i="53"/>
  <c r="B27" i="53" s="1"/>
  <c r="C18" i="51"/>
  <c r="D18" i="51" s="1"/>
  <c r="E18" i="51" s="1"/>
  <c r="E23" i="55"/>
  <c r="D22" i="55"/>
  <c r="B28" i="103" l="1"/>
  <c r="C28" i="103" s="1"/>
  <c r="E28" i="53"/>
  <c r="C28" i="53"/>
  <c r="B28" i="53" s="1"/>
  <c r="C19" i="51"/>
  <c r="D19" i="51" s="1"/>
  <c r="E19" i="51" s="1"/>
  <c r="E24" i="55"/>
  <c r="D23" i="55"/>
  <c r="B29" i="103" l="1"/>
  <c r="C29" i="103" s="1"/>
  <c r="E29" i="53"/>
  <c r="C29" i="53"/>
  <c r="B29" i="53" s="1"/>
  <c r="C20" i="51"/>
  <c r="D20" i="51" s="1"/>
  <c r="E20" i="51" s="1"/>
  <c r="E25" i="55"/>
  <c r="D24" i="55"/>
  <c r="B30" i="103" l="1"/>
  <c r="C30" i="103" s="1"/>
  <c r="E30" i="53"/>
  <c r="C30" i="53"/>
  <c r="B30" i="53" s="1"/>
  <c r="C21" i="51"/>
  <c r="D21" i="51" s="1"/>
  <c r="E21" i="51" s="1"/>
  <c r="E26" i="55"/>
  <c r="D25" i="55"/>
  <c r="B31" i="103" l="1"/>
  <c r="C31" i="103" s="1"/>
  <c r="E31" i="53"/>
  <c r="C31" i="53"/>
  <c r="B31" i="53" s="1"/>
  <c r="C22" i="51"/>
  <c r="D22" i="51" s="1"/>
  <c r="E22" i="51" s="1"/>
  <c r="E27" i="55"/>
  <c r="D26" i="55"/>
  <c r="B32" i="103" l="1"/>
  <c r="C32" i="103" s="1"/>
  <c r="E32" i="53"/>
  <c r="C32" i="53"/>
  <c r="B32" i="53" s="1"/>
  <c r="C23" i="51"/>
  <c r="D23" i="51" s="1"/>
  <c r="E23" i="51" s="1"/>
  <c r="E28" i="55"/>
  <c r="D27" i="55"/>
  <c r="B33" i="103" l="1"/>
  <c r="C33" i="103" s="1"/>
  <c r="E33" i="53"/>
  <c r="C33" i="53"/>
  <c r="B33" i="53" s="1"/>
  <c r="C24" i="51"/>
  <c r="D24" i="51" s="1"/>
  <c r="E24" i="51" s="1"/>
  <c r="E29" i="55"/>
  <c r="D28" i="55"/>
  <c r="B34" i="103" l="1"/>
  <c r="C34" i="103" s="1"/>
  <c r="E34" i="53"/>
  <c r="C34" i="53"/>
  <c r="B34" i="53" s="1"/>
  <c r="C25" i="51"/>
  <c r="D25" i="51" s="1"/>
  <c r="E25" i="51" s="1"/>
  <c r="E30" i="55"/>
  <c r="D29" i="55"/>
  <c r="B35" i="103" l="1"/>
  <c r="C35" i="103" s="1"/>
  <c r="E35" i="53"/>
  <c r="C35" i="53"/>
  <c r="B35" i="53" s="1"/>
  <c r="C26" i="51"/>
  <c r="D26" i="51" s="1"/>
  <c r="E26" i="51" s="1"/>
  <c r="E31" i="55"/>
  <c r="D30" i="55"/>
  <c r="B36" i="103" l="1"/>
  <c r="C36" i="103" s="1"/>
  <c r="E36" i="53"/>
  <c r="C36" i="53"/>
  <c r="B36" i="53" s="1"/>
  <c r="C27" i="51"/>
  <c r="D27" i="51" s="1"/>
  <c r="E27" i="51" s="1"/>
  <c r="E32" i="55"/>
  <c r="D31" i="55"/>
  <c r="B37" i="103" l="1"/>
  <c r="C37" i="103" s="1"/>
  <c r="E37" i="53"/>
  <c r="C37" i="53"/>
  <c r="B37" i="53" s="1"/>
  <c r="C28" i="51"/>
  <c r="D28" i="51" s="1"/>
  <c r="E28" i="51" s="1"/>
  <c r="E33" i="55"/>
  <c r="D32" i="55"/>
  <c r="B38" i="103" l="1"/>
  <c r="C38" i="103" s="1"/>
  <c r="E38" i="53"/>
  <c r="C38" i="53"/>
  <c r="B38" i="53" s="1"/>
  <c r="C29" i="51"/>
  <c r="D29" i="51" s="1"/>
  <c r="E29" i="51" s="1"/>
  <c r="E34" i="55"/>
  <c r="D33" i="55"/>
  <c r="B39" i="103" l="1"/>
  <c r="C39" i="103" s="1"/>
  <c r="E39" i="53"/>
  <c r="C39" i="53"/>
  <c r="B39" i="53" s="1"/>
  <c r="C30" i="51"/>
  <c r="D30" i="51" s="1"/>
  <c r="E30" i="51" s="1"/>
  <c r="E35" i="55"/>
  <c r="D34" i="55"/>
  <c r="B40" i="103" l="1"/>
  <c r="C40" i="103" s="1"/>
  <c r="E40" i="53"/>
  <c r="C40" i="53"/>
  <c r="B40" i="53" s="1"/>
  <c r="C31" i="51"/>
  <c r="D31" i="51" s="1"/>
  <c r="E31" i="51" s="1"/>
  <c r="E36" i="55"/>
  <c r="D35" i="55"/>
  <c r="B41" i="103" l="1"/>
  <c r="C41" i="103" s="1"/>
  <c r="E41" i="53"/>
  <c r="C41" i="53"/>
  <c r="B41" i="53" s="1"/>
  <c r="C32" i="51"/>
  <c r="D32" i="51" s="1"/>
  <c r="E32" i="51" s="1"/>
  <c r="E37" i="55"/>
  <c r="D36" i="55"/>
  <c r="B42" i="103" l="1"/>
  <c r="C42" i="103" s="1"/>
  <c r="E42" i="53"/>
  <c r="C42" i="53"/>
  <c r="B42" i="53" s="1"/>
  <c r="C33" i="51"/>
  <c r="D33" i="51" s="1"/>
  <c r="E33" i="51" s="1"/>
  <c r="E38" i="55"/>
  <c r="D37" i="55"/>
  <c r="B43" i="103" l="1"/>
  <c r="C43" i="103" s="1"/>
  <c r="E43" i="53"/>
  <c r="C43" i="53"/>
  <c r="B43" i="53" s="1"/>
  <c r="C34" i="51"/>
  <c r="D34" i="51" s="1"/>
  <c r="E34" i="51" s="1"/>
  <c r="E39" i="55"/>
  <c r="D38" i="55"/>
  <c r="B44" i="103" l="1"/>
  <c r="C44" i="103" s="1"/>
  <c r="E44" i="53"/>
  <c r="C44" i="53"/>
  <c r="B44" i="53" s="1"/>
  <c r="C35" i="51"/>
  <c r="D35" i="51" s="1"/>
  <c r="E35" i="51" s="1"/>
  <c r="E40" i="55"/>
  <c r="D39" i="55"/>
  <c r="B45" i="103" l="1"/>
  <c r="C45" i="103" s="1"/>
  <c r="E45" i="53"/>
  <c r="C45" i="53"/>
  <c r="B45" i="53" s="1"/>
  <c r="C36" i="51"/>
  <c r="D36" i="51" s="1"/>
  <c r="E36" i="51" s="1"/>
  <c r="E41" i="55"/>
  <c r="D40" i="55"/>
  <c r="B46" i="103" l="1"/>
  <c r="C46" i="103" s="1"/>
  <c r="E46" i="53"/>
  <c r="C46" i="53"/>
  <c r="B46" i="53" s="1"/>
  <c r="C37" i="51"/>
  <c r="D37" i="51" s="1"/>
  <c r="E37" i="51" s="1"/>
  <c r="E42" i="55"/>
  <c r="D41" i="55"/>
  <c r="B47" i="103" l="1"/>
  <c r="C47" i="103" s="1"/>
  <c r="E47" i="53"/>
  <c r="C47" i="53"/>
  <c r="B47" i="53" s="1"/>
  <c r="C38" i="51"/>
  <c r="D38" i="51" s="1"/>
  <c r="E38" i="51" s="1"/>
  <c r="E43" i="55"/>
  <c r="D42" i="55"/>
  <c r="B48" i="103" l="1"/>
  <c r="C48" i="103" s="1"/>
  <c r="E48" i="53"/>
  <c r="C48" i="53"/>
  <c r="B48" i="53" s="1"/>
  <c r="C39" i="51"/>
  <c r="D39" i="51" s="1"/>
  <c r="E39" i="51" s="1"/>
  <c r="E44" i="55"/>
  <c r="D43" i="55"/>
  <c r="B49" i="103" l="1"/>
  <c r="C49" i="103" s="1"/>
  <c r="E49" i="53"/>
  <c r="C49" i="53"/>
  <c r="B49" i="53" s="1"/>
  <c r="C40" i="51"/>
  <c r="D40" i="51" s="1"/>
  <c r="E40" i="51" s="1"/>
  <c r="E45" i="55"/>
  <c r="D44" i="55"/>
  <c r="B50" i="103" l="1"/>
  <c r="C50" i="103" s="1"/>
  <c r="E50" i="53"/>
  <c r="C50" i="53"/>
  <c r="B50" i="53" s="1"/>
  <c r="C41" i="51"/>
  <c r="D41" i="51" s="1"/>
  <c r="E41" i="51" s="1"/>
  <c r="E46" i="55"/>
  <c r="D45" i="55"/>
  <c r="C42" i="51" l="1"/>
  <c r="D42" i="51" s="1"/>
  <c r="E42" i="51" s="1"/>
  <c r="E47" i="55"/>
  <c r="D46" i="55"/>
  <c r="C43" i="51" l="1"/>
  <c r="D43" i="51" s="1"/>
  <c r="E43" i="51" s="1"/>
  <c r="E48" i="55"/>
  <c r="D47" i="55"/>
  <c r="C44" i="51" l="1"/>
  <c r="D44" i="51" s="1"/>
  <c r="E44" i="51" s="1"/>
  <c r="E49" i="55"/>
  <c r="D48" i="55"/>
  <c r="C45" i="51" l="1"/>
  <c r="D45" i="51" s="1"/>
  <c r="E45" i="51" s="1"/>
  <c r="E50" i="55"/>
  <c r="D49" i="55"/>
  <c r="C46" i="51" l="1"/>
  <c r="D46" i="51" s="1"/>
  <c r="E46" i="51" s="1"/>
  <c r="E51" i="55"/>
  <c r="D50" i="55"/>
  <c r="C47" i="51" l="1"/>
  <c r="D47" i="51" s="1"/>
  <c r="E47" i="51" s="1"/>
  <c r="E52" i="55"/>
  <c r="D51" i="55"/>
  <c r="C48" i="51" l="1"/>
  <c r="D48" i="51" s="1"/>
  <c r="E48" i="51" s="1"/>
  <c r="E53" i="55"/>
  <c r="D53" i="55" s="1"/>
  <c r="D52" i="55"/>
  <c r="C49" i="51" l="1"/>
  <c r="D49" i="51" s="1"/>
  <c r="E49" i="51" s="1"/>
  <c r="C50" i="51" l="1"/>
  <c r="D50" i="51" s="1"/>
  <c r="E50" i="51" s="1"/>
  <c r="C51" i="51" l="1"/>
  <c r="D51" i="51" s="1"/>
  <c r="E51" i="51" s="1"/>
  <c r="C52" i="51" l="1"/>
  <c r="D52" i="51" s="1"/>
  <c r="E52" i="51" s="1"/>
  <c r="C53" i="51" l="1"/>
  <c r="D53" i="51" s="1"/>
  <c r="E53" i="51" s="1"/>
  <c r="C54" i="51" l="1"/>
  <c r="D54" i="51" s="1"/>
  <c r="E54" i="51" s="1"/>
  <c r="C55" i="51" l="1"/>
  <c r="D55" i="51" s="1"/>
  <c r="E55" i="51" s="1"/>
  <c r="C56" i="51" l="1"/>
  <c r="D56" i="51" s="1"/>
  <c r="E56" i="51" s="1"/>
  <c r="C57" i="51" l="1"/>
  <c r="D57" i="51" s="1"/>
  <c r="E57" i="51" s="1"/>
  <c r="C58" i="51" l="1"/>
  <c r="D58" i="51" s="1"/>
  <c r="E58" i="51" s="1"/>
  <c r="C59" i="51" l="1"/>
  <c r="D59" i="51" s="1"/>
  <c r="E59" i="51" s="1"/>
  <c r="C60" i="51" l="1"/>
  <c r="D60" i="51" s="1"/>
  <c r="E60" i="51" s="1"/>
  <c r="C61" i="51" l="1"/>
  <c r="D61" i="51" s="1"/>
  <c r="E61" i="51" s="1"/>
  <c r="C62" i="51" l="1"/>
  <c r="D62" i="51" s="1"/>
  <c r="E62" i="51" s="1"/>
  <c r="C63" i="51" l="1"/>
  <c r="D63" i="51" s="1"/>
  <c r="E63" i="51" s="1"/>
  <c r="C64" i="51" l="1"/>
  <c r="D64" i="51" s="1"/>
  <c r="E64" i="51" s="1"/>
  <c r="C65" i="51" l="1"/>
  <c r="D65" i="51" s="1"/>
  <c r="E65" i="51" s="1"/>
  <c r="C66" i="51" l="1"/>
  <c r="D66" i="51" s="1"/>
  <c r="E66" i="51" s="1"/>
  <c r="C67" i="51" l="1"/>
  <c r="D67" i="51" s="1"/>
  <c r="E67" i="51" s="1"/>
  <c r="C68" i="51" l="1"/>
  <c r="D68" i="51" s="1"/>
  <c r="E68" i="51" s="1"/>
  <c r="C69" i="51" l="1"/>
  <c r="D69" i="51" s="1"/>
  <c r="E69" i="51" s="1"/>
  <c r="C70" i="51" l="1"/>
  <c r="D70" i="51" s="1"/>
  <c r="E70" i="51" s="1"/>
  <c r="C71" i="51" l="1"/>
  <c r="D71" i="51" s="1"/>
  <c r="E71" i="51" s="1"/>
  <c r="C72" i="51" l="1"/>
  <c r="D72" i="51" s="1"/>
  <c r="E72" i="51" s="1"/>
  <c r="C73" i="51" l="1"/>
  <c r="D73" i="51" s="1"/>
  <c r="E73" i="51" s="1"/>
  <c r="C74" i="51" l="1"/>
  <c r="D74" i="51" s="1"/>
  <c r="E74" i="51" s="1"/>
  <c r="C75" i="51" l="1"/>
  <c r="D75" i="51" s="1"/>
  <c r="E75" i="51" s="1"/>
  <c r="C76" i="51" l="1"/>
  <c r="D76" i="51" s="1"/>
  <c r="E76" i="51" s="1"/>
  <c r="C77" i="51" l="1"/>
  <c r="D77" i="51" s="1"/>
  <c r="E77" i="51" s="1"/>
  <c r="C78" i="51" l="1"/>
  <c r="D78" i="51" s="1"/>
  <c r="E78" i="51" s="1"/>
  <c r="C79" i="51" l="1"/>
  <c r="D79" i="51" s="1"/>
  <c r="E79" i="51" s="1"/>
  <c r="C80" i="51" l="1"/>
  <c r="D80" i="51" s="1"/>
  <c r="E80" i="51" s="1"/>
  <c r="C81" i="51" l="1"/>
  <c r="D81" i="51" s="1"/>
  <c r="E81" i="51" s="1"/>
  <c r="C82" i="51" l="1"/>
  <c r="D82" i="51" s="1"/>
  <c r="E82" i="51" s="1"/>
  <c r="C83" i="51" l="1"/>
  <c r="D83" i="51" s="1"/>
  <c r="E83" i="51" s="1"/>
  <c r="C84" i="51" l="1"/>
  <c r="D84" i="51" s="1"/>
  <c r="E84" i="51" s="1"/>
  <c r="C85" i="51" l="1"/>
  <c r="D85" i="51" s="1"/>
  <c r="E85" i="51" s="1"/>
  <c r="C86" i="51" l="1"/>
  <c r="D86" i="51" s="1"/>
  <c r="E86" i="51" s="1"/>
  <c r="C87" i="51" l="1"/>
  <c r="D87" i="51" s="1"/>
  <c r="E87" i="51" s="1"/>
  <c r="C88" i="51" l="1"/>
  <c r="D88" i="51" s="1"/>
  <c r="E88" i="51" s="1"/>
  <c r="C89" i="51" l="1"/>
  <c r="D89" i="51" s="1"/>
  <c r="E89" i="51" s="1"/>
  <c r="C90" i="51" l="1"/>
  <c r="D90" i="51" s="1"/>
  <c r="E90" i="51" s="1"/>
  <c r="C91" i="51" l="1"/>
  <c r="D91" i="51" s="1"/>
  <c r="E91" i="51" s="1"/>
  <c r="C92" i="51" l="1"/>
  <c r="D92" i="51" s="1"/>
  <c r="E92" i="51" s="1"/>
  <c r="C93" i="51" l="1"/>
  <c r="D93" i="51" s="1"/>
  <c r="E93" i="51" s="1"/>
  <c r="C94" i="51" l="1"/>
  <c r="D94" i="51" s="1"/>
  <c r="E94" i="51" s="1"/>
  <c r="C95" i="51" l="1"/>
  <c r="D95" i="51" s="1"/>
  <c r="E95" i="51" s="1"/>
  <c r="C96" i="51" l="1"/>
  <c r="D96" i="51" s="1"/>
  <c r="E96" i="51" s="1"/>
  <c r="C97" i="51" l="1"/>
  <c r="D97" i="51" s="1"/>
  <c r="E97" i="51" s="1"/>
  <c r="C98" i="51" l="1"/>
  <c r="D98" i="51" s="1"/>
  <c r="E98" i="51" s="1"/>
  <c r="C99" i="51" l="1"/>
  <c r="D99" i="51" s="1"/>
  <c r="E99" i="51" s="1"/>
  <c r="C100" i="51" l="1"/>
  <c r="D100" i="51" s="1"/>
  <c r="E100" i="51" s="1"/>
  <c r="C101" i="51" l="1"/>
  <c r="D101" i="51" s="1"/>
  <c r="E101" i="51" s="1"/>
  <c r="C102" i="51" l="1"/>
  <c r="D102" i="51" s="1"/>
  <c r="E102" i="51" s="1"/>
  <c r="C103" i="51" l="1"/>
  <c r="D103" i="51" s="1"/>
  <c r="E103" i="51" s="1"/>
  <c r="C104" i="51" l="1"/>
  <c r="D104" i="51" s="1"/>
  <c r="E104" i="51" s="1"/>
  <c r="C105" i="51" l="1"/>
  <c r="D105" i="51" s="1"/>
  <c r="E105" i="51" s="1"/>
  <c r="C106" i="51" l="1"/>
  <c r="D106" i="51" s="1"/>
  <c r="E106" i="51" s="1"/>
  <c r="C107" i="51" l="1"/>
  <c r="D107" i="51" s="1"/>
  <c r="E107" i="51" s="1"/>
  <c r="C108" i="51" l="1"/>
  <c r="D108" i="51" s="1"/>
  <c r="E108" i="51" s="1"/>
  <c r="C109" i="51" l="1"/>
  <c r="D109" i="51" s="1"/>
  <c r="E109" i="51" s="1"/>
  <c r="C110" i="51" l="1"/>
  <c r="D110" i="51" s="1"/>
  <c r="E110" i="51" s="1"/>
  <c r="C111" i="51" l="1"/>
  <c r="D111" i="51" s="1"/>
  <c r="E111" i="51" s="1"/>
  <c r="C112" i="51" l="1"/>
  <c r="D112" i="51" s="1"/>
  <c r="E112" i="51" s="1"/>
  <c r="C113" i="51" l="1"/>
  <c r="D113" i="51" s="1"/>
  <c r="E113" i="51" s="1"/>
  <c r="C114" i="51" l="1"/>
  <c r="D114" i="51" s="1"/>
  <c r="E114" i="51" s="1"/>
  <c r="C115" i="51" l="1"/>
  <c r="D115" i="51" s="1"/>
  <c r="E115" i="51" s="1"/>
  <c r="C116" i="51" l="1"/>
  <c r="D116" i="51" s="1"/>
  <c r="E116" i="51" s="1"/>
  <c r="C117" i="51" l="1"/>
  <c r="D117" i="51" s="1"/>
  <c r="E117" i="51" s="1"/>
  <c r="C118" i="51" l="1"/>
  <c r="D118" i="51" s="1"/>
  <c r="E118" i="51" s="1"/>
  <c r="C119" i="51" l="1"/>
  <c r="D119" i="51" s="1"/>
  <c r="E119" i="51" s="1"/>
  <c r="C120" i="51" l="1"/>
  <c r="D120" i="51" s="1"/>
  <c r="E120" i="51" s="1"/>
  <c r="C121" i="51" l="1"/>
  <c r="D121" i="51" s="1"/>
  <c r="E121" i="51" s="1"/>
  <c r="C122" i="51" l="1"/>
  <c r="D122" i="51" s="1"/>
  <c r="E122" i="51" s="1"/>
  <c r="C123" i="51" l="1"/>
  <c r="D123" i="51" s="1"/>
  <c r="E123" i="51" s="1"/>
  <c r="C124" i="51" l="1"/>
  <c r="D124" i="51" s="1"/>
  <c r="E124" i="51" s="1"/>
  <c r="C125" i="51" l="1"/>
  <c r="D125" i="51" s="1"/>
  <c r="E125" i="51" s="1"/>
  <c r="C126" i="51" l="1"/>
  <c r="D126" i="51" s="1"/>
  <c r="E126" i="51" s="1"/>
  <c r="C127" i="51" l="1"/>
  <c r="D127" i="51" s="1"/>
  <c r="E127" i="51" s="1"/>
  <c r="C128" i="51" l="1"/>
  <c r="D128" i="51" s="1"/>
  <c r="E128" i="51" s="1"/>
  <c r="C129" i="51" l="1"/>
  <c r="D129" i="51" s="1"/>
  <c r="E129" i="51" s="1"/>
  <c r="C130" i="51" l="1"/>
  <c r="D130" i="51" s="1"/>
  <c r="E130" i="51" s="1"/>
  <c r="C131" i="51" l="1"/>
  <c r="D131" i="51" s="1"/>
  <c r="E131" i="51" s="1"/>
  <c r="C132" i="51" l="1"/>
  <c r="D132" i="51" s="1"/>
  <c r="E132" i="51" s="1"/>
  <c r="C133" i="51" l="1"/>
  <c r="D133" i="51" s="1"/>
  <c r="E133" i="51" s="1"/>
  <c r="C134" i="51" l="1"/>
  <c r="D134" i="51" s="1"/>
  <c r="E134" i="51" s="1"/>
  <c r="C135" i="51" l="1"/>
  <c r="D135" i="51" s="1"/>
  <c r="E135" i="51" s="1"/>
  <c r="C136" i="51" l="1"/>
  <c r="D136" i="51" s="1"/>
  <c r="E136" i="51" s="1"/>
  <c r="C137" i="51" l="1"/>
  <c r="D137" i="51" s="1"/>
  <c r="E137" i="51" s="1"/>
  <c r="C138" i="51" l="1"/>
  <c r="D138" i="51" s="1"/>
  <c r="E138" i="51" s="1"/>
  <c r="C139" i="51" l="1"/>
  <c r="D139" i="51" s="1"/>
  <c r="E139" i="51" s="1"/>
  <c r="C140" i="51" l="1"/>
  <c r="D140" i="51" s="1"/>
  <c r="E140" i="51" s="1"/>
  <c r="C141" i="51" l="1"/>
  <c r="D141" i="51" s="1"/>
  <c r="E141" i="51" s="1"/>
  <c r="C142" i="51" l="1"/>
  <c r="D142" i="51" s="1"/>
  <c r="E142" i="51" s="1"/>
  <c r="C143" i="51" l="1"/>
  <c r="D143" i="51" s="1"/>
  <c r="E143" i="51" s="1"/>
  <c r="C144" i="51" l="1"/>
  <c r="D144" i="51" s="1"/>
  <c r="E144" i="51" s="1"/>
  <c r="C145" i="51" l="1"/>
  <c r="D145" i="51" s="1"/>
  <c r="E145" i="51" s="1"/>
  <c r="C146" i="51" l="1"/>
  <c r="D146" i="51" s="1"/>
  <c r="E146" i="51" s="1"/>
  <c r="C147" i="51" l="1"/>
  <c r="D147" i="51" s="1"/>
  <c r="E147" i="51" s="1"/>
  <c r="C148" i="51" l="1"/>
  <c r="D148" i="51" s="1"/>
  <c r="E148" i="51" s="1"/>
  <c r="C149" i="51" l="1"/>
  <c r="D149" i="51" s="1"/>
  <c r="E149" i="51" s="1"/>
  <c r="C150" i="51" l="1"/>
  <c r="D150" i="51" s="1"/>
  <c r="E150" i="51" s="1"/>
  <c r="C151" i="51" l="1"/>
  <c r="D151" i="51" s="1"/>
  <c r="E151" i="51" s="1"/>
  <c r="C152" i="51" l="1"/>
  <c r="D152" i="51" s="1"/>
  <c r="E152" i="51" s="1"/>
  <c r="C153" i="51" l="1"/>
  <c r="D153" i="51" s="1"/>
  <c r="E153" i="51" s="1"/>
  <c r="C154" i="51" l="1"/>
  <c r="D154" i="51" s="1"/>
  <c r="E154" i="51" s="1"/>
  <c r="C155" i="51" l="1"/>
  <c r="D155" i="51" s="1"/>
  <c r="E155" i="51" s="1"/>
  <c r="C156" i="51" l="1"/>
  <c r="D156" i="51" s="1"/>
  <c r="E156" i="51" s="1"/>
  <c r="C157" i="51" l="1"/>
  <c r="D157" i="51" s="1"/>
  <c r="E157" i="51" s="1"/>
  <c r="C158" i="51" l="1"/>
  <c r="D158" i="51" s="1"/>
  <c r="E158" i="51" s="1"/>
  <c r="C159" i="51" l="1"/>
  <c r="D159" i="51" s="1"/>
  <c r="E159" i="51" s="1"/>
  <c r="C160" i="51" l="1"/>
  <c r="D160" i="51" s="1"/>
  <c r="E160" i="51" s="1"/>
  <c r="C161" i="51" l="1"/>
  <c r="D161" i="51" s="1"/>
  <c r="E161" i="51" s="1"/>
  <c r="C162" i="51" l="1"/>
  <c r="D162" i="51" s="1"/>
  <c r="E162" i="51" s="1"/>
  <c r="C163" i="51" l="1"/>
  <c r="D163" i="51" s="1"/>
  <c r="E163" i="51" s="1"/>
  <c r="C164" i="51" l="1"/>
  <c r="D164" i="51" s="1"/>
  <c r="E164" i="51" s="1"/>
  <c r="C165" i="51" l="1"/>
  <c r="D165" i="51" s="1"/>
  <c r="E165" i="51" s="1"/>
  <c r="C166" i="51" l="1"/>
  <c r="D166" i="51" s="1"/>
  <c r="E166" i="51" s="1"/>
  <c r="C167" i="51" l="1"/>
  <c r="D167" i="51" s="1"/>
  <c r="E167" i="51" s="1"/>
  <c r="C168" i="51" l="1"/>
  <c r="D168" i="51" s="1"/>
  <c r="E168" i="51" s="1"/>
  <c r="C169" i="51" l="1"/>
  <c r="D169" i="51" s="1"/>
  <c r="E169" i="51" s="1"/>
  <c r="C170" i="51" l="1"/>
  <c r="D170" i="51" s="1"/>
  <c r="E170" i="51" s="1"/>
  <c r="C171" i="51" l="1"/>
  <c r="D171" i="51" s="1"/>
  <c r="E171" i="51" s="1"/>
  <c r="C172" i="51" l="1"/>
  <c r="D172" i="51" s="1"/>
  <c r="E172" i="51" s="1"/>
  <c r="C173" i="51" l="1"/>
  <c r="D173" i="51" s="1"/>
  <c r="E173" i="51" s="1"/>
  <c r="C174" i="51" l="1"/>
  <c r="D174" i="51" s="1"/>
  <c r="E174" i="51" s="1"/>
  <c r="C175" i="51" l="1"/>
  <c r="D175" i="51" s="1"/>
  <c r="E175" i="51" s="1"/>
  <c r="C176" i="51" l="1"/>
  <c r="D176" i="51" s="1"/>
  <c r="E176" i="51" s="1"/>
  <c r="C177" i="51" l="1"/>
  <c r="D177" i="51" s="1"/>
  <c r="E177" i="51" s="1"/>
  <c r="C178" i="51" l="1"/>
  <c r="D178" i="51" s="1"/>
  <c r="E178" i="51" s="1"/>
  <c r="C179" i="51" l="1"/>
  <c r="D179" i="51" s="1"/>
  <c r="E179" i="51" s="1"/>
  <c r="C180" i="51" l="1"/>
  <c r="D180" i="51" s="1"/>
  <c r="E180" i="51" s="1"/>
  <c r="C181" i="51" l="1"/>
  <c r="D181" i="51" s="1"/>
  <c r="E181" i="51" s="1"/>
  <c r="C182" i="51" l="1"/>
  <c r="D182" i="51" s="1"/>
  <c r="E182" i="51" s="1"/>
  <c r="C183" i="51" l="1"/>
  <c r="D183" i="51" s="1"/>
  <c r="E183" i="51" s="1"/>
  <c r="C184" i="51" l="1"/>
  <c r="D184" i="51" s="1"/>
  <c r="E184" i="51" s="1"/>
  <c r="C185" i="51" l="1"/>
  <c r="D185" i="51" s="1"/>
  <c r="E185" i="51" s="1"/>
  <c r="C186" i="51" l="1"/>
  <c r="D186" i="51" s="1"/>
  <c r="E186" i="51" s="1"/>
  <c r="C187" i="51" l="1"/>
  <c r="D187" i="51" s="1"/>
  <c r="E187" i="51" s="1"/>
  <c r="C188" i="51" l="1"/>
  <c r="D188" i="51" s="1"/>
  <c r="E188" i="51" s="1"/>
  <c r="C189" i="51" l="1"/>
  <c r="D189" i="51" s="1"/>
  <c r="E189" i="51" s="1"/>
  <c r="C190" i="51" l="1"/>
  <c r="D190" i="51" s="1"/>
  <c r="E190" i="51" s="1"/>
  <c r="C191" i="51" l="1"/>
  <c r="D191" i="51" s="1"/>
  <c r="E191" i="51" s="1"/>
  <c r="C192" i="51" l="1"/>
  <c r="D192" i="51" s="1"/>
  <c r="E192" i="51" s="1"/>
  <c r="C193" i="51" l="1"/>
  <c r="D193" i="51" s="1"/>
  <c r="E193" i="51" s="1"/>
  <c r="C194" i="51" l="1"/>
  <c r="D194" i="51" s="1"/>
  <c r="E194" i="51" s="1"/>
  <c r="C195" i="51" l="1"/>
  <c r="D195" i="51" s="1"/>
  <c r="E195" i="51" s="1"/>
  <c r="C196" i="51" l="1"/>
  <c r="D196" i="51" s="1"/>
  <c r="E196" i="51" s="1"/>
  <c r="C197" i="51" l="1"/>
  <c r="D197" i="51" s="1"/>
  <c r="E197" i="51" s="1"/>
  <c r="C198" i="51" l="1"/>
  <c r="D198" i="51" s="1"/>
  <c r="E198" i="51" s="1"/>
  <c r="C199" i="51" l="1"/>
  <c r="D199" i="51" s="1"/>
  <c r="E199" i="51" s="1"/>
  <c r="C200" i="51" l="1"/>
  <c r="D200" i="51" s="1"/>
  <c r="E200" i="51" s="1"/>
  <c r="C201" i="51" l="1"/>
  <c r="D201" i="51" s="1"/>
  <c r="E201" i="51" s="1"/>
  <c r="C202" i="51" l="1"/>
  <c r="D202" i="51" s="1"/>
  <c r="E202" i="51" s="1"/>
  <c r="C203" i="51" l="1"/>
  <c r="D203" i="51" s="1"/>
  <c r="E203" i="51" s="1"/>
  <c r="C204" i="51" l="1"/>
  <c r="D204" i="51" s="1"/>
  <c r="E204" i="51" s="1"/>
  <c r="C205" i="51" l="1"/>
  <c r="D205" i="51" s="1"/>
  <c r="E205" i="51" s="1"/>
  <c r="C206" i="51" l="1"/>
  <c r="D206" i="51" s="1"/>
  <c r="E206" i="51" s="1"/>
  <c r="C207" i="51" l="1"/>
  <c r="D207" i="51" s="1"/>
  <c r="E207" i="51" s="1"/>
  <c r="C208" i="51" l="1"/>
  <c r="D208" i="51" s="1"/>
  <c r="E208" i="51" s="1"/>
  <c r="C209" i="51" l="1"/>
  <c r="D209" i="51" s="1"/>
  <c r="E209" i="51" s="1"/>
  <c r="C210" i="51" l="1"/>
  <c r="D210" i="51" s="1"/>
  <c r="E210" i="51" s="1"/>
  <c r="C211" i="51" l="1"/>
  <c r="D211" i="51" s="1"/>
  <c r="E211" i="51" s="1"/>
  <c r="C212" i="51" l="1"/>
  <c r="D212" i="51" s="1"/>
  <c r="E212" i="51" s="1"/>
  <c r="C213" i="51" l="1"/>
  <c r="D213" i="51" s="1"/>
  <c r="E213" i="51" s="1"/>
  <c r="C214" i="51" l="1"/>
  <c r="D214" i="51" s="1"/>
  <c r="E214" i="51" s="1"/>
  <c r="C215" i="51" l="1"/>
  <c r="D215" i="51" s="1"/>
  <c r="E215" i="51" s="1"/>
  <c r="C216" i="51" l="1"/>
  <c r="D216" i="51" s="1"/>
  <c r="E216" i="51" s="1"/>
  <c r="C217" i="51" l="1"/>
  <c r="D217" i="51" s="1"/>
  <c r="E217" i="51" s="1"/>
  <c r="C218" i="51" l="1"/>
  <c r="D218" i="51" s="1"/>
  <c r="E218" i="51" s="1"/>
  <c r="C219" i="51" l="1"/>
  <c r="D219" i="51" s="1"/>
  <c r="E219" i="51" s="1"/>
  <c r="C220" i="51" l="1"/>
  <c r="D220" i="51" s="1"/>
  <c r="E220" i="51" s="1"/>
  <c r="C221" i="51" l="1"/>
  <c r="D221" i="51" s="1"/>
  <c r="E221" i="51" s="1"/>
  <c r="C222" i="51" l="1"/>
  <c r="D222" i="51" s="1"/>
  <c r="E222" i="51" s="1"/>
  <c r="C223" i="51" l="1"/>
  <c r="D223" i="51" s="1"/>
  <c r="E223" i="51" s="1"/>
  <c r="C224" i="51" l="1"/>
  <c r="D224" i="51" s="1"/>
  <c r="E224" i="51" s="1"/>
  <c r="C225" i="51" l="1"/>
  <c r="D225" i="51" s="1"/>
  <c r="E225" i="51" s="1"/>
  <c r="C226" i="51" l="1"/>
  <c r="D226" i="51" s="1"/>
  <c r="E226" i="51" s="1"/>
  <c r="C227" i="51" l="1"/>
  <c r="D227" i="51" s="1"/>
  <c r="E227" i="51" s="1"/>
  <c r="C228" i="51" l="1"/>
  <c r="D228" i="51" s="1"/>
  <c r="E228" i="51" s="1"/>
  <c r="C229" i="51" l="1"/>
  <c r="D229" i="51" s="1"/>
  <c r="E229" i="51" s="1"/>
  <c r="C230" i="51" l="1"/>
  <c r="D230" i="51" s="1"/>
  <c r="E230" i="51" s="1"/>
  <c r="C231" i="51" l="1"/>
  <c r="D231" i="51" s="1"/>
  <c r="E231" i="51" s="1"/>
  <c r="C232" i="51" l="1"/>
  <c r="D232" i="51" s="1"/>
  <c r="E232" i="51" s="1"/>
  <c r="C233" i="51" l="1"/>
  <c r="D233" i="51" s="1"/>
  <c r="E233" i="51" s="1"/>
  <c r="C234" i="51" l="1"/>
  <c r="D234" i="51" s="1"/>
  <c r="E234" i="51" s="1"/>
  <c r="C235" i="51" l="1"/>
  <c r="D235" i="51" s="1"/>
  <c r="E235" i="51" s="1"/>
  <c r="C236" i="51" l="1"/>
  <c r="D236" i="51" s="1"/>
  <c r="E236" i="51" s="1"/>
  <c r="C237" i="51" l="1"/>
  <c r="D237" i="51" s="1"/>
  <c r="E237" i="51" s="1"/>
  <c r="C238" i="51" l="1"/>
  <c r="D238" i="51" s="1"/>
  <c r="E238" i="51" s="1"/>
  <c r="C239" i="51" l="1"/>
  <c r="D239" i="51" s="1"/>
  <c r="E239" i="51" s="1"/>
  <c r="C240" i="51" l="1"/>
  <c r="D240" i="51" s="1"/>
  <c r="E240" i="51" s="1"/>
  <c r="C241" i="51" l="1"/>
  <c r="D241" i="51" s="1"/>
  <c r="E241" i="51" s="1"/>
  <c r="C242" i="51" l="1"/>
  <c r="D242" i="51" s="1"/>
  <c r="E242" i="51" s="1"/>
  <c r="C243" i="51" l="1"/>
  <c r="D243" i="51" s="1"/>
  <c r="E243" i="51" s="1"/>
  <c r="C244" i="51" l="1"/>
  <c r="D244" i="51" s="1"/>
  <c r="E244" i="51" s="1"/>
  <c r="C245" i="51" l="1"/>
  <c r="D245" i="51" s="1"/>
  <c r="E245" i="51" s="1"/>
  <c r="C246" i="51" l="1"/>
  <c r="D246" i="51" s="1"/>
  <c r="E246" i="51" s="1"/>
  <c r="C247" i="51" l="1"/>
  <c r="D247" i="51" s="1"/>
  <c r="E247" i="51" s="1"/>
  <c r="C248" i="51" l="1"/>
  <c r="D248" i="51" s="1"/>
  <c r="E248" i="51" s="1"/>
  <c r="C249" i="51" l="1"/>
  <c r="D249" i="51" s="1"/>
  <c r="E249" i="51" s="1"/>
  <c r="C250" i="51" l="1"/>
  <c r="D250" i="51" s="1"/>
  <c r="E250" i="51" s="1"/>
  <c r="C251" i="51" l="1"/>
  <c r="D251" i="51" s="1"/>
  <c r="E251" i="51" s="1"/>
  <c r="C252" i="51" l="1"/>
  <c r="D252" i="51" s="1"/>
  <c r="E252" i="51" s="1"/>
  <c r="C253" i="51" l="1"/>
  <c r="D253" i="51" s="1"/>
  <c r="E253" i="51" s="1"/>
  <c r="C254" i="51" l="1"/>
  <c r="D254" i="51" s="1"/>
  <c r="E254" i="51" s="1"/>
  <c r="C255" i="51" l="1"/>
  <c r="D255" i="51" s="1"/>
  <c r="E255" i="51" s="1"/>
  <c r="C256" i="51" l="1"/>
  <c r="D256" i="51" s="1"/>
  <c r="E256" i="51" s="1"/>
  <c r="C257" i="51" l="1"/>
  <c r="D257" i="51" s="1"/>
  <c r="E257" i="51" s="1"/>
  <c r="C258" i="51" l="1"/>
  <c r="D258" i="51" s="1"/>
  <c r="E258" i="51" s="1"/>
  <c r="C259" i="51" l="1"/>
  <c r="D259" i="51" s="1"/>
  <c r="E259" i="51" s="1"/>
  <c r="C260" i="51" l="1"/>
  <c r="D260" i="51" s="1"/>
  <c r="E260" i="51" s="1"/>
  <c r="C261" i="51" l="1"/>
  <c r="D261" i="51" s="1"/>
  <c r="E261" i="51" s="1"/>
  <c r="C262" i="51" l="1"/>
  <c r="D262" i="51" s="1"/>
  <c r="E262" i="51" s="1"/>
  <c r="C263" i="51" l="1"/>
  <c r="D263" i="51" s="1"/>
  <c r="E263" i="51" s="1"/>
  <c r="C264" i="51" l="1"/>
  <c r="D264" i="51" s="1"/>
  <c r="E264" i="51" s="1"/>
  <c r="C265" i="51" l="1"/>
  <c r="D265" i="51" s="1"/>
  <c r="E265" i="51" s="1"/>
  <c r="C266" i="51" l="1"/>
  <c r="D266" i="51" s="1"/>
  <c r="E266" i="51" s="1"/>
  <c r="C267" i="51" l="1"/>
  <c r="D267" i="51" s="1"/>
  <c r="E267" i="51" s="1"/>
  <c r="C268" i="51" l="1"/>
  <c r="D268" i="51" s="1"/>
  <c r="E268" i="51" s="1"/>
  <c r="C269" i="51" l="1"/>
  <c r="D269" i="51" s="1"/>
  <c r="E269" i="51" s="1"/>
  <c r="C270" i="51" l="1"/>
  <c r="D270" i="51" s="1"/>
  <c r="E270" i="51" s="1"/>
  <c r="C271" i="51" l="1"/>
  <c r="D271" i="51" s="1"/>
  <c r="E271" i="51" s="1"/>
  <c r="C272" i="51" l="1"/>
  <c r="D272" i="51" s="1"/>
  <c r="E272" i="51" s="1"/>
  <c r="C273" i="51" l="1"/>
  <c r="D273" i="51" s="1"/>
  <c r="E273" i="51" s="1"/>
  <c r="C274" i="51" l="1"/>
  <c r="D274" i="51" s="1"/>
  <c r="E274" i="51" s="1"/>
  <c r="C275" i="51" l="1"/>
  <c r="D275" i="51" s="1"/>
  <c r="E275" i="51" s="1"/>
  <c r="C276" i="51" l="1"/>
  <c r="D276" i="51" s="1"/>
  <c r="E276" i="51" s="1"/>
  <c r="C277" i="51" l="1"/>
  <c r="D277" i="51" s="1"/>
  <c r="E277" i="51" s="1"/>
  <c r="C278" i="51" l="1"/>
  <c r="D278" i="51" s="1"/>
  <c r="E278" i="51" s="1"/>
  <c r="C279" i="51" l="1"/>
  <c r="D279" i="51" s="1"/>
  <c r="E279" i="51" s="1"/>
  <c r="C280" i="51" l="1"/>
  <c r="D280" i="51" s="1"/>
  <c r="E280" i="51" s="1"/>
  <c r="C281" i="51" l="1"/>
  <c r="D281" i="51" s="1"/>
  <c r="E281" i="51" s="1"/>
  <c r="C282" i="51" l="1"/>
  <c r="D282" i="51" s="1"/>
  <c r="E282" i="51" s="1"/>
  <c r="C283" i="51" l="1"/>
  <c r="D283" i="51" s="1"/>
  <c r="E283" i="51" s="1"/>
  <c r="C284" i="51" l="1"/>
  <c r="D284" i="51" s="1"/>
  <c r="E284" i="51" s="1"/>
  <c r="C285" i="51" l="1"/>
  <c r="D285" i="51" s="1"/>
  <c r="E285" i="51" s="1"/>
  <c r="C286" i="51" l="1"/>
  <c r="D286" i="51" s="1"/>
  <c r="E286" i="51" s="1"/>
  <c r="C287" i="51" l="1"/>
  <c r="D287" i="51" s="1"/>
  <c r="E287" i="51" s="1"/>
  <c r="C288" i="51" l="1"/>
  <c r="D288" i="51" s="1"/>
  <c r="E288" i="51" s="1"/>
  <c r="C289" i="51" l="1"/>
  <c r="D289" i="51" s="1"/>
  <c r="E289" i="51" s="1"/>
  <c r="C290" i="51" l="1"/>
  <c r="D290" i="51" s="1"/>
  <c r="E290" i="51" s="1"/>
  <c r="C291" i="51" l="1"/>
  <c r="D291" i="51" s="1"/>
  <c r="E291" i="51" s="1"/>
  <c r="C292" i="51" l="1"/>
  <c r="D292" i="51" s="1"/>
  <c r="E292" i="51" s="1"/>
  <c r="C293" i="51" l="1"/>
  <c r="D293" i="51" s="1"/>
  <c r="E293" i="51" s="1"/>
  <c r="C294" i="51" l="1"/>
  <c r="D294" i="51" s="1"/>
  <c r="E294" i="51" s="1"/>
  <c r="C295" i="51" l="1"/>
  <c r="D295" i="51" s="1"/>
  <c r="E295" i="51" s="1"/>
  <c r="C296" i="51" l="1"/>
  <c r="D296" i="51" s="1"/>
  <c r="E296" i="51" s="1"/>
  <c r="C297" i="51" l="1"/>
  <c r="D297" i="51" s="1"/>
  <c r="E297" i="51" s="1"/>
  <c r="C298" i="51" l="1"/>
  <c r="D298" i="51" s="1"/>
  <c r="E298" i="51" s="1"/>
  <c r="C299" i="51" l="1"/>
  <c r="D299" i="51" s="1"/>
  <c r="E299" i="51" s="1"/>
  <c r="C300" i="51" l="1"/>
  <c r="D300" i="51" s="1"/>
  <c r="E300" i="51" s="1"/>
  <c r="C301" i="51" l="1"/>
  <c r="D301" i="51" s="1"/>
  <c r="E301" i="51" s="1"/>
  <c r="C302" i="51" l="1"/>
  <c r="D302" i="51" s="1"/>
  <c r="E302" i="51" s="1"/>
  <c r="C303" i="51" l="1"/>
  <c r="D303" i="51" s="1"/>
  <c r="E303" i="51" s="1"/>
  <c r="C304" i="51" l="1"/>
  <c r="D304" i="51" s="1"/>
  <c r="E304" i="51" s="1"/>
  <c r="C305" i="51" l="1"/>
  <c r="D305" i="51" s="1"/>
  <c r="E305" i="51" s="1"/>
  <c r="C306" i="51" l="1"/>
  <c r="D306" i="51" s="1"/>
  <c r="E306" i="51" s="1"/>
  <c r="C307" i="51" l="1"/>
  <c r="D307" i="51" s="1"/>
  <c r="E307" i="51" s="1"/>
  <c r="C308" i="51" l="1"/>
  <c r="D308" i="51" s="1"/>
  <c r="E308" i="51" s="1"/>
  <c r="C309" i="51" l="1"/>
  <c r="D309" i="51" s="1"/>
  <c r="E309" i="51" s="1"/>
  <c r="C310" i="51" l="1"/>
  <c r="D310" i="51" s="1"/>
  <c r="E310" i="51" s="1"/>
  <c r="C311" i="51" l="1"/>
  <c r="D311" i="51" s="1"/>
  <c r="E311" i="51" s="1"/>
  <c r="C312" i="51" l="1"/>
  <c r="D312" i="51" s="1"/>
  <c r="E312" i="51" s="1"/>
  <c r="C313" i="51" l="1"/>
  <c r="D313" i="51" s="1"/>
  <c r="E313" i="51" s="1"/>
  <c r="C314" i="51" l="1"/>
  <c r="D314" i="51" s="1"/>
  <c r="E314" i="51" s="1"/>
  <c r="C315" i="51" l="1"/>
  <c r="D315" i="51" s="1"/>
  <c r="E315" i="51" s="1"/>
  <c r="C316" i="51" l="1"/>
  <c r="D316" i="51" s="1"/>
  <c r="E316" i="51" s="1"/>
  <c r="C317" i="51" l="1"/>
  <c r="D317" i="51" s="1"/>
  <c r="E317" i="51" s="1"/>
  <c r="C318" i="51" l="1"/>
  <c r="D318" i="51" s="1"/>
  <c r="E318" i="51" s="1"/>
  <c r="C319" i="51" l="1"/>
  <c r="D319" i="51" s="1"/>
  <c r="E319" i="51" s="1"/>
  <c r="C320" i="51" l="1"/>
  <c r="D320" i="51" s="1"/>
  <c r="E320" i="51" s="1"/>
  <c r="C321" i="51" l="1"/>
  <c r="D321" i="51" s="1"/>
  <c r="E321" i="51" s="1"/>
  <c r="C322" i="51" l="1"/>
  <c r="D322" i="51" s="1"/>
  <c r="E322" i="51" s="1"/>
  <c r="C323" i="51" l="1"/>
  <c r="D323" i="51" s="1"/>
  <c r="E323" i="51" s="1"/>
  <c r="C324" i="51" l="1"/>
  <c r="D324" i="51" s="1"/>
  <c r="E324" i="51" s="1"/>
  <c r="C325" i="51" l="1"/>
  <c r="D325" i="51" s="1"/>
  <c r="E325" i="51" s="1"/>
  <c r="C326" i="51" l="1"/>
  <c r="D326" i="51" s="1"/>
  <c r="E326" i="51" s="1"/>
  <c r="C327" i="51" l="1"/>
  <c r="D327" i="51" s="1"/>
  <c r="E327" i="51" s="1"/>
  <c r="C328" i="51" l="1"/>
  <c r="D328" i="51" s="1"/>
  <c r="E328" i="51" s="1"/>
  <c r="C329" i="51" l="1"/>
  <c r="D329" i="51" s="1"/>
  <c r="E329" i="51" s="1"/>
  <c r="C330" i="51" l="1"/>
  <c r="D330" i="51" s="1"/>
  <c r="E330" i="51" s="1"/>
  <c r="C331" i="51" l="1"/>
  <c r="D331" i="51" s="1"/>
  <c r="E331" i="51" s="1"/>
  <c r="C332" i="51" l="1"/>
  <c r="D332" i="51" s="1"/>
  <c r="E332" i="51" s="1"/>
  <c r="C333" i="51" l="1"/>
  <c r="D333" i="51" s="1"/>
  <c r="E333" i="51" s="1"/>
  <c r="C334" i="51" l="1"/>
  <c r="D334" i="51" s="1"/>
  <c r="E334" i="51" s="1"/>
  <c r="C335" i="51" l="1"/>
  <c r="D335" i="51" s="1"/>
  <c r="E335" i="51" s="1"/>
  <c r="C336" i="51" l="1"/>
  <c r="D336" i="51" s="1"/>
  <c r="E336" i="51" s="1"/>
  <c r="C337" i="51" l="1"/>
  <c r="D337" i="51" s="1"/>
  <c r="E337" i="51" s="1"/>
  <c r="C338" i="51" l="1"/>
  <c r="D338" i="51" s="1"/>
  <c r="E338" i="51" s="1"/>
  <c r="C339" i="51" l="1"/>
  <c r="D339" i="51" s="1"/>
  <c r="E339" i="51" s="1"/>
  <c r="C340" i="51" l="1"/>
  <c r="D340" i="51" s="1"/>
  <c r="E340" i="51" s="1"/>
  <c r="C341" i="51" l="1"/>
  <c r="D341" i="51" s="1"/>
  <c r="E341" i="51" s="1"/>
  <c r="C342" i="51" l="1"/>
  <c r="D342" i="51" s="1"/>
  <c r="E342" i="51" s="1"/>
  <c r="C343" i="51" l="1"/>
  <c r="D343" i="51" s="1"/>
  <c r="E343" i="51" s="1"/>
  <c r="C344" i="51" l="1"/>
  <c r="D344" i="51" s="1"/>
  <c r="E344" i="51" s="1"/>
  <c r="C345" i="51" l="1"/>
  <c r="D345" i="51" s="1"/>
  <c r="E345" i="51" s="1"/>
  <c r="C346" i="51" l="1"/>
  <c r="D346" i="51" s="1"/>
  <c r="E346" i="51" s="1"/>
  <c r="C347" i="51" l="1"/>
  <c r="D347" i="51" s="1"/>
  <c r="E347" i="51" s="1"/>
  <c r="C348" i="51" l="1"/>
  <c r="D348" i="51" s="1"/>
  <c r="E348" i="51" s="1"/>
  <c r="C349" i="51" l="1"/>
  <c r="D349" i="51" s="1"/>
  <c r="E349" i="51" s="1"/>
  <c r="C350" i="51" l="1"/>
  <c r="D350" i="51" s="1"/>
  <c r="E350" i="51" s="1"/>
  <c r="C351" i="51" l="1"/>
  <c r="D351" i="51" s="1"/>
  <c r="E351" i="51" s="1"/>
  <c r="C352" i="51" l="1"/>
  <c r="D352" i="51" s="1"/>
  <c r="E352" i="51" s="1"/>
  <c r="C353" i="51" l="1"/>
  <c r="D353" i="51" s="1"/>
  <c r="E353" i="51" s="1"/>
  <c r="C354" i="51" l="1"/>
  <c r="D354" i="51" s="1"/>
  <c r="E354" i="51" s="1"/>
  <c r="C355" i="51" l="1"/>
  <c r="D355" i="51" s="1"/>
  <c r="E355" i="51" s="1"/>
  <c r="C356" i="51" l="1"/>
  <c r="D356" i="51" s="1"/>
  <c r="E356" i="51" s="1"/>
  <c r="C357" i="51" l="1"/>
  <c r="D357" i="51" s="1"/>
  <c r="E357" i="51" s="1"/>
  <c r="C358" i="51" l="1"/>
  <c r="D358" i="51" s="1"/>
  <c r="E358" i="51" s="1"/>
  <c r="C359" i="51" l="1"/>
  <c r="D359" i="51" s="1"/>
  <c r="E359" i="51" s="1"/>
  <c r="C360" i="51" l="1"/>
  <c r="D360" i="51" s="1"/>
  <c r="E360" i="51" s="1"/>
  <c r="C361" i="51" l="1"/>
  <c r="D361" i="51" s="1"/>
  <c r="E361" i="51" s="1"/>
  <c r="C362" i="51" l="1"/>
  <c r="D362" i="51" s="1"/>
  <c r="E362" i="51" s="1"/>
  <c r="C363" i="51" l="1"/>
  <c r="D363" i="51" s="1"/>
  <c r="E363" i="51" s="1"/>
  <c r="C364" i="51" l="1"/>
  <c r="D364" i="51" s="1"/>
  <c r="E364" i="51" s="1"/>
  <c r="C365" i="51" l="1"/>
  <c r="D365" i="51" s="1"/>
  <c r="E365" i="51" s="1"/>
  <c r="C366" i="51" l="1"/>
  <c r="D366" i="51" s="1"/>
  <c r="E366" i="51" s="1"/>
  <c r="C367" i="51" l="1"/>
  <c r="D367" i="51" s="1"/>
  <c r="E367" i="51" s="1"/>
  <c r="I371" i="51" l="1"/>
  <c r="C368" i="51"/>
  <c r="D368" i="51" s="1"/>
  <c r="E368" i="51" s="1"/>
  <c r="J371" i="51" l="1"/>
  <c r="C369" i="51"/>
  <c r="D369" i="51" s="1"/>
  <c r="E369" i="51" s="1"/>
  <c r="C370" i="51" l="1"/>
  <c r="D370" i="51" l="1"/>
  <c r="C371" i="51"/>
  <c r="D371" i="51" l="1"/>
  <c r="E370" i="5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<sst xmlns="http://schemas.openxmlformats.org/spreadsheetml/2006/main" count="975" uniqueCount="221">
  <si>
    <t>PV</t>
  </si>
  <si>
    <t>FV</t>
  </si>
  <si>
    <t>i</t>
  </si>
  <si>
    <t>n</t>
  </si>
  <si>
    <t>x</t>
  </si>
  <si>
    <t>i/n</t>
  </si>
  <si>
    <t>n*x</t>
  </si>
  <si>
    <t>Present Value</t>
  </si>
  <si>
    <t>Future Value</t>
  </si>
  <si>
    <t>Annual Interest Rate</t>
  </si>
  <si>
    <t>Years</t>
  </si>
  <si>
    <t>Period Rate</t>
  </si>
  <si>
    <t>Total Periods</t>
  </si>
  <si>
    <t>Check</t>
  </si>
  <si>
    <t>Time 0</t>
  </si>
  <si>
    <t>Time 1</t>
  </si>
  <si>
    <t>Time 2</t>
  </si>
  <si>
    <t>Time 3</t>
  </si>
  <si>
    <t>Time 4</t>
  </si>
  <si>
    <t>Time 5</t>
  </si>
  <si>
    <t>Time 6</t>
  </si>
  <si>
    <t>Time 7</t>
  </si>
  <si>
    <t>Time 8</t>
  </si>
  <si>
    <t>Time 9</t>
  </si>
  <si>
    <t>Time 10</t>
  </si>
  <si>
    <t>Time</t>
  </si>
  <si>
    <t>Number of Compounding periods per year</t>
  </si>
  <si>
    <t>Individual FV of each amount</t>
  </si>
  <si>
    <t>Periods Remaining</t>
  </si>
  <si>
    <t>Cash Flow (Individual PV amount)</t>
  </si>
  <si>
    <t>Cash Flow (Individual FV amount)</t>
  </si>
  <si>
    <t>Individual PV of each amount</t>
  </si>
  <si>
    <t>You can put the zeros or not</t>
  </si>
  <si>
    <t>Check:</t>
  </si>
  <si>
    <t>Price of Machine is</t>
  </si>
  <si>
    <t>PV of Future Cash Flows</t>
  </si>
  <si>
    <t>Cash Flows and the NPV function</t>
  </si>
  <si>
    <t>Interest Rate = Discount Rate = i = APR =</t>
  </si>
  <si>
    <t>n =</t>
  </si>
  <si>
    <t>Method 1</t>
  </si>
  <si>
    <t>Method 2</t>
  </si>
  <si>
    <t>Cash Flow (out (+) and in (-) of wallet)</t>
  </si>
  <si>
    <t>Periods Left</t>
  </si>
  <si>
    <t>Cash Flows for NPV are 1) Into Investment is +, 2) Out of Investment is -</t>
  </si>
  <si>
    <t>NPV</t>
  </si>
  <si>
    <t>Totals</t>
  </si>
  <si>
    <r>
      <t xml:space="preserve">Key is to not include Time 0 value. From Excel: "Value1, value2, ... must be equally spaced in time and occur at the </t>
    </r>
    <r>
      <rPr>
        <b/>
        <u/>
        <sz val="11"/>
        <color indexed="8"/>
        <rFont val="Calibri"/>
        <family val="2"/>
      </rPr>
      <t>end</t>
    </r>
    <r>
      <rPr>
        <sz val="11"/>
        <color theme="1"/>
        <rFont val="Calibri"/>
        <family val="2"/>
        <scheme val="minor"/>
      </rPr>
      <t xml:space="preserve"> of each period." Also: Cash Flows are Opposite to other Financial Functions. If you want to include time 0 value, you must adding back in at the end. Think of it as into the investment is + and out of the investment is -.</t>
    </r>
  </si>
  <si>
    <t>Periods</t>
  </si>
  <si>
    <t>Example 14:</t>
  </si>
  <si>
    <t>APR = Annual Percentage Rate = i =</t>
  </si>
  <si>
    <t># of Compounding Periods per Year = n =</t>
  </si>
  <si>
    <r>
      <t xml:space="preserve">Period Rate = </t>
    </r>
    <r>
      <rPr>
        <b/>
        <sz val="16"/>
        <color indexed="8"/>
        <rFont val="Calibri"/>
        <family val="2"/>
      </rPr>
      <t>i/n</t>
    </r>
    <r>
      <rPr>
        <sz val="11"/>
        <color theme="1"/>
        <rFont val="Calibri"/>
        <family val="2"/>
        <scheme val="minor"/>
      </rPr>
      <t xml:space="preserve"> =</t>
    </r>
  </si>
  <si>
    <t>Example 15:</t>
  </si>
  <si>
    <t>Monthly Rate =</t>
  </si>
  <si>
    <r>
      <t xml:space="preserve">APR = Annual Percentage Rate (Required by the Truth-in-lending laws) = </t>
    </r>
    <r>
      <rPr>
        <b/>
        <sz val="16"/>
        <color indexed="8"/>
        <rFont val="Calibri"/>
        <family val="2"/>
      </rPr>
      <t>APR = i = i/n*n</t>
    </r>
    <r>
      <rPr>
        <sz val="11"/>
        <color theme="1"/>
        <rFont val="Calibri"/>
        <family val="2"/>
        <scheme val="minor"/>
      </rPr>
      <t xml:space="preserve"> =</t>
    </r>
  </si>
  <si>
    <t>Example 16:</t>
  </si>
  <si>
    <t>APR = i =</t>
  </si>
  <si>
    <r>
      <t>EAR</t>
    </r>
    <r>
      <rPr>
        <vertAlign val="subscript"/>
        <sz val="11"/>
        <color indexed="8"/>
        <rFont val="Calibri"/>
        <family val="2"/>
      </rPr>
      <t>Excel</t>
    </r>
    <r>
      <rPr>
        <sz val="11"/>
        <color theme="1"/>
        <rFont val="Calibri"/>
        <family val="2"/>
        <scheme val="minor"/>
      </rPr>
      <t xml:space="preserve"> = EFFECT(Nominal_Rate, Npery), where Nominal_Rate = APR = i and Npery = n</t>
    </r>
  </si>
  <si>
    <r>
      <t>APR</t>
    </r>
    <r>
      <rPr>
        <vertAlign val="subscript"/>
        <sz val="11"/>
        <color indexed="8"/>
        <rFont val="Calibri"/>
        <family val="2"/>
      </rPr>
      <t>1</t>
    </r>
    <r>
      <rPr>
        <sz val="11"/>
        <color theme="1"/>
        <rFont val="Calibri"/>
        <family val="2"/>
        <scheme val="minor"/>
      </rPr>
      <t xml:space="preserve"> = i =</t>
    </r>
  </si>
  <si>
    <r>
      <t>n</t>
    </r>
    <r>
      <rPr>
        <vertAlign val="subscript"/>
        <sz val="11"/>
        <color indexed="8"/>
        <rFont val="Calibri"/>
        <family val="2"/>
      </rPr>
      <t>1</t>
    </r>
    <r>
      <rPr>
        <sz val="11"/>
        <color theme="1"/>
        <rFont val="Calibri"/>
        <family val="2"/>
        <scheme val="minor"/>
      </rPr>
      <t xml:space="preserve"> =</t>
    </r>
  </si>
  <si>
    <r>
      <t>APR</t>
    </r>
    <r>
      <rPr>
        <vertAlign val="subscript"/>
        <sz val="11"/>
        <color indexed="8"/>
        <rFont val="Calibri"/>
        <family val="2"/>
      </rPr>
      <t>2</t>
    </r>
    <r>
      <rPr>
        <sz val="11"/>
        <color theme="1"/>
        <rFont val="Calibri"/>
        <family val="2"/>
        <scheme val="minor"/>
      </rPr>
      <t xml:space="preserve"> = i =</t>
    </r>
  </si>
  <si>
    <r>
      <t>n</t>
    </r>
    <r>
      <rPr>
        <vertAlign val="subscript"/>
        <sz val="11"/>
        <color indexed="8"/>
        <rFont val="Calibri"/>
        <family val="2"/>
      </rPr>
      <t>2</t>
    </r>
    <r>
      <rPr>
        <sz val="11"/>
        <color theme="1"/>
        <rFont val="Calibri"/>
        <family val="2"/>
        <scheme val="minor"/>
      </rPr>
      <t xml:space="preserve"> =</t>
    </r>
  </si>
  <si>
    <r>
      <t>EAR</t>
    </r>
    <r>
      <rPr>
        <vertAlign val="subscript"/>
        <sz val="11"/>
        <color indexed="8"/>
        <rFont val="Calibri"/>
        <family val="2"/>
      </rPr>
      <t>1</t>
    </r>
  </si>
  <si>
    <r>
      <t>EAR</t>
    </r>
    <r>
      <rPr>
        <vertAlign val="subscript"/>
        <sz val="11"/>
        <color indexed="8"/>
        <rFont val="Calibri"/>
        <family val="2"/>
      </rPr>
      <t>2</t>
    </r>
    <r>
      <rPr>
        <sz val="11"/>
        <color indexed="8"/>
        <rFont val="Calibri"/>
        <family val="2"/>
      </rPr>
      <t/>
    </r>
  </si>
  <si>
    <t>What is the APR and EAR?</t>
  </si>
  <si>
    <t>Days in Future =</t>
  </si>
  <si>
    <t>Check Amount =</t>
  </si>
  <si>
    <t>You get Today =</t>
  </si>
  <si>
    <t>Days in Year =</t>
  </si>
  <si>
    <t>APR =</t>
  </si>
  <si>
    <t>EAR =</t>
  </si>
  <si>
    <t>&lt;== correct because math formula does not truncate to an integer</t>
  </si>
  <si>
    <t>&lt;== Incorrect because the EFFECT function truncates npery to an integer</t>
  </si>
  <si>
    <t>If the EAR is 14.5% and you know that the number of compounding periods per year are 2, what is the APR?</t>
  </si>
  <si>
    <t>11.00% compounded 4 times a year earns more interest than 10.75% compounded 365 times a year.</t>
  </si>
  <si>
    <t>We could solve this by taking the FV of each value and then adding them up:</t>
  </si>
  <si>
    <t>x =</t>
  </si>
  <si>
    <t>Equal Payments Made At Equal Time Intervals = PMT =</t>
  </si>
  <si>
    <t>FV = FV(i/n,n*x,PMT,,0 or 1) =</t>
  </si>
  <si>
    <t>Total Paid in =</t>
  </si>
  <si>
    <t>Total Interest Earned =</t>
  </si>
  <si>
    <t>Words:</t>
  </si>
  <si>
    <t>Difference between Ordinary and Due =</t>
  </si>
  <si>
    <t>Monthly PMT =</t>
  </si>
  <si>
    <t xml:space="preserve">x = </t>
  </si>
  <si>
    <t>n for account is =</t>
  </si>
  <si>
    <t>Type= 0 or 1 ==&gt;</t>
  </si>
  <si>
    <t>check</t>
  </si>
  <si>
    <t>Solve for EAR first =</t>
  </si>
  <si>
    <t>n for PMT =</t>
  </si>
  <si>
    <t>Then from EAR, find APR (i) ==&gt;</t>
  </si>
  <si>
    <t>Then from APR (i), find period Rate ==&gt;</t>
  </si>
  <si>
    <t>Solve for Future Value =</t>
  </si>
  <si>
    <t>If I want to be a millionaire given the below investment data, how much should I invest at the end of each period?</t>
  </si>
  <si>
    <t>FV =</t>
  </si>
  <si>
    <t>i/n =</t>
  </si>
  <si>
    <t>PMT =</t>
  </si>
  <si>
    <t>Savings Plan for Daughter's college:</t>
  </si>
  <si>
    <t>FV check</t>
  </si>
  <si>
    <t>Inverse check</t>
  </si>
  <si>
    <t>i =</t>
  </si>
  <si>
    <t>PV =</t>
  </si>
  <si>
    <t>The long way:</t>
  </si>
  <si>
    <t>Amount</t>
  </si>
  <si>
    <t>i = APR (or Discount Rate)</t>
  </si>
  <si>
    <t>Age now =</t>
  </si>
  <si>
    <t>Age when you retire =</t>
  </si>
  <si>
    <t>Total Paid out =</t>
  </si>
  <si>
    <t>Total Received =</t>
  </si>
  <si>
    <t>Total Interest Received =</t>
  </si>
  <si>
    <t>i = Discount Rate =</t>
  </si>
  <si>
    <t>What is you monthly mortgage payment given the following financial details:</t>
  </si>
  <si>
    <t>i = APR =</t>
  </si>
  <si>
    <t xml:space="preserve">n = </t>
  </si>
  <si>
    <t>Age when you got get PMT any more =</t>
  </si>
  <si>
    <t>Given the below financial details for a loan, what is the APR and EAR?</t>
  </si>
  <si>
    <t>Loan amount = PV =</t>
  </si>
  <si>
    <t xml:space="preserve">n </t>
  </si>
  <si>
    <t>APR = i/n*n =</t>
  </si>
  <si>
    <t>How long to pay off your credit Card if you pay only the minimum PMT required?</t>
  </si>
  <si>
    <t>Balance = PV =</t>
  </si>
  <si>
    <t>Minimum Monthly PMT =</t>
  </si>
  <si>
    <t>n*x = NPER function =</t>
  </si>
  <si>
    <t>x = n*x/n =</t>
  </si>
  <si>
    <t>Perpetuity (consol) = Annuity where cash flow continues forever (Preferred Stock is considered a perpetuity)</t>
  </si>
  <si>
    <t>Quarterly Dividend = PMT =</t>
  </si>
  <si>
    <t>Quarterly Discount Rate =</t>
  </si>
  <si>
    <t>PV of Perpetuity = PMT/(i/n) =</t>
  </si>
  <si>
    <t>Interest Only Loans (Corporate Bonds):</t>
  </si>
  <si>
    <t>Borrow = PV =</t>
  </si>
  <si>
    <t xml:space="preserve">i = </t>
  </si>
  <si>
    <t>Semiannual Interest =</t>
  </si>
  <si>
    <t>Interest Paid</t>
  </si>
  <si>
    <t>Principal Paid</t>
  </si>
  <si>
    <t>Loan</t>
  </si>
  <si>
    <t>Annual rate</t>
  </si>
  <si>
    <t>Periodic Rate</t>
  </si>
  <si>
    <t>Payment periods per year</t>
  </si>
  <si>
    <t>Period PMT</t>
  </si>
  <si>
    <t>Periodic Interest Payment</t>
  </si>
  <si>
    <t>Principal Repayment</t>
  </si>
  <si>
    <t>Principal Balance</t>
  </si>
  <si>
    <t>PMT</t>
  </si>
  <si>
    <t>Balance</t>
  </si>
  <si>
    <t>Amount Received</t>
  </si>
  <si>
    <t>Repayment of Loan</t>
  </si>
  <si>
    <t>Implicit Periodic Interest
(Tax Advantage = Interest*Marginal Rate==&gt; Actual cash flow = Interest*(1-tax rate))</t>
  </si>
  <si>
    <t>Price</t>
  </si>
  <si>
    <t>Principal Reduction</t>
  </si>
  <si>
    <t>I/N</t>
  </si>
  <si>
    <t>N*X</t>
  </si>
  <si>
    <t>Due</t>
  </si>
  <si>
    <t xml:space="preserve">Type </t>
  </si>
  <si>
    <t>Ordinary</t>
  </si>
  <si>
    <t>Relationship: Annuity Due = Annuity Ordinary * (1 + i/n)</t>
  </si>
  <si>
    <t>0 or Blank for Ordinary Annuity, or, 1 for Annuity Due</t>
  </si>
  <si>
    <t>FV = FV(i/n,n*x,PMT)</t>
  </si>
  <si>
    <t>Ordinary = 0 or blank, Due = 1</t>
  </si>
  <si>
    <t>Discount Rate</t>
  </si>
  <si>
    <t>Discount Rate = Return you must earn on Asset</t>
  </si>
  <si>
    <t>Annual Interest Rate = Discount Rate</t>
  </si>
  <si>
    <t>Net Present Value</t>
  </si>
  <si>
    <r>
      <t xml:space="preserve">EAR = </t>
    </r>
    <r>
      <rPr>
        <b/>
        <sz val="16"/>
        <color theme="1"/>
        <rFont val="Calibri"/>
        <family val="2"/>
        <scheme val="minor"/>
      </rPr>
      <t>Effective Annual Rate</t>
    </r>
    <r>
      <rPr>
        <sz val="11"/>
        <color theme="1"/>
        <rFont val="Calibri"/>
        <family val="2"/>
        <scheme val="minor"/>
      </rPr>
      <t xml:space="preserve"> (Real Rate that has n = 1) = </t>
    </r>
    <r>
      <rPr>
        <b/>
        <sz val="16"/>
        <color indexed="8"/>
        <rFont val="Calibri"/>
        <family val="2"/>
      </rPr>
      <t>(1+i/n)^n - 1</t>
    </r>
  </si>
  <si>
    <t>Notes:
Never EAR/n. ONLY APR/n.
APR = EAR ONLY when n = 1
EAR &gt; APR when n &gt; 1.</t>
  </si>
  <si>
    <t>Test:</t>
  </si>
  <si>
    <r>
      <rPr>
        <b/>
        <sz val="11"/>
        <color theme="1"/>
        <rFont val="Calibri"/>
        <family val="2"/>
        <scheme val="minor"/>
      </rPr>
      <t>APR</t>
    </r>
    <r>
      <rPr>
        <sz val="11"/>
        <color theme="1"/>
        <rFont val="Calibri"/>
        <family val="2"/>
        <scheme val="minor"/>
      </rPr>
      <t xml:space="preserve"> = Annual Percentage Rate = i =</t>
    </r>
  </si>
  <si>
    <r>
      <rPr>
        <b/>
        <sz val="11"/>
        <color theme="1"/>
        <rFont val="Calibri"/>
        <family val="2"/>
        <scheme val="minor"/>
      </rPr>
      <t>Period Rate</t>
    </r>
    <r>
      <rPr>
        <sz val="11"/>
        <color theme="1"/>
        <rFont val="Calibri"/>
        <family val="2"/>
        <scheme val="minor"/>
      </rPr>
      <t xml:space="preserve"> = </t>
    </r>
    <r>
      <rPr>
        <sz val="11"/>
        <color indexed="8"/>
        <rFont val="Calibri"/>
        <family val="2"/>
      </rPr>
      <t>i/n</t>
    </r>
    <r>
      <rPr>
        <sz val="11"/>
        <color theme="1"/>
        <rFont val="Calibri"/>
        <family val="2"/>
        <scheme val="minor"/>
      </rPr>
      <t xml:space="preserve"> =</t>
    </r>
  </si>
  <si>
    <r>
      <rPr>
        <b/>
        <sz val="11"/>
        <color theme="1"/>
        <rFont val="Calibri"/>
        <family val="2"/>
        <scheme val="minor"/>
      </rPr>
      <t>EAR</t>
    </r>
    <r>
      <rPr>
        <sz val="11"/>
        <color theme="1"/>
        <rFont val="Calibri"/>
        <family val="2"/>
        <scheme val="minor"/>
      </rPr>
      <t xml:space="preserve"> =</t>
    </r>
  </si>
  <si>
    <t>PV (we'll leave $ in for 1 year)</t>
  </si>
  <si>
    <t>Note: Math formula not possible when n &gt; 5, must iterate to find answer (back and forth in order to "zero in on number".)</t>
  </si>
  <si>
    <t>MoneyTreeRUsLoaning will:</t>
  </si>
  <si>
    <t>Amount In</t>
  </si>
  <si>
    <t>x*n</t>
  </si>
  <si>
    <t>Period rate</t>
  </si>
  <si>
    <t>PMT means periodic payment (same amount each period)</t>
  </si>
  <si>
    <t>PMT function calculates the period payment for a loan (For the Borrower or the Lender). The Amount of each PMT must be the same and the time between each PMT must be the same.</t>
  </si>
  <si>
    <t>Cash Flow matters in Finance. Cash going out of the wallet is negative. Cash coming into the wallet is positive.</t>
  </si>
  <si>
    <t>For the borrow the PV is positive, the PMT is negative, and the FV is negative. For the Lender the PV is negative, the PMT is positive, and the FV is positive.</t>
  </si>
  <si>
    <t>Be consistent with your unit of time! If you are calculating monthly payment, you need monthly interest rate and total number of months! (The period can be monthly, quarterly, yearly or any other length).</t>
  </si>
  <si>
    <t xml:space="preserve"> =PMT(rate = period rate, nper = total number of periods, pv means amount invested or lent out today, fv means amount received after all the periods have elapsed or amount paid after all the periods have elapsed, type refers to the PMT: PMT at end of period = 0, PMT at beginning of period = 1)</t>
  </si>
  <si>
    <t xml:space="preserve"> =FV(rate = period rate, nper = total number of periods, pmt means periodic payment, pv means amount invested or lent out today, type refers to the PMT: PMT at end of period = 0, PMT at beginning of period = 1)</t>
  </si>
  <si>
    <t>Price of Car</t>
  </si>
  <si>
    <t>Down Payment</t>
  </si>
  <si>
    <t>Monthly Interest Rate</t>
  </si>
  <si>
    <t>Loan Amount</t>
  </si>
  <si>
    <t>Years for Loan</t>
  </si>
  <si>
    <t>PMT end of period</t>
  </si>
  <si>
    <t>Total Months</t>
  </si>
  <si>
    <t xml:space="preserve">Monthly Payment </t>
  </si>
  <si>
    <t>Periods per Year</t>
  </si>
  <si>
    <t>PMT begin of period</t>
  </si>
  <si>
    <t>Type, 0 = End, 1 = Beg</t>
  </si>
  <si>
    <t>Balloon Payment</t>
  </si>
  <si>
    <t>Years payment is put off</t>
  </si>
  <si>
    <t>Period Interest Rate</t>
  </si>
  <si>
    <t>FV after 1 year</t>
  </si>
  <si>
    <t xml:space="preserve">Period Payment </t>
  </si>
  <si>
    <t>Points</t>
  </si>
  <si>
    <t>Actual Cash Received</t>
  </si>
  <si>
    <t>Adjusted APR</t>
  </si>
  <si>
    <t>…</t>
  </si>
  <si>
    <t>Excel Finance Class 27: Asset Valuation Using Discounted Cash Flow Analysis and PV Function</t>
  </si>
  <si>
    <t>Time420</t>
  </si>
  <si>
    <t>Buy</t>
  </si>
  <si>
    <t>Not Buy</t>
  </si>
  <si>
    <t>Time 360</t>
  </si>
  <si>
    <t xml:space="preserve"> -PMT</t>
  </si>
  <si>
    <t xml:space="preserve"> + PV</t>
  </si>
  <si>
    <t>?</t>
  </si>
  <si>
    <t>Fees</t>
  </si>
  <si>
    <t>Adjusted APR when there are Points and Fees</t>
  </si>
  <si>
    <t>Excel Finance Class 33: Full Life Retirement Plan PV Annuity &amp; FV Annuity PV &amp; PMT Functions</t>
  </si>
  <si>
    <t>Begin Annuity - Annuity Due</t>
  </si>
  <si>
    <t>Repayment of Loan = FV</t>
  </si>
  <si>
    <t>Amount Received = PV</t>
  </si>
  <si>
    <t>Interest</t>
  </si>
  <si>
    <r>
      <t xml:space="preserve">Note: APR is also called: </t>
    </r>
    <r>
      <rPr>
        <b/>
        <sz val="12"/>
        <color indexed="8"/>
        <rFont val="Calibri"/>
        <family val="2"/>
      </rPr>
      <t>Nominal Rate</t>
    </r>
    <r>
      <rPr>
        <sz val="11"/>
        <color theme="1"/>
        <rFont val="Calibri"/>
        <family val="2"/>
        <scheme val="minor"/>
      </rPr>
      <t>, Quoted Rate, Stated Rate, Annual Interest Rate.</t>
    </r>
  </si>
  <si>
    <t>FV = PMT*((1+i/n)^(x*n)-1)/(i/n) =</t>
  </si>
  <si>
    <t>Ordinary FV factor (from Tables) = ((1+i/n)^(x*n)-1)/(i/n) =</t>
  </si>
  <si>
    <t>FV = PMT*((1+i/n)^(x*n)-1)/(i/n)*(1+i/n) =</t>
  </si>
  <si>
    <t>MS 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</si>
</sst>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
    <numFmt numFmtId="167" formatCode="0.0000000"/>
    <numFmt numFmtId="168" formatCode="0.0%"/>
    <numFmt numFmtId="169" formatCode="0.00000"/>
    <numFmt numFmtId="170" formatCode="0.0000"/>
    <numFmt numFmtId="171" formatCode="&quot;$&quot;#,##0,"/>
    <numFmt numFmtId="172" formatCode="d\-mmm\-yyyy"/>
    <numFmt numFmtId="173" formatCode="#\ ???/???"/>
    <numFmt numFmtId="174" formatCode="0.000000%"/>
    <numFmt numFmtId="175" formatCode="0.000000000%"/>
  </numFmts>
  <fonts count="21" x14ac:knownFonts="1">
    <font>
      <sz val="11"/>
      <color theme="1"/>
      <name val="Calibri"/>
      <family val="2"/>
      <scheme val="minor"/>
    </font>
    <font>
      <sz val="11"/>
      <color theme="0"/>
      <name val="Calibri"/>
      <family val="2"/>
      <scheme val="minor"/>
    </font>
    <font>
      <b/>
      <u/>
      <sz val="11"/>
      <color indexed="8"/>
      <name val="Calibri"/>
      <family val="2"/>
    </font>
    <font>
      <sz val="10"/>
      <name val="Arial"/>
      <family val="2"/>
    </font>
    <font>
      <sz val="11"/>
      <color indexed="9"/>
      <name val="Calibri"/>
      <family val="2"/>
    </font>
    <font>
      <b/>
      <sz val="16"/>
      <color indexed="8"/>
      <name val="Calibri"/>
      <family val="2"/>
    </font>
    <font>
      <b/>
      <sz val="12"/>
      <color indexed="8"/>
      <name val="Calibri"/>
      <family val="2"/>
    </font>
    <font>
      <sz val="11"/>
      <color indexed="8"/>
      <name val="Calibri"/>
      <family val="2"/>
    </font>
    <font>
      <vertAlign val="subscript"/>
      <sz val="11"/>
      <color indexed="8"/>
      <name val="Calibri"/>
      <family val="2"/>
    </font>
    <font>
      <sz val="11"/>
      <name val="Calibri"/>
      <family val="2"/>
    </font>
    <font>
      <sz val="10"/>
      <color indexed="9"/>
      <name val="Arial"/>
      <family val="2"/>
    </font>
    <font>
      <b/>
      <sz val="11"/>
      <color theme="1"/>
      <name val="Calibri"/>
      <family val="2"/>
      <scheme val="minor"/>
    </font>
    <font>
      <b/>
      <sz val="16"/>
      <color theme="1"/>
      <name val="Calibri"/>
      <family val="2"/>
      <scheme val="minor"/>
    </font>
    <font>
      <sz val="11"/>
      <color theme="1"/>
      <name val="Calibri"/>
      <family val="2"/>
      <scheme val="minor"/>
    </font>
    <font>
      <sz val="10"/>
      <color theme="0"/>
      <name val="Arial"/>
      <family val="2"/>
    </font>
    <font>
      <b/>
      <sz val="10"/>
      <color theme="0"/>
      <name val="Arial"/>
      <family val="2"/>
    </font>
    <font>
      <sz val="9"/>
      <name val="Arial"/>
      <family val="2"/>
    </font>
    <font>
      <sz val="12"/>
      <name val="Bookman Old Style"/>
      <family val="1"/>
    </font>
    <font>
      <b/>
      <sz val="10"/>
      <name val="Arial"/>
      <family val="2"/>
    </font>
    <font>
      <b/>
      <sz val="16"/>
      <color indexed="53"/>
      <name val="Bell MT"/>
      <family val="1"/>
    </font>
    <font>
      <b/>
      <sz val="10"/>
      <color rgb="FFEE0000"/>
      <name val="Arial"/>
      <family val="2"/>
    </font>
  </fonts>
  <fills count="18">
    <fill>
      <patternFill patternType="none"/>
    </fill>
    <fill>
      <patternFill patternType="gray125"/>
    </fill>
    <fill>
      <patternFill patternType="solid">
        <fgColor rgb="FFCCFFCC"/>
        <bgColor indexed="64"/>
      </patternFill>
    </fill>
    <fill>
      <patternFill patternType="solid">
        <fgColor rgb="FF002060"/>
        <bgColor indexed="64"/>
      </patternFill>
    </fill>
    <fill>
      <patternFill patternType="solid">
        <fgColor rgb="FFFFFF00"/>
        <bgColor indexed="64"/>
      </patternFill>
    </fill>
    <fill>
      <patternFill patternType="solid">
        <fgColor indexed="29"/>
        <bgColor indexed="64"/>
      </patternFill>
    </fill>
    <fill>
      <patternFill patternType="solid">
        <fgColor indexed="30"/>
        <bgColor indexed="64"/>
      </patternFill>
    </fill>
    <fill>
      <patternFill patternType="solid">
        <fgColor indexed="42"/>
        <bgColor indexed="64"/>
      </patternFill>
    </fill>
    <fill>
      <patternFill patternType="solid">
        <fgColor indexed="13"/>
        <bgColor indexed="64"/>
      </patternFill>
    </fill>
    <fill>
      <patternFill patternType="solid">
        <fgColor indexed="12"/>
        <bgColor indexed="64"/>
      </patternFill>
    </fill>
    <fill>
      <patternFill patternType="solid">
        <fgColor indexed="43"/>
        <bgColor indexed="64"/>
      </patternFill>
    </fill>
    <fill>
      <patternFill patternType="solid">
        <fgColor rgb="FFFFFF99"/>
        <bgColor indexed="64"/>
      </patternFill>
    </fill>
    <fill>
      <patternFill patternType="solid">
        <fgColor rgb="FF0070C0"/>
        <bgColor indexed="64"/>
      </patternFill>
    </fill>
    <fill>
      <patternFill patternType="solid">
        <fgColor rgb="FFFF0000"/>
        <bgColor indexed="64"/>
      </patternFill>
    </fill>
    <fill>
      <patternFill patternType="solid">
        <fgColor indexed="11"/>
        <bgColor indexed="64"/>
      </patternFill>
    </fill>
    <fill>
      <patternFill patternType="solid">
        <fgColor indexed="10"/>
        <bgColor indexed="64"/>
      </patternFill>
    </fill>
    <fill>
      <patternFill patternType="solid">
        <fgColor indexed="26"/>
      </patternFill>
    </fill>
    <fill>
      <patternFill patternType="solid">
        <fgColor theme="6"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thick">
        <color indexed="64"/>
      </top>
      <bottom style="thick">
        <color indexed="64"/>
      </bottom>
      <diagonal/>
    </border>
    <border>
      <left style="thick">
        <color indexed="53"/>
      </left>
      <right style="thick">
        <color indexed="53"/>
      </right>
      <top style="thick">
        <color indexed="53"/>
      </top>
      <bottom style="thick">
        <color indexed="53"/>
      </bottom>
      <diagonal/>
    </border>
    <border>
      <left/>
      <right/>
      <top style="thick">
        <color indexed="64"/>
      </top>
      <bottom/>
      <diagonal/>
    </border>
    <border>
      <left style="thick">
        <color rgb="FFEE0000"/>
      </left>
      <right style="thin">
        <color indexed="64"/>
      </right>
      <top style="thick">
        <color rgb="FFEE0000"/>
      </top>
      <bottom style="thin">
        <color indexed="64"/>
      </bottom>
      <diagonal/>
    </border>
    <border>
      <left style="thin">
        <color indexed="64"/>
      </left>
      <right style="thin">
        <color indexed="64"/>
      </right>
      <top style="thick">
        <color rgb="FFEE0000"/>
      </top>
      <bottom style="thin">
        <color indexed="64"/>
      </bottom>
      <diagonal/>
    </border>
    <border>
      <left/>
      <right/>
      <top style="thick">
        <color rgb="FFEE0000"/>
      </top>
      <bottom/>
      <diagonal/>
    </border>
    <border>
      <left/>
      <right style="thick">
        <color rgb="FFEE0000"/>
      </right>
      <top style="thick">
        <color rgb="FFEE0000"/>
      </top>
      <bottom/>
      <diagonal/>
    </border>
    <border>
      <left style="thick">
        <color rgb="FFEE0000"/>
      </left>
      <right style="thin">
        <color indexed="64"/>
      </right>
      <top style="thin">
        <color indexed="64"/>
      </top>
      <bottom style="thin">
        <color indexed="64"/>
      </bottom>
      <diagonal/>
    </border>
    <border>
      <left/>
      <right style="thick">
        <color rgb="FFEE0000"/>
      </right>
      <top/>
      <bottom/>
      <diagonal/>
    </border>
    <border>
      <left style="thick">
        <color rgb="FFEE0000"/>
      </left>
      <right/>
      <top/>
      <bottom/>
      <diagonal/>
    </border>
    <border>
      <left style="thin">
        <color indexed="64"/>
      </left>
      <right style="thick">
        <color rgb="FFEE0000"/>
      </right>
      <top style="thin">
        <color indexed="64"/>
      </top>
      <bottom style="thin">
        <color indexed="64"/>
      </bottom>
      <diagonal/>
    </border>
    <border>
      <left style="thick">
        <color rgb="FFEE0000"/>
      </left>
      <right style="thin">
        <color indexed="64"/>
      </right>
      <top style="thin">
        <color indexed="64"/>
      </top>
      <bottom style="thick">
        <color rgb="FFEE0000"/>
      </bottom>
      <diagonal/>
    </border>
    <border>
      <left style="thin">
        <color indexed="64"/>
      </left>
      <right style="thin">
        <color indexed="64"/>
      </right>
      <top style="thin">
        <color indexed="64"/>
      </top>
      <bottom style="thick">
        <color rgb="FFEE0000"/>
      </bottom>
      <diagonal/>
    </border>
    <border>
      <left/>
      <right/>
      <top/>
      <bottom style="thick">
        <color rgb="FFEE0000"/>
      </bottom>
      <diagonal/>
    </border>
    <border>
      <left style="thin">
        <color indexed="64"/>
      </left>
      <right style="thick">
        <color rgb="FFEE0000"/>
      </right>
      <top style="thin">
        <color indexed="64"/>
      </top>
      <bottom style="thick">
        <color rgb="FFEE0000"/>
      </bottom>
      <diagonal/>
    </border>
    <border>
      <left/>
      <right style="thick">
        <color rgb="FFEE0000"/>
      </right>
      <top/>
      <bottom style="thick">
        <color rgb="FFEE0000"/>
      </bottom>
      <diagonal/>
    </border>
  </borders>
  <cellStyleXfs count="20">
    <xf numFmtId="0" fontId="0" fillId="0" borderId="0"/>
    <xf numFmtId="0" fontId="3" fillId="0" borderId="0"/>
    <xf numFmtId="9" fontId="7"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0" fillId="9" borderId="1">
      <alignment wrapText="1"/>
    </xf>
    <xf numFmtId="0" fontId="10" fillId="9" borderId="1">
      <alignment horizontal="centerContinuous" wrapText="1"/>
    </xf>
    <xf numFmtId="171" fontId="17" fillId="0" borderId="0"/>
    <xf numFmtId="172" fontId="18" fillId="0" borderId="0" applyFont="0" applyFill="0" applyBorder="0" applyProtection="0">
      <alignment horizontal="center"/>
    </xf>
    <xf numFmtId="173" fontId="19" fillId="14" borderId="15">
      <alignment horizontal="left" indent="2"/>
    </xf>
    <xf numFmtId="0" fontId="3" fillId="15" borderId="1">
      <alignment horizontal="centerContinuous" wrapText="1"/>
    </xf>
    <xf numFmtId="0" fontId="3" fillId="0" borderId="0">
      <alignment wrapText="1"/>
    </xf>
    <xf numFmtId="0" fontId="3" fillId="16" borderId="0" applyNumberFormat="0" applyFont="0" applyBorder="0" applyAlignment="0" applyProtection="0"/>
    <xf numFmtId="0" fontId="3" fillId="8" borderId="1">
      <alignment horizontal="centerContinuous" wrapText="1"/>
    </xf>
    <xf numFmtId="43" fontId="3" fillId="0" borderId="0" applyFont="0" applyFill="0" applyBorder="0" applyAlignment="0" applyProtection="0"/>
  </cellStyleXfs>
  <cellXfs count="188">
    <xf numFmtId="0" fontId="0" fillId="0" borderId="0" xfId="0"/>
    <xf numFmtId="0" fontId="0" fillId="0" borderId="1" xfId="0" applyBorder="1"/>
    <xf numFmtId="0" fontId="0" fillId="2" borderId="1" xfId="0" applyFill="1" applyBorder="1"/>
    <xf numFmtId="9" fontId="0" fillId="0" borderId="1" xfId="0" applyNumberFormat="1" applyBorder="1"/>
    <xf numFmtId="8" fontId="0" fillId="0" borderId="1" xfId="0" applyNumberFormat="1" applyBorder="1"/>
    <xf numFmtId="8" fontId="0" fillId="0" borderId="0" xfId="0" applyNumberFormat="1"/>
    <xf numFmtId="0" fontId="0" fillId="0" borderId="1" xfId="0" applyBorder="1" applyAlignment="1">
      <alignment wrapText="1"/>
    </xf>
    <xf numFmtId="0" fontId="0" fillId="0" borderId="0" xfId="0" applyAlignment="1">
      <alignment wrapText="1"/>
    </xf>
    <xf numFmtId="0" fontId="1" fillId="3" borderId="1" xfId="0" applyFont="1" applyFill="1" applyBorder="1" applyAlignment="1">
      <alignment wrapText="1"/>
    </xf>
    <xf numFmtId="164" fontId="0" fillId="0" borderId="0" xfId="0" applyNumberFormat="1"/>
    <xf numFmtId="164" fontId="0" fillId="0" borderId="1" xfId="0" applyNumberFormat="1" applyBorder="1"/>
    <xf numFmtId="165" fontId="0" fillId="0" borderId="1" xfId="0" applyNumberFormat="1" applyBorder="1"/>
    <xf numFmtId="0" fontId="0" fillId="4" borderId="1" xfId="0" applyFill="1" applyBorder="1" applyAlignment="1">
      <alignment wrapText="1"/>
    </xf>
    <xf numFmtId="164" fontId="0" fillId="2" borderId="1" xfId="0" applyNumberFormat="1" applyFill="1" applyBorder="1"/>
    <xf numFmtId="4" fontId="0" fillId="0" borderId="1" xfId="0" applyNumberFormat="1" applyBorder="1"/>
    <xf numFmtId="4" fontId="0" fillId="2" borderId="1" xfId="0" applyNumberFormat="1" applyFill="1" applyBorder="1"/>
    <xf numFmtId="0" fontId="0" fillId="5" borderId="1" xfId="0" applyFill="1" applyBorder="1" applyAlignment="1">
      <alignment horizontal="centerContinuous" wrapText="1"/>
    </xf>
    <xf numFmtId="0" fontId="3" fillId="5" borderId="1" xfId="1" applyFill="1" applyBorder="1" applyAlignment="1">
      <alignment horizontal="centerContinuous" wrapText="1"/>
    </xf>
    <xf numFmtId="0" fontId="4" fillId="6" borderId="1" xfId="0" applyFont="1" applyFill="1" applyBorder="1" applyAlignment="1">
      <alignment horizontal="centerContinuous" wrapText="1"/>
    </xf>
    <xf numFmtId="0" fontId="4" fillId="6" borderId="0" xfId="0" applyFont="1" applyFill="1" applyAlignment="1">
      <alignment horizontal="centerContinuous" wrapText="1"/>
    </xf>
    <xf numFmtId="0" fontId="0" fillId="0" borderId="3" xfId="0" applyBorder="1" applyAlignment="1">
      <alignment wrapText="1"/>
    </xf>
    <xf numFmtId="0" fontId="0" fillId="0" borderId="3" xfId="0" applyBorder="1"/>
    <xf numFmtId="8" fontId="0" fillId="7" borderId="1" xfId="0" applyNumberFormat="1" applyFill="1" applyBorder="1"/>
    <xf numFmtId="0" fontId="0" fillId="0" borderId="4" xfId="0" applyBorder="1"/>
    <xf numFmtId="8" fontId="0" fillId="0" borderId="5" xfId="0" applyNumberFormat="1" applyBorder="1"/>
    <xf numFmtId="0" fontId="1" fillId="3" borderId="1" xfId="0" applyFont="1" applyFill="1" applyBorder="1" applyAlignment="1">
      <alignment horizontal="centerContinuous" wrapText="1"/>
    </xf>
    <xf numFmtId="4" fontId="0" fillId="0" borderId="3" xfId="0" applyNumberFormat="1" applyBorder="1"/>
    <xf numFmtId="4" fontId="0" fillId="0" borderId="4" xfId="0" applyNumberFormat="1" applyBorder="1"/>
    <xf numFmtId="4" fontId="0" fillId="7" borderId="1" xfId="0" applyNumberFormat="1" applyFill="1" applyBorder="1"/>
    <xf numFmtId="4" fontId="0" fillId="2" borderId="5" xfId="0" applyNumberFormat="1" applyFill="1" applyBorder="1"/>
    <xf numFmtId="0" fontId="0" fillId="5" borderId="7" xfId="0" applyFill="1" applyBorder="1"/>
    <xf numFmtId="0" fontId="0" fillId="7" borderId="1" xfId="0" applyFill="1" applyBorder="1"/>
    <xf numFmtId="10" fontId="7" fillId="7" borderId="1" xfId="2" applyNumberFormat="1" applyFont="1" applyFill="1" applyBorder="1" applyAlignment="1">
      <alignment horizontal="centerContinuous" wrapText="1"/>
    </xf>
    <xf numFmtId="0" fontId="0" fillId="7" borderId="1" xfId="0" applyFill="1" applyBorder="1" applyAlignment="1">
      <alignment horizontal="centerContinuous" wrapText="1"/>
    </xf>
    <xf numFmtId="10" fontId="0" fillId="0" borderId="1" xfId="0" applyNumberFormat="1" applyBorder="1"/>
    <xf numFmtId="10" fontId="9" fillId="7" borderId="7" xfId="2" applyNumberFormat="1" applyFont="1" applyFill="1" applyBorder="1" applyAlignment="1">
      <alignment horizontal="centerContinuous" wrapText="1"/>
    </xf>
    <xf numFmtId="0" fontId="9" fillId="7" borderId="8" xfId="0" applyFont="1" applyFill="1" applyBorder="1" applyAlignment="1">
      <alignment horizontal="centerContinuous" wrapText="1"/>
    </xf>
    <xf numFmtId="0" fontId="9" fillId="7" borderId="6" xfId="0" applyFont="1" applyFill="1" applyBorder="1" applyAlignment="1">
      <alignment horizontal="centerContinuous" wrapText="1"/>
    </xf>
    <xf numFmtId="0" fontId="0" fillId="0" borderId="10" xfId="0" applyBorder="1"/>
    <xf numFmtId="2" fontId="0" fillId="7" borderId="1" xfId="0" applyNumberFormat="1" applyFill="1" applyBorder="1"/>
    <xf numFmtId="166" fontId="7" fillId="7" borderId="1" xfId="2" applyNumberFormat="1" applyFont="1" applyFill="1" applyBorder="1"/>
    <xf numFmtId="166" fontId="0" fillId="0" borderId="0" xfId="0" applyNumberFormat="1"/>
    <xf numFmtId="0" fontId="0" fillId="5" borderId="1" xfId="0" applyFill="1" applyBorder="1"/>
    <xf numFmtId="0" fontId="0" fillId="8" borderId="6" xfId="0" applyFill="1" applyBorder="1" applyAlignment="1">
      <alignment horizontal="centerContinuous" wrapText="1"/>
    </xf>
    <xf numFmtId="44" fontId="7" fillId="7" borderId="1" xfId="6" applyFont="1" applyFill="1" applyBorder="1"/>
    <xf numFmtId="0" fontId="0" fillId="7" borderId="7" xfId="0" applyFill="1" applyBorder="1" applyAlignment="1">
      <alignment horizontal="centerContinuous" wrapText="1"/>
    </xf>
    <xf numFmtId="0" fontId="0" fillId="7" borderId="8" xfId="0" applyFill="1" applyBorder="1" applyAlignment="1">
      <alignment horizontal="centerContinuous" wrapText="1"/>
    </xf>
    <xf numFmtId="0" fontId="0" fillId="7" borderId="6" xfId="0" applyFill="1" applyBorder="1" applyAlignment="1">
      <alignment horizontal="centerContinuous" wrapText="1"/>
    </xf>
    <xf numFmtId="0" fontId="0" fillId="8" borderId="8" xfId="0" applyFill="1" applyBorder="1" applyAlignment="1">
      <alignment horizontal="centerContinuous" wrapText="1"/>
    </xf>
    <xf numFmtId="167" fontId="0" fillId="0" borderId="0" xfId="0" applyNumberFormat="1"/>
    <xf numFmtId="43" fontId="7" fillId="0" borderId="1" xfId="7" applyFont="1" applyBorder="1"/>
    <xf numFmtId="8" fontId="7" fillId="7" borderId="1" xfId="6" applyNumberFormat="1" applyFont="1" applyFill="1" applyBorder="1"/>
    <xf numFmtId="0" fontId="0" fillId="7" borderId="13" xfId="0" applyFill="1" applyBorder="1" applyAlignment="1">
      <alignment horizontal="centerContinuous" wrapText="1"/>
    </xf>
    <xf numFmtId="8" fontId="7" fillId="0" borderId="1" xfId="6" applyNumberFormat="1" applyFont="1" applyFill="1" applyBorder="1"/>
    <xf numFmtId="8" fontId="0" fillId="7" borderId="3" xfId="0" applyNumberFormat="1" applyFill="1" applyBorder="1"/>
    <xf numFmtId="0" fontId="0" fillId="0" borderId="2" xfId="0" applyBorder="1"/>
    <xf numFmtId="43" fontId="7" fillId="7" borderId="1" xfId="7" applyFont="1" applyFill="1" applyBorder="1"/>
    <xf numFmtId="8" fontId="7" fillId="7" borderId="1" xfId="7" applyNumberFormat="1" applyFont="1" applyFill="1" applyBorder="1"/>
    <xf numFmtId="43" fontId="7" fillId="0" borderId="0" xfId="7" applyFont="1"/>
    <xf numFmtId="8" fontId="7" fillId="7" borderId="3" xfId="7" applyNumberFormat="1" applyFont="1" applyFill="1" applyBorder="1"/>
    <xf numFmtId="0" fontId="0" fillId="8" borderId="7" xfId="0" applyFill="1" applyBorder="1" applyAlignment="1">
      <alignment horizontal="centerContinuous" wrapText="1"/>
    </xf>
    <xf numFmtId="43" fontId="7" fillId="0" borderId="10" xfId="7" applyFont="1" applyBorder="1"/>
    <xf numFmtId="10" fontId="7" fillId="0" borderId="1" xfId="2" applyNumberFormat="1" applyFont="1" applyBorder="1"/>
    <xf numFmtId="0" fontId="0" fillId="0" borderId="9" xfId="0" applyBorder="1"/>
    <xf numFmtId="168" fontId="7" fillId="0" borderId="1" xfId="2" applyNumberFormat="1" applyFont="1" applyBorder="1"/>
    <xf numFmtId="43" fontId="0" fillId="7" borderId="1" xfId="0" applyNumberFormat="1" applyFill="1" applyBorder="1"/>
    <xf numFmtId="0" fontId="0" fillId="8" borderId="1" xfId="0" applyFill="1" applyBorder="1" applyAlignment="1">
      <alignment wrapText="1"/>
    </xf>
    <xf numFmtId="0" fontId="0" fillId="8" borderId="1" xfId="0" applyFill="1" applyBorder="1"/>
    <xf numFmtId="43" fontId="0" fillId="0" borderId="1" xfId="0" applyNumberFormat="1" applyBorder="1"/>
    <xf numFmtId="0" fontId="3" fillId="0" borderId="0" xfId="1"/>
    <xf numFmtId="10" fontId="3" fillId="8" borderId="1" xfId="1" applyNumberFormat="1" applyFill="1" applyBorder="1" applyProtection="1">
      <protection locked="0"/>
    </xf>
    <xf numFmtId="0" fontId="3" fillId="0" borderId="1" xfId="1" applyBorder="1"/>
    <xf numFmtId="0" fontId="3" fillId="8" borderId="1" xfId="1" applyFill="1" applyBorder="1" applyProtection="1">
      <protection locked="0"/>
    </xf>
    <xf numFmtId="0" fontId="3" fillId="0" borderId="0" xfId="1" applyAlignment="1">
      <alignment wrapText="1"/>
    </xf>
    <xf numFmtId="0" fontId="10" fillId="9" borderId="1" xfId="1" applyFont="1" applyFill="1" applyBorder="1" applyAlignment="1" applyProtection="1">
      <alignment wrapText="1"/>
      <protection locked="0"/>
    </xf>
    <xf numFmtId="0" fontId="3" fillId="0" borderId="1" xfId="1" applyBorder="1" applyProtection="1">
      <protection locked="0"/>
    </xf>
    <xf numFmtId="43" fontId="3" fillId="0" borderId="1" xfId="1" applyNumberFormat="1" applyBorder="1"/>
    <xf numFmtId="43" fontId="3" fillId="7" borderId="1" xfId="1" applyNumberFormat="1" applyFill="1" applyBorder="1"/>
    <xf numFmtId="0" fontId="10" fillId="9" borderId="1" xfId="1" applyFont="1" applyFill="1" applyBorder="1" applyProtection="1">
      <protection locked="0"/>
    </xf>
    <xf numFmtId="164" fontId="3" fillId="7" borderId="1" xfId="1" applyNumberFormat="1" applyFill="1" applyBorder="1"/>
    <xf numFmtId="8" fontId="3" fillId="8" borderId="1" xfId="1" applyNumberFormat="1" applyFill="1" applyBorder="1" applyProtection="1">
      <protection locked="0"/>
    </xf>
    <xf numFmtId="164" fontId="3" fillId="0" borderId="0" xfId="1" applyNumberFormat="1"/>
    <xf numFmtId="164" fontId="3" fillId="0" borderId="1" xfId="1" applyNumberFormat="1" applyBorder="1"/>
    <xf numFmtId="9" fontId="3" fillId="0" borderId="0" xfId="1" applyNumberFormat="1"/>
    <xf numFmtId="164" fontId="3" fillId="10" borderId="1" xfId="1" applyNumberFormat="1" applyFill="1" applyBorder="1"/>
    <xf numFmtId="0" fontId="1" fillId="3" borderId="1" xfId="0" applyFont="1" applyFill="1" applyBorder="1"/>
    <xf numFmtId="8" fontId="0" fillId="2" borderId="1" xfId="0" applyNumberFormat="1" applyFill="1" applyBorder="1"/>
    <xf numFmtId="0" fontId="0" fillId="0" borderId="0" xfId="0" applyAlignment="1">
      <alignment horizontal="centerContinuous" wrapText="1"/>
    </xf>
    <xf numFmtId="0" fontId="0" fillId="11" borderId="1" xfId="0" applyFill="1" applyBorder="1" applyAlignment="1">
      <alignment wrapText="1"/>
    </xf>
    <xf numFmtId="0" fontId="0" fillId="11" borderId="1" xfId="0" applyFill="1" applyBorder="1" applyAlignment="1">
      <alignment horizontal="centerContinuous" wrapText="1"/>
    </xf>
    <xf numFmtId="0" fontId="1" fillId="3" borderId="0" xfId="0" applyFont="1" applyFill="1"/>
    <xf numFmtId="0" fontId="1" fillId="3" borderId="3" xfId="0" applyFont="1" applyFill="1" applyBorder="1" applyAlignment="1">
      <alignment horizontal="centerContinuous" wrapText="1"/>
    </xf>
    <xf numFmtId="0" fontId="1" fillId="3" borderId="6" xfId="0" applyFont="1" applyFill="1" applyBorder="1" applyAlignment="1">
      <alignment horizontal="centerContinuous" wrapText="1"/>
    </xf>
    <xf numFmtId="0" fontId="1" fillId="3" borderId="11" xfId="0" applyFont="1" applyFill="1" applyBorder="1" applyAlignment="1">
      <alignment horizontal="centerContinuous" wrapText="1"/>
    </xf>
    <xf numFmtId="0" fontId="1" fillId="3" borderId="12" xfId="0" applyFont="1" applyFill="1" applyBorder="1" applyAlignment="1">
      <alignment horizontal="centerContinuous" wrapText="1"/>
    </xf>
    <xf numFmtId="0" fontId="1" fillId="3" borderId="8" xfId="0" applyFont="1" applyFill="1" applyBorder="1" applyAlignment="1">
      <alignment horizontal="centerContinuous" wrapText="1"/>
    </xf>
    <xf numFmtId="170" fontId="0" fillId="0" borderId="1" xfId="0" applyNumberFormat="1" applyBorder="1"/>
    <xf numFmtId="2" fontId="0" fillId="0" borderId="1" xfId="0" applyNumberFormat="1" applyBorder="1"/>
    <xf numFmtId="169" fontId="0" fillId="7" borderId="1" xfId="0" applyNumberFormat="1" applyFill="1" applyBorder="1"/>
    <xf numFmtId="170" fontId="0" fillId="7" borderId="1" xfId="0" applyNumberFormat="1" applyFill="1" applyBorder="1"/>
    <xf numFmtId="0" fontId="3" fillId="11" borderId="1" xfId="4" applyFill="1" applyBorder="1"/>
    <xf numFmtId="0" fontId="3" fillId="11" borderId="1" xfId="4" applyFill="1" applyBorder="1" applyAlignment="1">
      <alignment horizontal="centerContinuous" wrapText="1"/>
    </xf>
    <xf numFmtId="0" fontId="3" fillId="0" borderId="0" xfId="4"/>
    <xf numFmtId="0" fontId="14" fillId="13" borderId="1" xfId="4" applyFont="1" applyFill="1" applyBorder="1"/>
    <xf numFmtId="0" fontId="16" fillId="0" borderId="10" xfId="4" applyFont="1" applyBorder="1" applyAlignment="1">
      <alignment shrinkToFit="1"/>
    </xf>
    <xf numFmtId="4" fontId="3" fillId="0" borderId="10" xfId="4" applyNumberFormat="1" applyBorder="1"/>
    <xf numFmtId="10" fontId="3" fillId="0" borderId="10" xfId="4" applyNumberFormat="1" applyBorder="1"/>
    <xf numFmtId="0" fontId="16" fillId="0" borderId="1" xfId="4" applyFont="1" applyBorder="1" applyAlignment="1">
      <alignment shrinkToFit="1"/>
    </xf>
    <xf numFmtId="4" fontId="3" fillId="0" borderId="1" xfId="4" applyNumberFormat="1" applyBorder="1"/>
    <xf numFmtId="10" fontId="3" fillId="2" borderId="1" xfId="5" applyNumberFormat="1" applyFill="1" applyBorder="1"/>
    <xf numFmtId="4" fontId="3" fillId="2" borderId="1" xfId="4" applyNumberFormat="1" applyFill="1" applyBorder="1"/>
    <xf numFmtId="0" fontId="3" fillId="0" borderId="1" xfId="4" applyBorder="1"/>
    <xf numFmtId="0" fontId="3" fillId="2" borderId="1" xfId="4" applyFill="1" applyBorder="1"/>
    <xf numFmtId="0" fontId="16" fillId="0" borderId="0" xfId="4" applyFont="1" applyAlignment="1">
      <alignment shrinkToFit="1"/>
    </xf>
    <xf numFmtId="8" fontId="3" fillId="0" borderId="0" xfId="4" applyNumberFormat="1"/>
    <xf numFmtId="10" fontId="3" fillId="0" borderId="1" xfId="5" applyNumberFormat="1" applyFill="1" applyBorder="1"/>
    <xf numFmtId="0" fontId="3" fillId="0" borderId="1" xfId="4" applyBorder="1" applyAlignment="1">
      <alignment wrapText="1"/>
    </xf>
    <xf numFmtId="4" fontId="3" fillId="2" borderId="0" xfId="4" applyNumberFormat="1" applyFill="1"/>
    <xf numFmtId="0" fontId="1" fillId="3" borderId="7" xfId="0" applyFont="1" applyFill="1" applyBorder="1" applyAlignment="1">
      <alignment horizontal="centerContinuous" wrapText="1"/>
    </xf>
    <xf numFmtId="0" fontId="1" fillId="12" borderId="1" xfId="0" applyFont="1" applyFill="1" applyBorder="1"/>
    <xf numFmtId="0" fontId="15" fillId="3" borderId="14" xfId="4" applyFont="1" applyFill="1" applyBorder="1" applyAlignment="1">
      <alignment horizontal="centerContinuous" wrapText="1"/>
    </xf>
    <xf numFmtId="0" fontId="15" fillId="3" borderId="16" xfId="4" applyFont="1" applyFill="1" applyBorder="1" applyAlignment="1">
      <alignment horizontal="centerContinuous" wrapText="1"/>
    </xf>
    <xf numFmtId="43" fontId="3" fillId="2" borderId="1" xfId="8" applyFont="1" applyFill="1" applyBorder="1"/>
    <xf numFmtId="174" fontId="3" fillId="2" borderId="1" xfId="9" applyNumberFormat="1" applyFont="1" applyFill="1" applyBorder="1"/>
    <xf numFmtId="174" fontId="3" fillId="0" borderId="1" xfId="5" applyNumberFormat="1" applyFill="1" applyBorder="1"/>
    <xf numFmtId="174" fontId="3" fillId="0" borderId="1" xfId="4" applyNumberFormat="1" applyBorder="1"/>
    <xf numFmtId="175" fontId="0" fillId="7" borderId="1" xfId="0" applyNumberFormat="1" applyFill="1" applyBorder="1"/>
    <xf numFmtId="43" fontId="0" fillId="2" borderId="1" xfId="0" applyNumberFormat="1" applyFill="1" applyBorder="1"/>
    <xf numFmtId="0" fontId="10" fillId="3" borderId="1" xfId="1" applyFont="1" applyFill="1" applyBorder="1" applyAlignment="1">
      <alignment wrapText="1"/>
    </xf>
    <xf numFmtId="164" fontId="3" fillId="0" borderId="1" xfId="1" applyNumberFormat="1" applyBorder="1" applyProtection="1">
      <protection locked="0"/>
    </xf>
    <xf numFmtId="10" fontId="3" fillId="0" borderId="1" xfId="1" applyNumberFormat="1" applyBorder="1" applyProtection="1">
      <protection locked="0"/>
    </xf>
    <xf numFmtId="0" fontId="3" fillId="2" borderId="1" xfId="1" applyFill="1" applyBorder="1"/>
    <xf numFmtId="0" fontId="10" fillId="3" borderId="1" xfId="1" applyFont="1" applyFill="1" applyBorder="1" applyProtection="1">
      <protection locked="0"/>
    </xf>
    <xf numFmtId="8" fontId="3" fillId="0" borderId="1" xfId="1" applyNumberFormat="1" applyBorder="1" applyProtection="1">
      <protection locked="0"/>
    </xf>
    <xf numFmtId="164" fontId="3" fillId="2" borderId="1" xfId="1" applyNumberFormat="1" applyFill="1" applyBorder="1"/>
    <xf numFmtId="8" fontId="3" fillId="2" borderId="1" xfId="1" applyNumberFormat="1" applyFill="1" applyBorder="1"/>
    <xf numFmtId="0" fontId="14" fillId="3" borderId="1" xfId="1" applyFont="1" applyFill="1" applyBorder="1"/>
    <xf numFmtId="0" fontId="14" fillId="3" borderId="1" xfId="1" applyFont="1" applyFill="1" applyBorder="1" applyAlignment="1">
      <alignment wrapText="1"/>
    </xf>
    <xf numFmtId="8" fontId="3" fillId="0" borderId="0" xfId="1" applyNumberFormat="1"/>
    <xf numFmtId="0" fontId="14" fillId="3" borderId="1" xfId="1" applyFont="1" applyFill="1" applyBorder="1" applyAlignment="1" applyProtection="1">
      <alignment wrapText="1"/>
      <protection locked="0"/>
    </xf>
    <xf numFmtId="4" fontId="0" fillId="2" borderId="1" xfId="8" applyNumberFormat="1" applyFont="1" applyFill="1" applyBorder="1"/>
    <xf numFmtId="0" fontId="11" fillId="0" borderId="0" xfId="0" applyFont="1"/>
    <xf numFmtId="164" fontId="0" fillId="2" borderId="3" xfId="0" applyNumberFormat="1" applyFill="1" applyBorder="1"/>
    <xf numFmtId="164" fontId="0" fillId="17" borderId="4" xfId="0" applyNumberFormat="1" applyFill="1" applyBorder="1"/>
    <xf numFmtId="8" fontId="0" fillId="17" borderId="4" xfId="0" applyNumberFormat="1" applyFill="1" applyBorder="1"/>
    <xf numFmtId="0" fontId="3" fillId="0" borderId="0" xfId="1" applyBorder="1"/>
    <xf numFmtId="0" fontId="3" fillId="0" borderId="0" xfId="1" applyBorder="1" applyAlignment="1">
      <alignment wrapText="1"/>
    </xf>
    <xf numFmtId="0" fontId="0" fillId="0" borderId="0" xfId="0" applyBorder="1"/>
    <xf numFmtId="0" fontId="10" fillId="3" borderId="17" xfId="1" applyFont="1" applyFill="1" applyBorder="1" applyAlignment="1">
      <alignment wrapText="1"/>
    </xf>
    <xf numFmtId="164" fontId="3" fillId="0" borderId="18" xfId="1" applyNumberFormat="1" applyBorder="1" applyProtection="1">
      <protection locked="0"/>
    </xf>
    <xf numFmtId="0" fontId="3" fillId="0" borderId="19" xfId="1" applyBorder="1"/>
    <xf numFmtId="0" fontId="3" fillId="0" borderId="20" xfId="1" applyBorder="1"/>
    <xf numFmtId="0" fontId="10" fillId="3" borderId="21" xfId="1" applyFont="1" applyFill="1" applyBorder="1" applyAlignment="1">
      <alignment wrapText="1"/>
    </xf>
    <xf numFmtId="0" fontId="3" fillId="0" borderId="22" xfId="1" applyBorder="1"/>
    <xf numFmtId="0" fontId="3" fillId="0" borderId="23" xfId="1" applyBorder="1" applyAlignment="1">
      <alignment wrapText="1"/>
    </xf>
    <xf numFmtId="0" fontId="3" fillId="0" borderId="22" xfId="1" applyBorder="1" applyAlignment="1">
      <alignment wrapText="1"/>
    </xf>
    <xf numFmtId="0" fontId="14" fillId="3" borderId="21" xfId="1" applyFont="1" applyFill="1" applyBorder="1" applyAlignment="1">
      <alignment wrapText="1"/>
    </xf>
    <xf numFmtId="0" fontId="1" fillId="3" borderId="24" xfId="0" applyFont="1" applyFill="1" applyBorder="1" applyAlignment="1">
      <alignment wrapText="1"/>
    </xf>
    <xf numFmtId="0" fontId="3" fillId="0" borderId="21" xfId="1" applyBorder="1"/>
    <xf numFmtId="164" fontId="0" fillId="0" borderId="24" xfId="0" applyNumberFormat="1" applyBorder="1"/>
    <xf numFmtId="164" fontId="0" fillId="2" borderId="24" xfId="0" applyNumberFormat="1" applyFill="1" applyBorder="1"/>
    <xf numFmtId="0" fontId="3" fillId="0" borderId="25" xfId="1" applyBorder="1"/>
    <xf numFmtId="8" fontId="3" fillId="2" borderId="26" xfId="1" applyNumberFormat="1" applyFill="1" applyBorder="1"/>
    <xf numFmtId="8" fontId="0" fillId="2" borderId="26" xfId="0" applyNumberFormat="1" applyFill="1" applyBorder="1"/>
    <xf numFmtId="164" fontId="0" fillId="2" borderId="26" xfId="0" applyNumberFormat="1" applyFill="1" applyBorder="1"/>
    <xf numFmtId="0" fontId="3" fillId="0" borderId="27" xfId="1" applyBorder="1"/>
    <xf numFmtId="164" fontId="0" fillId="2" borderId="28" xfId="0" applyNumberFormat="1" applyFill="1" applyBorder="1"/>
    <xf numFmtId="0" fontId="20" fillId="0" borderId="0" xfId="1" applyFont="1" applyBorder="1"/>
    <xf numFmtId="0" fontId="14" fillId="3" borderId="17" xfId="1" applyFont="1" applyFill="1" applyBorder="1"/>
    <xf numFmtId="0" fontId="14" fillId="3" borderId="21" xfId="1" applyFont="1" applyFill="1" applyBorder="1"/>
    <xf numFmtId="0" fontId="3" fillId="0" borderId="23" xfId="1" applyBorder="1"/>
    <xf numFmtId="0" fontId="14" fillId="3" borderId="21" xfId="1" applyFont="1" applyFill="1" applyBorder="1" applyAlignment="1" applyProtection="1">
      <alignment wrapText="1"/>
      <protection locked="0"/>
    </xf>
    <xf numFmtId="0" fontId="14" fillId="3" borderId="24" xfId="1" applyFont="1" applyFill="1" applyBorder="1" applyAlignment="1" applyProtection="1">
      <alignment wrapText="1"/>
      <protection locked="0"/>
    </xf>
    <xf numFmtId="0" fontId="3" fillId="0" borderId="21" xfId="1" applyBorder="1" applyProtection="1">
      <protection locked="0"/>
    </xf>
    <xf numFmtId="43" fontId="3" fillId="7" borderId="26" xfId="1" applyNumberFormat="1" applyFill="1" applyBorder="1"/>
    <xf numFmtId="164" fontId="3" fillId="0" borderId="24" xfId="1" applyNumberFormat="1" applyBorder="1"/>
    <xf numFmtId="8" fontId="3" fillId="7" borderId="1" xfId="1" applyNumberFormat="1" applyFill="1" applyBorder="1"/>
    <xf numFmtId="164" fontId="3" fillId="7" borderId="24" xfId="1" applyNumberFormat="1" applyFill="1" applyBorder="1"/>
    <xf numFmtId="8" fontId="3" fillId="7" borderId="26" xfId="1" applyNumberFormat="1" applyFill="1" applyBorder="1"/>
    <xf numFmtId="164" fontId="3" fillId="7" borderId="28" xfId="1" applyNumberFormat="1" applyFill="1" applyBorder="1"/>
    <xf numFmtId="0" fontId="10" fillId="3" borderId="17" xfId="1" applyFont="1" applyFill="1" applyBorder="1" applyProtection="1">
      <protection locked="0"/>
    </xf>
    <xf numFmtId="164" fontId="3" fillId="2" borderId="18" xfId="1" applyNumberFormat="1" applyFill="1" applyBorder="1"/>
    <xf numFmtId="0" fontId="10" fillId="3" borderId="21" xfId="1" applyFont="1" applyFill="1" applyBorder="1" applyProtection="1">
      <protection locked="0"/>
    </xf>
    <xf numFmtId="0" fontId="20" fillId="0" borderId="22" xfId="1" applyFont="1" applyBorder="1"/>
    <xf numFmtId="0" fontId="0" fillId="0" borderId="21" xfId="0" applyBorder="1"/>
    <xf numFmtId="0" fontId="0" fillId="0" borderId="22" xfId="0" applyBorder="1"/>
    <xf numFmtId="0" fontId="0" fillId="0" borderId="25" xfId="0" applyBorder="1"/>
    <xf numFmtId="0" fontId="0" fillId="0" borderId="29" xfId="0" applyBorder="1"/>
  </cellXfs>
  <cellStyles count="20">
    <cellStyle name="blue" xfId="10" xr:uid="{00000000-0005-0000-0000-000000000000}"/>
    <cellStyle name="bluecenteraccrossselection" xfId="11" xr:uid="{00000000-0005-0000-0000-000001000000}"/>
    <cellStyle name="Comma" xfId="8" builtinId="3"/>
    <cellStyle name="Comma 2" xfId="7" xr:uid="{00000000-0005-0000-0000-000003000000}"/>
    <cellStyle name="Comma 3" xfId="19" xr:uid="{00000000-0005-0000-0000-000004000000}"/>
    <cellStyle name="Currency 2" xfId="3" xr:uid="{00000000-0005-0000-0000-000005000000}"/>
    <cellStyle name="Currency 3" xfId="6" xr:uid="{00000000-0005-0000-0000-000006000000}"/>
    <cellStyle name="Currency Round to thousands" xfId="12" xr:uid="{00000000-0005-0000-0000-000007000000}"/>
    <cellStyle name="Four-Digit Year" xfId="13" xr:uid="{00000000-0005-0000-0000-000008000000}"/>
    <cellStyle name="Normal" xfId="0" builtinId="0"/>
    <cellStyle name="Normal 2" xfId="4" xr:uid="{00000000-0005-0000-0000-00000A000000}"/>
    <cellStyle name="Normal 3" xfId="1" xr:uid="{00000000-0005-0000-0000-00000B000000}"/>
    <cellStyle name="Percent" xfId="9" builtinId="5"/>
    <cellStyle name="Percent 2" xfId="2" xr:uid="{00000000-0005-0000-0000-00000D000000}"/>
    <cellStyle name="Percent 3" xfId="5" xr:uid="{00000000-0005-0000-0000-00000E000000}"/>
    <cellStyle name="Rad" xfId="14" xr:uid="{00000000-0005-0000-0000-00000F000000}"/>
    <cellStyle name="redcenteraccrossselection" xfId="15" xr:uid="{00000000-0005-0000-0000-000010000000}"/>
    <cellStyle name="Wrap Text" xfId="16" xr:uid="{00000000-0005-0000-0000-000011000000}"/>
    <cellStyle name="Yellow" xfId="17" xr:uid="{00000000-0005-0000-0000-000012000000}"/>
    <cellStyle name="yellowcenteraccrossselection" xfId="18" xr:uid="{00000000-0005-0000-0000-000013000000}"/>
  </cellStyles>
  <dxfs count="4">
    <dxf>
      <font>
        <color theme="0"/>
      </font>
    </dxf>
    <dxf>
      <font>
        <color theme="0"/>
      </font>
    </dxf>
    <dxf>
      <font>
        <color theme="0"/>
      </font>
    </dxf>
    <dxf>
      <font>
        <color theme="0"/>
      </font>
    </dxf>
  </dxfs>
  <tableStyles count="0" defaultTableStyle="TableStyleMedium9" defaultPivotStyle="PivotStyleLight16"/>
  <colors>
    <mruColors>
      <color rgb="FFCCFFCC"/>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1143000</xdr:colOff>
      <xdr:row>14</xdr:row>
      <xdr:rowOff>175846</xdr:rowOff>
    </xdr:from>
    <xdr:to>
      <xdr:col>4</xdr:col>
      <xdr:colOff>491233</xdr:colOff>
      <xdr:row>18</xdr:row>
      <xdr:rowOff>29307</xdr:rowOff>
    </xdr:to>
    <xdr:pic>
      <xdr:nvPicPr>
        <xdr:cNvPr id="2" name="Picture 1" descr="Equation">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2901461"/>
          <a:ext cx="3463033" cy="58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411480</xdr:colOff>
      <xdr:row>14</xdr:row>
      <xdr:rowOff>68580</xdr:rowOff>
    </xdr:from>
    <xdr:to>
      <xdr:col>6</xdr:col>
      <xdr:colOff>467524</xdr:colOff>
      <xdr:row>19</xdr:row>
      <xdr:rowOff>15240</xdr:rowOff>
    </xdr:to>
    <xdr:pic>
      <xdr:nvPicPr>
        <xdr:cNvPr id="2" name="Picture 1" descr="Equation">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628900"/>
          <a:ext cx="5138584" cy="86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420416</xdr:colOff>
      <xdr:row>3</xdr:row>
      <xdr:rowOff>94593</xdr:rowOff>
    </xdr:from>
    <xdr:ext cx="2580194" cy="2501462"/>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2963919" y="1192924"/>
              <a:ext cx="2580194" cy="2501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a:t>i = APR</a:t>
              </a:r>
            </a:p>
            <a:p>
              <a:endParaRPr lang="en-US" sz="1100" b="0" i="1">
                <a:latin typeface="Cambria Math"/>
              </a:endParaRPr>
            </a:p>
            <a:p>
              <a14:m>
                <m:oMath xmlns:m="http://schemas.openxmlformats.org/officeDocument/2006/math">
                  <m:r>
                    <a:rPr lang="en-US" sz="1100" b="0" i="1">
                      <a:latin typeface="Cambria Math"/>
                    </a:rPr>
                    <m:t>𝐸𝐴𝑅</m:t>
                  </m:r>
                  <m:r>
                    <a:rPr lang="en-US" sz="1100" b="0" i="1">
                      <a:latin typeface="Cambria Math"/>
                    </a:rPr>
                    <m:t>=</m:t>
                  </m:r>
                </m:oMath>
              </a14:m>
              <a:r>
                <a:rPr lang="en-US" sz="1100"/>
                <a:t> </a:t>
              </a:r>
              <a14:m>
                <m:oMath xmlns:m="http://schemas.openxmlformats.org/officeDocument/2006/math">
                  <m:sSup>
                    <m:sSupPr>
                      <m:ctrlPr>
                        <a:rPr lang="en-US" sz="1100" i="1">
                          <a:latin typeface="Cambria Math" panose="02040503050406030204" pitchFamily="18" charset="0"/>
                        </a:rPr>
                      </m:ctrlPr>
                    </m:sSupPr>
                    <m:e>
                      <m:r>
                        <a:rPr lang="en-US" sz="1100" b="0" i="1">
                          <a:solidFill>
                            <a:schemeClr val="tx1"/>
                          </a:solidFill>
                          <a:effectLst/>
                          <a:latin typeface="Cambria Math"/>
                          <a:ea typeface="+mn-ea"/>
                          <a:cs typeface="+mn-cs"/>
                        </a:rPr>
                        <m:t>(1+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𝑖</m:t>
                          </m:r>
                        </m:num>
                        <m:den>
                          <m:r>
                            <a:rPr lang="en-US" sz="1100" b="0" i="1">
                              <a:solidFill>
                                <a:schemeClr val="tx1"/>
                              </a:solidFill>
                              <a:effectLst/>
                              <a:latin typeface="Cambria Math"/>
                              <a:ea typeface="+mn-ea"/>
                              <a:cs typeface="+mn-cs"/>
                            </a:rPr>
                            <m:t>𝑛</m:t>
                          </m:r>
                        </m:den>
                      </m:f>
                      <m:r>
                        <m:rPr>
                          <m:nor/>
                        </m:rPr>
                        <a:rPr lang="en-US" sz="1100">
                          <a:solidFill>
                            <a:schemeClr val="tx1"/>
                          </a:solidFill>
                          <a:effectLst/>
                          <a:latin typeface="+mn-lt"/>
                          <a:ea typeface="+mn-ea"/>
                          <a:cs typeface="+mn-cs"/>
                        </a:rPr>
                        <m:t> )</m:t>
                      </m:r>
                    </m:e>
                    <m:sup>
                      <m:r>
                        <a:rPr lang="en-US" sz="1100" b="0" i="1">
                          <a:latin typeface="Cambria Math"/>
                        </a:rPr>
                        <m:t>𝑛</m:t>
                      </m:r>
                    </m:sup>
                  </m:sSup>
                </m:oMath>
              </a14:m>
              <a:r>
                <a:rPr lang="en-US" sz="1100"/>
                <a:t>-1</a:t>
              </a:r>
            </a:p>
            <a:p>
              <a:endParaRPr lang="en-US" sz="1100"/>
            </a:p>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n-US" sz="1100" b="0" i="1">
                      <a:solidFill>
                        <a:schemeClr val="tx1"/>
                      </a:solidFill>
                      <a:effectLst/>
                      <a:latin typeface="Cambria Math"/>
                      <a:ea typeface="+mn-ea"/>
                      <a:cs typeface="+mn-cs"/>
                    </a:rPr>
                    <m:t>𝐸𝐴𝑅</m:t>
                  </m:r>
                  <m:r>
                    <a:rPr lang="en-US" sz="1100" b="0" i="1">
                      <a:solidFill>
                        <a:schemeClr val="tx1"/>
                      </a:solidFill>
                      <a:effectLst/>
                      <a:latin typeface="Cambria Math"/>
                      <a:ea typeface="+mn-ea"/>
                      <a:cs typeface="+mn-cs"/>
                    </a:rPr>
                    <m:t>+1=</m:t>
                  </m:r>
                </m:oMath>
              </a14:m>
              <a:r>
                <a:rPr lang="en-US" sz="1100">
                  <a:solidFill>
                    <a:schemeClr val="tx1"/>
                  </a:solidFill>
                  <a:effectLst/>
                  <a:latin typeface="+mn-lt"/>
                  <a:ea typeface="+mn-ea"/>
                  <a:cs typeface="+mn-cs"/>
                </a:rPr>
                <a:t> </a:t>
              </a:r>
              <a14:m>
                <m:oMath xmlns:m="http://schemas.openxmlformats.org/officeDocument/2006/math">
                  <m:sSup>
                    <m:sSupPr>
                      <m:ctrlPr>
                        <a:rPr lang="en-US" sz="110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a:ea typeface="+mn-ea"/>
                          <a:cs typeface="+mn-cs"/>
                        </a:rPr>
                        <m:t>(1+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𝑖</m:t>
                          </m:r>
                        </m:num>
                        <m:den>
                          <m:r>
                            <a:rPr lang="en-US" sz="1100" b="0" i="1">
                              <a:solidFill>
                                <a:schemeClr val="tx1"/>
                              </a:solidFill>
                              <a:effectLst/>
                              <a:latin typeface="Cambria Math"/>
                              <a:ea typeface="+mn-ea"/>
                              <a:cs typeface="+mn-cs"/>
                            </a:rPr>
                            <m:t>𝑛</m:t>
                          </m:r>
                        </m:den>
                      </m:f>
                      <m:r>
                        <m:rPr>
                          <m:nor/>
                        </m:rPr>
                        <a:rPr lang="en-US" sz="1100" i="1">
                          <a:solidFill>
                            <a:schemeClr val="tx1"/>
                          </a:solidFill>
                          <a:effectLst/>
                          <a:latin typeface="+mn-lt"/>
                          <a:ea typeface="+mn-ea"/>
                          <a:cs typeface="+mn-cs"/>
                        </a:rPr>
                        <m:t> </m:t>
                      </m:r>
                      <m:r>
                        <m:rPr>
                          <m:nor/>
                        </m:rPr>
                        <a:rPr lang="en-US" sz="1100">
                          <a:solidFill>
                            <a:schemeClr val="tx1"/>
                          </a:solidFill>
                          <a:effectLst/>
                          <a:latin typeface="+mn-lt"/>
                          <a:ea typeface="+mn-ea"/>
                          <a:cs typeface="+mn-cs"/>
                        </a:rPr>
                        <m:t>)</m:t>
                      </m:r>
                    </m:e>
                    <m:sup>
                      <m:r>
                        <a:rPr lang="en-US" sz="1100" b="0" i="1">
                          <a:solidFill>
                            <a:schemeClr val="tx1"/>
                          </a:solidFill>
                          <a:effectLst/>
                          <a:latin typeface="Cambria Math"/>
                          <a:ea typeface="+mn-ea"/>
                          <a:cs typeface="+mn-cs"/>
                        </a:rPr>
                        <m:t>𝑛</m:t>
                      </m:r>
                    </m:sup>
                  </m:sSup>
                </m:oMath>
              </a14:m>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US" sz="1100" b="0" i="1">
                          <a:solidFill>
                            <a:schemeClr val="tx1"/>
                          </a:solidFill>
                          <a:effectLst/>
                          <a:latin typeface="Cambria Math" panose="02040503050406030204" pitchFamily="18" charset="0"/>
                          <a:ea typeface="+mn-ea"/>
                          <a:cs typeface="+mn-cs"/>
                        </a:rPr>
                      </m:ctrlPr>
                    </m:sSupPr>
                    <m:e>
                      <m:r>
                        <m:rPr>
                          <m:nor/>
                        </m:rPr>
                        <a:rPr lang="en-US" sz="1100" b="0">
                          <a:solidFill>
                            <a:schemeClr val="tx1"/>
                          </a:solidFill>
                          <a:effectLst/>
                          <a:latin typeface="+mn-lt"/>
                          <a:ea typeface="+mn-ea"/>
                          <a:cs typeface="+mn-cs"/>
                        </a:rPr>
                        <m:t>(</m:t>
                      </m:r>
                      <m:r>
                        <a:rPr lang="en-US" sz="1100" b="0" i="1">
                          <a:solidFill>
                            <a:schemeClr val="tx1"/>
                          </a:solidFill>
                          <a:effectLst/>
                          <a:latin typeface="Cambria Math"/>
                          <a:ea typeface="+mn-ea"/>
                          <a:cs typeface="+mn-cs"/>
                        </a:rPr>
                        <m:t>𝐸𝐴𝑅</m:t>
                      </m:r>
                      <m:r>
                        <a:rPr lang="en-US" sz="1100" b="0" i="1">
                          <a:solidFill>
                            <a:schemeClr val="tx1"/>
                          </a:solidFill>
                          <a:effectLst/>
                          <a:latin typeface="Cambria Math"/>
                          <a:ea typeface="+mn-ea"/>
                          <a:cs typeface="+mn-cs"/>
                        </a:rPr>
                        <m:t>+1)</m:t>
                      </m:r>
                    </m:e>
                    <m:sup>
                      <m:r>
                        <a:rPr lang="en-US" sz="1100" b="0" i="1">
                          <a:solidFill>
                            <a:schemeClr val="tx1"/>
                          </a:solidFill>
                          <a:effectLst/>
                          <a:latin typeface="Cambria Math"/>
                          <a:ea typeface="+mn-ea"/>
                          <a:cs typeface="+mn-cs"/>
                        </a:rPr>
                        <m:t>1/</m:t>
                      </m:r>
                      <m:r>
                        <a:rPr lang="en-US" sz="1100" b="0" i="1">
                          <a:solidFill>
                            <a:schemeClr val="tx1"/>
                          </a:solidFill>
                          <a:effectLst/>
                          <a:latin typeface="Cambria Math"/>
                          <a:ea typeface="+mn-ea"/>
                          <a:cs typeface="+mn-cs"/>
                        </a:rPr>
                        <m:t>𝑛</m:t>
                      </m:r>
                    </m:sup>
                  </m:sSup>
                  <m:r>
                    <a:rPr lang="en-US" sz="1100" b="0" i="1">
                      <a:solidFill>
                        <a:schemeClr val="tx1"/>
                      </a:solidFill>
                      <a:effectLst/>
                      <a:latin typeface="Cambria Math"/>
                      <a:ea typeface="+mn-ea"/>
                      <a:cs typeface="+mn-cs"/>
                    </a:rPr>
                    <m:t>=</m:t>
                  </m:r>
                </m:oMath>
              </a14:m>
              <a:r>
                <a:rPr lang="en-US" sz="1100">
                  <a:solidFill>
                    <a:schemeClr val="tx1"/>
                  </a:solidFill>
                  <a:effectLst/>
                  <a:latin typeface="+mn-lt"/>
                  <a:ea typeface="+mn-ea"/>
                  <a:cs typeface="+mn-cs"/>
                </a:rPr>
                <a:t> (1</a:t>
              </a:r>
              <a:r>
                <a:rPr lang="en-US" sz="1100" baseline="0">
                  <a:solidFill>
                    <a:schemeClr val="tx1"/>
                  </a:solidFill>
                  <a:effectLst/>
                  <a:latin typeface="+mn-lt"/>
                  <a:ea typeface="+mn-ea"/>
                  <a:cs typeface="+mn-cs"/>
                </a:rPr>
                <a:t> </a:t>
              </a:r>
              <a14:m>
                <m:oMath xmlns:m="http://schemas.openxmlformats.org/officeDocument/2006/math">
                  <m:r>
                    <a:rPr lang="en-US" sz="1100" b="0" i="1">
                      <a:solidFill>
                        <a:schemeClr val="tx1"/>
                      </a:solidFill>
                      <a:effectLst/>
                      <a:latin typeface="Cambria Math"/>
                      <a:ea typeface="+mn-ea"/>
                      <a:cs typeface="+mn-cs"/>
                    </a:rPr>
                    <m:t>+</m:t>
                  </m:r>
                </m:oMath>
              </a14:m>
              <a:r>
                <a:rPr lang="en-US" sz="1100" baseline="0">
                  <a:solidFill>
                    <a:schemeClr val="tx1"/>
                  </a:solidFill>
                  <a:effectLst/>
                  <a:latin typeface="+mn-lt"/>
                  <a:ea typeface="+mn-ea"/>
                  <a:cs typeface="+mn-cs"/>
                </a:rPr>
                <a:t> </a:t>
              </a:r>
              <a14:m>
                <m:oMath xmlns:m="http://schemas.openxmlformats.org/officeDocument/2006/math">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𝑖</m:t>
                      </m:r>
                    </m:num>
                    <m:den>
                      <m:r>
                        <a:rPr lang="en-US" sz="1100" b="0" i="1">
                          <a:solidFill>
                            <a:schemeClr val="tx1"/>
                          </a:solidFill>
                          <a:effectLst/>
                          <a:latin typeface="Cambria Math"/>
                          <a:ea typeface="+mn-ea"/>
                          <a:cs typeface="+mn-cs"/>
                        </a:rPr>
                        <m:t>𝑛</m:t>
                      </m:r>
                    </m:den>
                  </m:f>
                  <m:r>
                    <m:rPr>
                      <m:nor/>
                    </m:rPr>
                    <a:rPr lang="en-US" sz="1100" i="1">
                      <a:solidFill>
                        <a:schemeClr val="tx1"/>
                      </a:solidFill>
                      <a:effectLst/>
                      <a:latin typeface="+mn-lt"/>
                      <a:ea typeface="+mn-ea"/>
                      <a:cs typeface="+mn-cs"/>
                    </a:rPr>
                    <m:t> </m:t>
                  </m:r>
                </m:oMath>
              </a14:m>
              <a:r>
                <a:rPr lang="en-US" sz="1100" baseline="0">
                  <a:solidFill>
                    <a:schemeClr val="tx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US" sz="1100" b="0" i="1">
                          <a:solidFill>
                            <a:schemeClr val="tx1"/>
                          </a:solidFill>
                          <a:effectLst/>
                          <a:latin typeface="Cambria Math" panose="02040503050406030204" pitchFamily="18" charset="0"/>
                          <a:ea typeface="+mn-ea"/>
                          <a:cs typeface="+mn-cs"/>
                        </a:rPr>
                      </m:ctrlPr>
                    </m:sSupPr>
                    <m:e>
                      <m:r>
                        <m:rPr>
                          <m:nor/>
                        </m:rPr>
                        <a:rPr lang="en-US" sz="1100" b="0">
                          <a:solidFill>
                            <a:schemeClr val="tx1"/>
                          </a:solidFill>
                          <a:effectLst/>
                          <a:latin typeface="+mn-lt"/>
                          <a:ea typeface="+mn-ea"/>
                          <a:cs typeface="+mn-cs"/>
                        </a:rPr>
                        <m:t>(</m:t>
                      </m:r>
                      <m:r>
                        <a:rPr lang="en-US" sz="1100" b="0" i="1">
                          <a:solidFill>
                            <a:schemeClr val="tx1"/>
                          </a:solidFill>
                          <a:effectLst/>
                          <a:latin typeface="Cambria Math"/>
                          <a:ea typeface="+mn-ea"/>
                          <a:cs typeface="+mn-cs"/>
                        </a:rPr>
                        <m:t>𝐸𝐴𝑅</m:t>
                      </m:r>
                      <m:r>
                        <a:rPr lang="en-US" sz="1100" b="0" i="1">
                          <a:solidFill>
                            <a:schemeClr val="tx1"/>
                          </a:solidFill>
                          <a:effectLst/>
                          <a:latin typeface="Cambria Math"/>
                          <a:ea typeface="+mn-ea"/>
                          <a:cs typeface="+mn-cs"/>
                        </a:rPr>
                        <m:t>+1)</m:t>
                      </m:r>
                    </m:e>
                    <m:sup>
                      <m:r>
                        <a:rPr lang="en-US" sz="1100" b="0" i="1">
                          <a:solidFill>
                            <a:schemeClr val="tx1"/>
                          </a:solidFill>
                          <a:effectLst/>
                          <a:latin typeface="Cambria Math"/>
                          <a:ea typeface="+mn-ea"/>
                          <a:cs typeface="+mn-cs"/>
                        </a:rPr>
                        <m:t>1/</m:t>
                      </m:r>
                      <m:r>
                        <a:rPr lang="en-US" sz="1100" b="0" i="1">
                          <a:solidFill>
                            <a:schemeClr val="tx1"/>
                          </a:solidFill>
                          <a:effectLst/>
                          <a:latin typeface="Cambria Math"/>
                          <a:ea typeface="+mn-ea"/>
                          <a:cs typeface="+mn-cs"/>
                        </a:rPr>
                        <m:t>𝑛</m:t>
                      </m:r>
                    </m:sup>
                  </m:sSup>
                  <m:r>
                    <a:rPr lang="en-US" sz="1100" b="0" i="1">
                      <a:solidFill>
                        <a:schemeClr val="tx1"/>
                      </a:solidFill>
                      <a:effectLst/>
                      <a:latin typeface="Cambria Math"/>
                      <a:ea typeface="+mn-ea"/>
                      <a:cs typeface="+mn-cs"/>
                    </a:rPr>
                    <m:t> −1=</m:t>
                  </m:r>
                </m:oMath>
              </a14:m>
              <a:r>
                <a:rPr lang="en-US" sz="1100">
                  <a:solidFill>
                    <a:schemeClr val="tx1"/>
                  </a:solidFill>
                  <a:effectLst/>
                  <a:latin typeface="+mn-lt"/>
                  <a:ea typeface="+mn-ea"/>
                  <a:cs typeface="+mn-cs"/>
                </a:rPr>
                <a:t> </a:t>
              </a:r>
              <a:r>
                <a:rPr lang="en-US" sz="1100" baseline="0">
                  <a:solidFill>
                    <a:schemeClr val="tx1"/>
                  </a:solidFill>
                  <a:effectLst/>
                  <a:latin typeface="+mn-lt"/>
                  <a:ea typeface="+mn-ea"/>
                  <a:cs typeface="+mn-cs"/>
                </a:rPr>
                <a:t> </a:t>
              </a:r>
              <a14:m>
                <m:oMath xmlns:m="http://schemas.openxmlformats.org/officeDocument/2006/math">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𝑖</m:t>
                      </m:r>
                    </m:num>
                    <m:den>
                      <m:r>
                        <a:rPr lang="en-US" sz="1100" b="0" i="1">
                          <a:solidFill>
                            <a:schemeClr val="tx1"/>
                          </a:solidFill>
                          <a:effectLst/>
                          <a:latin typeface="Cambria Math"/>
                          <a:ea typeface="+mn-ea"/>
                          <a:cs typeface="+mn-cs"/>
                        </a:rPr>
                        <m:t>𝑛</m:t>
                      </m:r>
                    </m:den>
                  </m:f>
                  <m:r>
                    <m:rPr>
                      <m:nor/>
                    </m:rPr>
                    <a:rPr lang="en-US" sz="1100" i="1">
                      <a:solidFill>
                        <a:schemeClr val="tx1"/>
                      </a:solidFill>
                      <a:effectLst/>
                      <a:latin typeface="+mn-lt"/>
                      <a:ea typeface="+mn-ea"/>
                      <a:cs typeface="+mn-cs"/>
                    </a:rPr>
                    <m:t> </m:t>
                  </m:r>
                </m:oMath>
              </a14:m>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ea typeface="+mn-ea"/>
                  <a:cs typeface="+mn-cs"/>
                </a:rPr>
                <a:t>(</a:t>
              </a:r>
              <a14:m>
                <m:oMath xmlns:m="http://schemas.openxmlformats.org/officeDocument/2006/math">
                  <m:sSup>
                    <m:sSupPr>
                      <m:ctrlPr>
                        <a:rPr lang="en-US" sz="1100" b="0" i="1">
                          <a:solidFill>
                            <a:schemeClr val="tx1"/>
                          </a:solidFill>
                          <a:effectLst/>
                          <a:latin typeface="Cambria Math" panose="02040503050406030204" pitchFamily="18" charset="0"/>
                          <a:ea typeface="+mn-ea"/>
                          <a:cs typeface="+mn-cs"/>
                        </a:rPr>
                      </m:ctrlPr>
                    </m:sSupPr>
                    <m:e>
                      <m:r>
                        <m:rPr>
                          <m:nor/>
                        </m:rPr>
                        <a:rPr lang="en-US" sz="1100" b="0">
                          <a:solidFill>
                            <a:schemeClr val="tx1"/>
                          </a:solidFill>
                          <a:effectLst/>
                          <a:latin typeface="+mn-lt"/>
                          <a:ea typeface="+mn-ea"/>
                          <a:cs typeface="+mn-cs"/>
                        </a:rPr>
                        <m:t>(</m:t>
                      </m:r>
                      <m:r>
                        <a:rPr lang="en-US" sz="1100" b="0" i="1">
                          <a:solidFill>
                            <a:schemeClr val="tx1"/>
                          </a:solidFill>
                          <a:effectLst/>
                          <a:latin typeface="Cambria Math"/>
                          <a:ea typeface="+mn-ea"/>
                          <a:cs typeface="+mn-cs"/>
                        </a:rPr>
                        <m:t>𝐸𝐴𝑅</m:t>
                      </m:r>
                      <m:r>
                        <a:rPr lang="en-US" sz="1100" b="0" i="1">
                          <a:solidFill>
                            <a:schemeClr val="tx1"/>
                          </a:solidFill>
                          <a:effectLst/>
                          <a:latin typeface="Cambria Math"/>
                          <a:ea typeface="+mn-ea"/>
                          <a:cs typeface="+mn-cs"/>
                        </a:rPr>
                        <m:t>+1)</m:t>
                      </m:r>
                    </m:e>
                    <m:sup>
                      <m:r>
                        <a:rPr lang="en-US" sz="1100" b="0" i="1">
                          <a:solidFill>
                            <a:schemeClr val="tx1"/>
                          </a:solidFill>
                          <a:effectLst/>
                          <a:latin typeface="Cambria Math"/>
                          <a:ea typeface="+mn-ea"/>
                          <a:cs typeface="+mn-cs"/>
                        </a:rPr>
                        <m:t>1/</m:t>
                      </m:r>
                      <m:r>
                        <a:rPr lang="en-US" sz="1100" b="0" i="1">
                          <a:solidFill>
                            <a:schemeClr val="tx1"/>
                          </a:solidFill>
                          <a:effectLst/>
                          <a:latin typeface="Cambria Math"/>
                          <a:ea typeface="+mn-ea"/>
                          <a:cs typeface="+mn-cs"/>
                        </a:rPr>
                        <m:t>𝑛</m:t>
                      </m:r>
                    </m:sup>
                  </m:sSup>
                  <m:r>
                    <a:rPr lang="en-US" sz="1100" b="0" i="1">
                      <a:solidFill>
                        <a:schemeClr val="tx1"/>
                      </a:solidFill>
                      <a:effectLst/>
                      <a:latin typeface="Cambria Math"/>
                      <a:ea typeface="+mn-ea"/>
                      <a:cs typeface="+mn-cs"/>
                    </a:rPr>
                    <m:t> −1)∗</m:t>
                  </m:r>
                  <m:r>
                    <a:rPr lang="en-US" sz="1100" b="0" i="1">
                      <a:solidFill>
                        <a:schemeClr val="tx1"/>
                      </a:solidFill>
                      <a:effectLst/>
                      <a:latin typeface="Cambria Math"/>
                      <a:ea typeface="+mn-ea"/>
                      <a:cs typeface="+mn-cs"/>
                    </a:rPr>
                    <m:t>𝑛</m:t>
                  </m:r>
                  <m:r>
                    <a:rPr lang="en-US" sz="1100" b="0" i="1">
                      <a:solidFill>
                        <a:schemeClr val="tx1"/>
                      </a:solidFill>
                      <a:effectLst/>
                      <a:latin typeface="Cambria Math"/>
                      <a:ea typeface="+mn-ea"/>
                      <a:cs typeface="+mn-cs"/>
                    </a:rPr>
                    <m:t>=</m:t>
                  </m:r>
                </m:oMath>
              </a14:m>
              <a:r>
                <a:rPr lang="en-US" sz="1100">
                  <a:solidFill>
                    <a:schemeClr val="tx1"/>
                  </a:solidFill>
                  <a:effectLst/>
                  <a:latin typeface="+mn-lt"/>
                  <a:ea typeface="+mn-ea"/>
                  <a:cs typeface="+mn-cs"/>
                </a:rPr>
                <a:t> </a:t>
              </a:r>
              <a:r>
                <a:rPr lang="en-US" sz="1100" baseline="0">
                  <a:solidFill>
                    <a:schemeClr val="tx1"/>
                  </a:solidFill>
                  <a:effectLst/>
                  <a:latin typeface="+mn-lt"/>
                  <a:ea typeface="+mn-ea"/>
                  <a:cs typeface="+mn-cs"/>
                </a:rPr>
                <a:t> </a:t>
              </a:r>
              <a14:m>
                <m:oMath xmlns:m="http://schemas.openxmlformats.org/officeDocument/2006/math">
                  <m:r>
                    <a:rPr lang="en-US" sz="1100" b="0" i="1">
                      <a:solidFill>
                        <a:schemeClr val="tx1"/>
                      </a:solidFill>
                      <a:effectLst/>
                      <a:latin typeface="Cambria Math"/>
                      <a:ea typeface="+mn-ea"/>
                      <a:cs typeface="+mn-cs"/>
                    </a:rPr>
                    <m:t>𝑖</m:t>
                  </m:r>
                  <m:r>
                    <m:rPr>
                      <m:nor/>
                    </m:rPr>
                    <a:rPr lang="en-US" sz="1100" i="1">
                      <a:solidFill>
                        <a:schemeClr val="tx1"/>
                      </a:solidFill>
                      <a:effectLst/>
                      <a:latin typeface="+mn-lt"/>
                      <a:ea typeface="+mn-ea"/>
                      <a:cs typeface="+mn-cs"/>
                    </a:rPr>
                    <m:t> </m:t>
                  </m:r>
                </m:oMath>
              </a14:m>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mc:Choice>
      <mc:Fallback xmlns="">
        <xdr:sp macro="" textlink="">
          <xdr:nvSpPr>
            <xdr:cNvPr id="2" name="TextBox 1"/>
            <xdr:cNvSpPr txBox="1"/>
          </xdr:nvSpPr>
          <xdr:spPr>
            <a:xfrm>
              <a:off x="2963919" y="1192924"/>
              <a:ext cx="2580194" cy="2501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a:t>i = APR</a:t>
              </a:r>
            </a:p>
            <a:p>
              <a:endParaRPr lang="en-US" sz="1100" b="0" i="1">
                <a:latin typeface="Cambria Math"/>
              </a:endParaRPr>
            </a:p>
            <a:p>
              <a:r>
                <a:rPr lang="en-US" sz="1100" b="0" i="0">
                  <a:latin typeface="Cambria Math"/>
                </a:rPr>
                <a:t>𝐸𝐴𝑅=</a:t>
              </a:r>
              <a:r>
                <a:rPr lang="en-US" sz="1100"/>
                <a:t> </a:t>
              </a:r>
              <a:r>
                <a:rPr lang="en-US" sz="1100" i="0">
                  <a:latin typeface="Cambria Math"/>
                </a:rPr>
                <a:t>〖</a:t>
              </a:r>
              <a:r>
                <a:rPr lang="en-US" sz="1100" b="0" i="0">
                  <a:solidFill>
                    <a:schemeClr val="tx1"/>
                  </a:solidFill>
                  <a:effectLst/>
                  <a:latin typeface="+mn-lt"/>
                  <a:ea typeface="+mn-ea"/>
                  <a:cs typeface="+mn-cs"/>
                </a:rPr>
                <a:t>(1+𝑖/𝑛 "</a:t>
              </a:r>
              <a:r>
                <a:rPr lang="en-US" sz="1100" i="0">
                  <a:solidFill>
                    <a:schemeClr val="tx1"/>
                  </a:solidFill>
                  <a:effectLst/>
                  <a:latin typeface="+mn-lt"/>
                  <a:ea typeface="+mn-ea"/>
                  <a:cs typeface="+mn-cs"/>
                </a:rPr>
                <a:t> )</a:t>
              </a:r>
              <a:r>
                <a:rPr lang="en-US" sz="1100" i="0">
                  <a:solidFill>
                    <a:schemeClr val="tx1"/>
                  </a:solidFill>
                  <a:effectLst/>
                  <a:latin typeface="Cambria Math"/>
                  <a:ea typeface="+mn-ea"/>
                  <a:cs typeface="+mn-cs"/>
                </a:rPr>
                <a:t>" 〗^</a:t>
              </a:r>
              <a:r>
                <a:rPr lang="en-US" sz="1100" b="0" i="0">
                  <a:latin typeface="Cambria Math"/>
                </a:rPr>
                <a:t>𝑛</a:t>
              </a:r>
              <a:r>
                <a:rPr lang="en-US" sz="1100"/>
                <a:t>-1</a:t>
              </a:r>
            </a:p>
            <a:p>
              <a:endParaRPr lang="en-US" sz="110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𝐸𝐴𝑅</a:t>
              </a:r>
              <a:r>
                <a:rPr lang="en-US" sz="1100" b="0" i="0">
                  <a:solidFill>
                    <a:schemeClr val="tx1"/>
                  </a:solidFill>
                  <a:effectLst/>
                  <a:latin typeface="Cambria Math"/>
                  <a:ea typeface="+mn-ea"/>
                  <a:cs typeface="+mn-cs"/>
                </a:rPr>
                <a:t>+1</a:t>
              </a:r>
              <a:r>
                <a:rPr lang="en-US" sz="1100" b="0" i="0">
                  <a:solidFill>
                    <a:schemeClr val="tx1"/>
                  </a:solidFill>
                  <a:effectLst/>
                  <a:latin typeface="+mn-lt"/>
                  <a:ea typeface="+mn-ea"/>
                  <a:cs typeface="+mn-cs"/>
                </a:rPr>
                <a:t>=</a:t>
              </a:r>
              <a:r>
                <a:rPr lang="en-US" sz="1100">
                  <a:solidFill>
                    <a:schemeClr val="tx1"/>
                  </a:solidFill>
                  <a:effectLst/>
                  <a:latin typeface="+mn-lt"/>
                  <a:ea typeface="+mn-ea"/>
                  <a:cs typeface="+mn-cs"/>
                </a:rPr>
                <a:t> </a:t>
              </a:r>
              <a:r>
                <a:rPr lang="en-US" sz="1100" i="0">
                  <a:solidFill>
                    <a:schemeClr val="tx1"/>
                  </a:solidFill>
                  <a:effectLst/>
                  <a:latin typeface="+mn-lt"/>
                  <a:ea typeface="+mn-ea"/>
                  <a:cs typeface="+mn-cs"/>
                </a:rPr>
                <a:t>〖</a:t>
              </a:r>
              <a:r>
                <a:rPr lang="en-US" sz="1100" b="0" i="0">
                  <a:solidFill>
                    <a:schemeClr val="tx1"/>
                  </a:solidFill>
                  <a:effectLst/>
                  <a:latin typeface="+mn-lt"/>
                  <a:ea typeface="+mn-ea"/>
                  <a:cs typeface="+mn-cs"/>
                </a:rPr>
                <a:t>(1+𝑖/𝑛 "</a:t>
              </a:r>
              <a:r>
                <a:rPr lang="en-US" sz="1100" i="0">
                  <a:solidFill>
                    <a:schemeClr val="tx1"/>
                  </a:solidFill>
                  <a:effectLst/>
                  <a:latin typeface="+mn-lt"/>
                  <a:ea typeface="+mn-ea"/>
                  <a:cs typeface="+mn-cs"/>
                </a:rPr>
                <a:t> )" 〗^</a:t>
              </a:r>
              <a:r>
                <a:rPr lang="en-US" sz="1100" b="0" i="0">
                  <a:solidFill>
                    <a:schemeClr val="tx1"/>
                  </a:solidFill>
                  <a:effectLst/>
                  <a:latin typeface="+mn-lt"/>
                  <a:ea typeface="+mn-ea"/>
                  <a:cs typeface="+mn-cs"/>
                </a:rPr>
                <a:t>𝑛</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Cambria Math"/>
                  <a:ea typeface="+mn-ea"/>
                  <a:cs typeface="+mn-cs"/>
                </a:rPr>
                <a:t>〖</a:t>
              </a:r>
              <a:r>
                <a:rPr lang="en-US" sz="1100" b="0" i="0">
                  <a:solidFill>
                    <a:schemeClr val="tx1"/>
                  </a:solidFill>
                  <a:effectLst/>
                  <a:latin typeface="+mn-lt"/>
                  <a:ea typeface="+mn-ea"/>
                  <a:cs typeface="+mn-cs"/>
                </a:rPr>
                <a:t>"(" 𝐸𝐴𝑅</a:t>
              </a:r>
              <a:r>
                <a:rPr lang="en-US" sz="1100" b="0" i="0">
                  <a:solidFill>
                    <a:schemeClr val="tx1"/>
                  </a:solidFill>
                  <a:effectLst/>
                  <a:latin typeface="Cambria Math"/>
                  <a:ea typeface="+mn-ea"/>
                  <a:cs typeface="+mn-cs"/>
                </a:rPr>
                <a:t>+</a:t>
              </a:r>
              <a:r>
                <a:rPr lang="en-US" sz="1100" b="0" i="0">
                  <a:solidFill>
                    <a:schemeClr val="tx1"/>
                  </a:solidFill>
                  <a:effectLst/>
                  <a:latin typeface="+mn-lt"/>
                  <a:ea typeface="+mn-ea"/>
                  <a:cs typeface="+mn-cs"/>
                </a:rPr>
                <a:t>1)</a:t>
              </a:r>
              <a:r>
                <a:rPr lang="en-US" sz="1100" b="0" i="0">
                  <a:solidFill>
                    <a:schemeClr val="tx1"/>
                  </a:solidFill>
                  <a:effectLst/>
                  <a:latin typeface="Cambria Math"/>
                  <a:ea typeface="+mn-ea"/>
                  <a:cs typeface="+mn-cs"/>
                </a:rPr>
                <a:t>〗^(1/𝑛)</a:t>
              </a:r>
              <a:r>
                <a:rPr lang="en-US" sz="1100" b="0" i="0">
                  <a:solidFill>
                    <a:schemeClr val="tx1"/>
                  </a:solidFill>
                  <a:effectLst/>
                  <a:latin typeface="+mn-lt"/>
                  <a:ea typeface="+mn-ea"/>
                  <a:cs typeface="+mn-cs"/>
                </a:rPr>
                <a:t>=</a:t>
              </a:r>
              <a:r>
                <a:rPr lang="en-US" sz="1100">
                  <a:solidFill>
                    <a:schemeClr val="tx1"/>
                  </a:solidFill>
                  <a:effectLst/>
                  <a:latin typeface="+mn-lt"/>
                  <a:ea typeface="+mn-ea"/>
                  <a:cs typeface="+mn-cs"/>
                </a:rPr>
                <a:t> (1</a:t>
              </a:r>
              <a:r>
                <a:rPr lang="en-US" sz="1100" baseline="0">
                  <a:solidFill>
                    <a:schemeClr val="tx1"/>
                  </a:solidFill>
                  <a:effectLst/>
                  <a:latin typeface="+mn-lt"/>
                  <a:ea typeface="+mn-ea"/>
                  <a:cs typeface="+mn-cs"/>
                </a:rPr>
                <a:t> </a:t>
              </a:r>
              <a:r>
                <a:rPr lang="en-US" sz="1100" b="0" i="0">
                  <a:solidFill>
                    <a:schemeClr val="tx1"/>
                  </a:solidFill>
                  <a:effectLst/>
                  <a:latin typeface="+mn-lt"/>
                  <a:ea typeface="+mn-ea"/>
                  <a:cs typeface="+mn-cs"/>
                </a:rPr>
                <a:t>+</a:t>
              </a:r>
              <a:r>
                <a:rPr lang="en-US" sz="1100" baseline="0">
                  <a:solidFill>
                    <a:schemeClr val="tx1"/>
                  </a:solidFill>
                  <a:effectLst/>
                  <a:latin typeface="+mn-lt"/>
                  <a:ea typeface="+mn-ea"/>
                  <a:cs typeface="+mn-cs"/>
                </a:rPr>
                <a:t> </a:t>
              </a:r>
              <a:r>
                <a:rPr lang="en-US" sz="1100" b="0" i="0">
                  <a:solidFill>
                    <a:schemeClr val="tx1"/>
                  </a:solidFill>
                  <a:effectLst/>
                  <a:latin typeface="+mn-lt"/>
                  <a:ea typeface="+mn-ea"/>
                  <a:cs typeface="+mn-cs"/>
                </a:rPr>
                <a:t>𝑖/𝑛 </a:t>
              </a:r>
              <a:r>
                <a:rPr lang="en-US" sz="1100" b="0" i="0">
                  <a:solidFill>
                    <a:schemeClr val="tx1"/>
                  </a:solidFill>
                  <a:effectLst/>
                  <a:latin typeface="Cambria Math"/>
                  <a:ea typeface="+mn-ea"/>
                  <a:cs typeface="+mn-cs"/>
                </a:rPr>
                <a:t>"</a:t>
              </a:r>
              <a:r>
                <a:rPr lang="en-US" sz="1100" i="0">
                  <a:solidFill>
                    <a:schemeClr val="tx1"/>
                  </a:solidFill>
                  <a:effectLst/>
                  <a:latin typeface="Cambria Math"/>
                  <a:ea typeface="+mn-ea"/>
                  <a:cs typeface="+mn-cs"/>
                </a:rPr>
                <a:t> </a:t>
              </a:r>
              <a:r>
                <a:rPr lang="en-US" sz="1100" i="0">
                  <a:solidFill>
                    <a:schemeClr val="tx1"/>
                  </a:solidFill>
                  <a:effectLst/>
                  <a:latin typeface="+mn-lt"/>
                  <a:ea typeface="+mn-ea"/>
                  <a:cs typeface="+mn-cs"/>
                </a:rPr>
                <a:t>"</a:t>
              </a:r>
              <a:r>
                <a:rPr lang="en-US" sz="1100" baseline="0">
                  <a:solidFill>
                    <a:schemeClr val="tx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 𝐸𝐴𝑅</a:t>
              </a:r>
              <a:r>
                <a:rPr lang="en-US" sz="1100" b="0" i="0">
                  <a:solidFill>
                    <a:schemeClr val="tx1"/>
                  </a:solidFill>
                  <a:effectLst/>
                  <a:latin typeface="Cambria Math"/>
                  <a:ea typeface="+mn-ea"/>
                  <a:cs typeface="+mn-cs"/>
                </a:rPr>
                <a:t>+</a:t>
              </a:r>
              <a:r>
                <a:rPr lang="en-US" sz="1100" b="0" i="0">
                  <a:solidFill>
                    <a:schemeClr val="tx1"/>
                  </a:solidFill>
                  <a:effectLst/>
                  <a:latin typeface="+mn-lt"/>
                  <a:ea typeface="+mn-ea"/>
                  <a:cs typeface="+mn-cs"/>
                </a:rPr>
                <a:t>1)〗^(1/𝑛)</a:t>
              </a:r>
              <a:r>
                <a:rPr lang="en-US" sz="1100" b="0" i="0">
                  <a:solidFill>
                    <a:schemeClr val="tx1"/>
                  </a:solidFill>
                  <a:effectLst/>
                  <a:latin typeface="Cambria Math"/>
                  <a:ea typeface="+mn-ea"/>
                  <a:cs typeface="+mn-cs"/>
                </a:rPr>
                <a:t>  −1</a:t>
              </a:r>
              <a:r>
                <a:rPr lang="en-US" sz="1100" b="0" i="0">
                  <a:solidFill>
                    <a:schemeClr val="tx1"/>
                  </a:solidFill>
                  <a:effectLst/>
                  <a:latin typeface="+mn-lt"/>
                  <a:ea typeface="+mn-ea"/>
                  <a:cs typeface="+mn-cs"/>
                </a:rPr>
                <a:t>=</a:t>
              </a:r>
              <a:r>
                <a:rPr lang="en-US" sz="1100">
                  <a:solidFill>
                    <a:schemeClr val="tx1"/>
                  </a:solidFill>
                  <a:effectLst/>
                  <a:latin typeface="+mn-lt"/>
                  <a:ea typeface="+mn-ea"/>
                  <a:cs typeface="+mn-cs"/>
                </a:rPr>
                <a:t> </a:t>
              </a:r>
              <a:r>
                <a:rPr lang="en-US" sz="1100" baseline="0">
                  <a:solidFill>
                    <a:schemeClr val="tx1"/>
                  </a:solidFill>
                  <a:effectLst/>
                  <a:latin typeface="+mn-lt"/>
                  <a:ea typeface="+mn-ea"/>
                  <a:cs typeface="+mn-cs"/>
                </a:rPr>
                <a:t> </a:t>
              </a:r>
              <a:r>
                <a:rPr lang="en-US" sz="1100" b="0" i="0">
                  <a:solidFill>
                    <a:schemeClr val="tx1"/>
                  </a:solidFill>
                  <a:effectLst/>
                  <a:latin typeface="+mn-lt"/>
                  <a:ea typeface="+mn-ea"/>
                  <a:cs typeface="+mn-cs"/>
                </a:rPr>
                <a:t>𝑖/𝑛 </a:t>
              </a:r>
              <a:r>
                <a:rPr lang="en-US" sz="1100" b="0" i="0">
                  <a:solidFill>
                    <a:schemeClr val="tx1"/>
                  </a:solidFill>
                  <a:effectLst/>
                  <a:latin typeface="Cambria Math"/>
                  <a:ea typeface="+mn-ea"/>
                  <a:cs typeface="+mn-cs"/>
                </a:rPr>
                <a:t>"</a:t>
              </a:r>
              <a:r>
                <a:rPr lang="en-US" sz="1100" i="0">
                  <a:solidFill>
                    <a:schemeClr val="tx1"/>
                  </a:solidFill>
                  <a:effectLst/>
                  <a:latin typeface="Cambria Math"/>
                  <a:ea typeface="+mn-ea"/>
                  <a:cs typeface="+mn-cs"/>
                </a:rPr>
                <a:t> </a:t>
              </a:r>
              <a:r>
                <a:rPr lang="en-US" sz="1100" i="0">
                  <a:solidFill>
                    <a:schemeClr val="tx1"/>
                  </a:solidFill>
                  <a:effectLst/>
                  <a:latin typeface="+mn-lt"/>
                  <a:ea typeface="+mn-ea"/>
                  <a:cs typeface="+mn-cs"/>
                </a:rPr>
                <a: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ea typeface="+mn-ea"/>
                  <a:cs typeface="+mn-cs"/>
                </a:rPr>
                <a:t>(</a:t>
              </a:r>
              <a:r>
                <a:rPr lang="en-US" sz="1100" b="0" i="0">
                  <a:solidFill>
                    <a:schemeClr val="tx1"/>
                  </a:solidFill>
                  <a:effectLst/>
                  <a:latin typeface="+mn-lt"/>
                  <a:ea typeface="+mn-ea"/>
                  <a:cs typeface="+mn-cs"/>
                </a:rPr>
                <a:t>〖"(" 𝐸𝐴𝑅+1)〗^(1/𝑛)  −1</a:t>
              </a:r>
              <a:r>
                <a:rPr lang="en-US" sz="1100" b="0" i="0">
                  <a:solidFill>
                    <a:schemeClr val="tx1"/>
                  </a:solidFill>
                  <a:effectLst/>
                  <a:latin typeface="Cambria Math"/>
                  <a:ea typeface="+mn-ea"/>
                  <a:cs typeface="+mn-cs"/>
                </a:rPr>
                <a:t>)∗𝑛</a:t>
              </a:r>
              <a:r>
                <a:rPr lang="en-US" sz="1100" b="0" i="0">
                  <a:solidFill>
                    <a:schemeClr val="tx1"/>
                  </a:solidFill>
                  <a:effectLst/>
                  <a:latin typeface="+mn-lt"/>
                  <a:ea typeface="+mn-ea"/>
                  <a:cs typeface="+mn-cs"/>
                </a:rPr>
                <a:t>=</a:t>
              </a:r>
              <a:r>
                <a:rPr lang="en-US" sz="1100">
                  <a:solidFill>
                    <a:schemeClr val="tx1"/>
                  </a:solidFill>
                  <a:effectLst/>
                  <a:latin typeface="+mn-lt"/>
                  <a:ea typeface="+mn-ea"/>
                  <a:cs typeface="+mn-cs"/>
                </a:rPr>
                <a:t> </a:t>
              </a:r>
              <a:r>
                <a:rPr lang="en-US" sz="1100" baseline="0">
                  <a:solidFill>
                    <a:schemeClr val="tx1"/>
                  </a:solidFill>
                  <a:effectLst/>
                  <a:latin typeface="+mn-lt"/>
                  <a:ea typeface="+mn-ea"/>
                  <a:cs typeface="+mn-cs"/>
                </a:rPr>
                <a:t> </a:t>
              </a:r>
              <a:r>
                <a:rPr lang="en-US" sz="1100" b="0" i="0">
                  <a:solidFill>
                    <a:schemeClr val="tx1"/>
                  </a:solidFill>
                  <a:effectLst/>
                  <a:latin typeface="Cambria Math"/>
                  <a:ea typeface="+mn-ea"/>
                  <a:cs typeface="+mn-cs"/>
                </a:rPr>
                <a:t>𝑖"</a:t>
              </a:r>
              <a:r>
                <a:rPr lang="en-US" sz="1100" i="0">
                  <a:solidFill>
                    <a:schemeClr val="tx1"/>
                  </a:solidFill>
                  <a:effectLst/>
                  <a:latin typeface="Cambria Math"/>
                  <a:ea typeface="+mn-ea"/>
                  <a:cs typeface="+mn-cs"/>
                </a:rPr>
                <a:t> </a:t>
              </a:r>
              <a:r>
                <a:rPr lang="en-US" sz="1100" i="0">
                  <a:solidFill>
                    <a:schemeClr val="tx1"/>
                  </a:solidFill>
                  <a:effectLst/>
                  <a:latin typeface="+mn-lt"/>
                  <a:ea typeface="+mn-ea"/>
                  <a:cs typeface="+mn-cs"/>
                </a:rPr>
                <a: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2</xdr:col>
      <xdr:colOff>420416</xdr:colOff>
      <xdr:row>3</xdr:row>
      <xdr:rowOff>94593</xdr:rowOff>
    </xdr:from>
    <xdr:ext cx="2580194" cy="2501462"/>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2965496" y="1191873"/>
              <a:ext cx="2580194" cy="2501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a:t>i = APR</a:t>
              </a:r>
            </a:p>
            <a:p>
              <a:endParaRPr lang="en-US" sz="1100" b="0" i="1">
                <a:latin typeface="Cambria Math"/>
              </a:endParaRPr>
            </a:p>
            <a:p>
              <a14:m>
                <m:oMath xmlns:m="http://schemas.openxmlformats.org/officeDocument/2006/math">
                  <m:r>
                    <a:rPr lang="en-US" sz="1100" b="0" i="1">
                      <a:latin typeface="Cambria Math"/>
                    </a:rPr>
                    <m:t>𝐸𝐴𝑅</m:t>
                  </m:r>
                  <m:r>
                    <a:rPr lang="en-US" sz="1100" b="0" i="1">
                      <a:latin typeface="Cambria Math"/>
                    </a:rPr>
                    <m:t>=</m:t>
                  </m:r>
                </m:oMath>
              </a14:m>
              <a:r>
                <a:rPr lang="en-US" sz="1100"/>
                <a:t> </a:t>
              </a:r>
              <a14:m>
                <m:oMath xmlns:m="http://schemas.openxmlformats.org/officeDocument/2006/math">
                  <m:sSup>
                    <m:sSupPr>
                      <m:ctrlPr>
                        <a:rPr lang="en-US" sz="1100" i="1">
                          <a:latin typeface="Cambria Math" panose="02040503050406030204" pitchFamily="18" charset="0"/>
                        </a:rPr>
                      </m:ctrlPr>
                    </m:sSupPr>
                    <m:e>
                      <m:r>
                        <a:rPr lang="en-US" sz="1100" b="0" i="1">
                          <a:solidFill>
                            <a:schemeClr val="tx1"/>
                          </a:solidFill>
                          <a:effectLst/>
                          <a:latin typeface="Cambria Math"/>
                          <a:ea typeface="+mn-ea"/>
                          <a:cs typeface="+mn-cs"/>
                        </a:rPr>
                        <m:t>(1+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𝑖</m:t>
                          </m:r>
                        </m:num>
                        <m:den>
                          <m:r>
                            <a:rPr lang="en-US" sz="1100" b="0" i="1">
                              <a:solidFill>
                                <a:schemeClr val="tx1"/>
                              </a:solidFill>
                              <a:effectLst/>
                              <a:latin typeface="Cambria Math"/>
                              <a:ea typeface="+mn-ea"/>
                              <a:cs typeface="+mn-cs"/>
                            </a:rPr>
                            <m:t>𝑛</m:t>
                          </m:r>
                        </m:den>
                      </m:f>
                      <m:r>
                        <m:rPr>
                          <m:nor/>
                        </m:rPr>
                        <a:rPr lang="en-US" sz="1100">
                          <a:solidFill>
                            <a:schemeClr val="tx1"/>
                          </a:solidFill>
                          <a:effectLst/>
                          <a:latin typeface="+mn-lt"/>
                          <a:ea typeface="+mn-ea"/>
                          <a:cs typeface="+mn-cs"/>
                        </a:rPr>
                        <m:t> )</m:t>
                      </m:r>
                    </m:e>
                    <m:sup>
                      <m:r>
                        <a:rPr lang="en-US" sz="1100" b="0" i="1">
                          <a:latin typeface="Cambria Math"/>
                        </a:rPr>
                        <m:t>𝑛</m:t>
                      </m:r>
                    </m:sup>
                  </m:sSup>
                </m:oMath>
              </a14:m>
              <a:r>
                <a:rPr lang="en-US" sz="1100"/>
                <a:t>-1</a:t>
              </a:r>
            </a:p>
            <a:p>
              <a:endParaRPr lang="en-US" sz="1100"/>
            </a:p>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n-US" sz="1100" b="0" i="1">
                      <a:solidFill>
                        <a:schemeClr val="tx1"/>
                      </a:solidFill>
                      <a:effectLst/>
                      <a:latin typeface="Cambria Math"/>
                      <a:ea typeface="+mn-ea"/>
                      <a:cs typeface="+mn-cs"/>
                    </a:rPr>
                    <m:t>𝐸𝐴𝑅</m:t>
                  </m:r>
                  <m:r>
                    <a:rPr lang="en-US" sz="1100" b="0" i="1">
                      <a:solidFill>
                        <a:schemeClr val="tx1"/>
                      </a:solidFill>
                      <a:effectLst/>
                      <a:latin typeface="Cambria Math"/>
                      <a:ea typeface="+mn-ea"/>
                      <a:cs typeface="+mn-cs"/>
                    </a:rPr>
                    <m:t>+1=</m:t>
                  </m:r>
                </m:oMath>
              </a14:m>
              <a:r>
                <a:rPr lang="en-US" sz="1100">
                  <a:solidFill>
                    <a:schemeClr val="tx1"/>
                  </a:solidFill>
                  <a:effectLst/>
                  <a:latin typeface="+mn-lt"/>
                  <a:ea typeface="+mn-ea"/>
                  <a:cs typeface="+mn-cs"/>
                </a:rPr>
                <a:t> </a:t>
              </a:r>
              <a14:m>
                <m:oMath xmlns:m="http://schemas.openxmlformats.org/officeDocument/2006/math">
                  <m:sSup>
                    <m:sSupPr>
                      <m:ctrlPr>
                        <a:rPr lang="en-US" sz="110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a:ea typeface="+mn-ea"/>
                          <a:cs typeface="+mn-cs"/>
                        </a:rPr>
                        <m:t>(1+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𝑖</m:t>
                          </m:r>
                        </m:num>
                        <m:den>
                          <m:r>
                            <a:rPr lang="en-US" sz="1100" b="0" i="1">
                              <a:solidFill>
                                <a:schemeClr val="tx1"/>
                              </a:solidFill>
                              <a:effectLst/>
                              <a:latin typeface="Cambria Math"/>
                              <a:ea typeface="+mn-ea"/>
                              <a:cs typeface="+mn-cs"/>
                            </a:rPr>
                            <m:t>𝑛</m:t>
                          </m:r>
                        </m:den>
                      </m:f>
                      <m:r>
                        <m:rPr>
                          <m:nor/>
                        </m:rPr>
                        <a:rPr lang="en-US" sz="1100" i="1">
                          <a:solidFill>
                            <a:schemeClr val="tx1"/>
                          </a:solidFill>
                          <a:effectLst/>
                          <a:latin typeface="+mn-lt"/>
                          <a:ea typeface="+mn-ea"/>
                          <a:cs typeface="+mn-cs"/>
                        </a:rPr>
                        <m:t> </m:t>
                      </m:r>
                      <m:r>
                        <m:rPr>
                          <m:nor/>
                        </m:rPr>
                        <a:rPr lang="en-US" sz="1100">
                          <a:solidFill>
                            <a:schemeClr val="tx1"/>
                          </a:solidFill>
                          <a:effectLst/>
                          <a:latin typeface="+mn-lt"/>
                          <a:ea typeface="+mn-ea"/>
                          <a:cs typeface="+mn-cs"/>
                        </a:rPr>
                        <m:t>)</m:t>
                      </m:r>
                    </m:e>
                    <m:sup>
                      <m:r>
                        <a:rPr lang="en-US" sz="1100" b="0" i="1">
                          <a:solidFill>
                            <a:schemeClr val="tx1"/>
                          </a:solidFill>
                          <a:effectLst/>
                          <a:latin typeface="Cambria Math"/>
                          <a:ea typeface="+mn-ea"/>
                          <a:cs typeface="+mn-cs"/>
                        </a:rPr>
                        <m:t>𝑛</m:t>
                      </m:r>
                    </m:sup>
                  </m:sSup>
                </m:oMath>
              </a14:m>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US" sz="1100" b="0" i="1">
                          <a:solidFill>
                            <a:schemeClr val="tx1"/>
                          </a:solidFill>
                          <a:effectLst/>
                          <a:latin typeface="Cambria Math" panose="02040503050406030204" pitchFamily="18" charset="0"/>
                          <a:ea typeface="+mn-ea"/>
                          <a:cs typeface="+mn-cs"/>
                        </a:rPr>
                      </m:ctrlPr>
                    </m:sSupPr>
                    <m:e>
                      <m:r>
                        <m:rPr>
                          <m:nor/>
                        </m:rPr>
                        <a:rPr lang="en-US" sz="1100" b="0">
                          <a:solidFill>
                            <a:schemeClr val="tx1"/>
                          </a:solidFill>
                          <a:effectLst/>
                          <a:latin typeface="+mn-lt"/>
                          <a:ea typeface="+mn-ea"/>
                          <a:cs typeface="+mn-cs"/>
                        </a:rPr>
                        <m:t>(</m:t>
                      </m:r>
                      <m:r>
                        <a:rPr lang="en-US" sz="1100" b="0" i="1">
                          <a:solidFill>
                            <a:schemeClr val="tx1"/>
                          </a:solidFill>
                          <a:effectLst/>
                          <a:latin typeface="Cambria Math"/>
                          <a:ea typeface="+mn-ea"/>
                          <a:cs typeface="+mn-cs"/>
                        </a:rPr>
                        <m:t>𝐸𝐴𝑅</m:t>
                      </m:r>
                      <m:r>
                        <a:rPr lang="en-US" sz="1100" b="0" i="1">
                          <a:solidFill>
                            <a:schemeClr val="tx1"/>
                          </a:solidFill>
                          <a:effectLst/>
                          <a:latin typeface="Cambria Math"/>
                          <a:ea typeface="+mn-ea"/>
                          <a:cs typeface="+mn-cs"/>
                        </a:rPr>
                        <m:t>+1)</m:t>
                      </m:r>
                    </m:e>
                    <m:sup>
                      <m:r>
                        <a:rPr lang="en-US" sz="1100" b="0" i="1">
                          <a:solidFill>
                            <a:schemeClr val="tx1"/>
                          </a:solidFill>
                          <a:effectLst/>
                          <a:latin typeface="Cambria Math"/>
                          <a:ea typeface="+mn-ea"/>
                          <a:cs typeface="+mn-cs"/>
                        </a:rPr>
                        <m:t>1/</m:t>
                      </m:r>
                      <m:r>
                        <a:rPr lang="en-US" sz="1100" b="0" i="1">
                          <a:solidFill>
                            <a:schemeClr val="tx1"/>
                          </a:solidFill>
                          <a:effectLst/>
                          <a:latin typeface="Cambria Math"/>
                          <a:ea typeface="+mn-ea"/>
                          <a:cs typeface="+mn-cs"/>
                        </a:rPr>
                        <m:t>𝑛</m:t>
                      </m:r>
                    </m:sup>
                  </m:sSup>
                  <m:r>
                    <a:rPr lang="en-US" sz="1100" b="0" i="1">
                      <a:solidFill>
                        <a:schemeClr val="tx1"/>
                      </a:solidFill>
                      <a:effectLst/>
                      <a:latin typeface="Cambria Math"/>
                      <a:ea typeface="+mn-ea"/>
                      <a:cs typeface="+mn-cs"/>
                    </a:rPr>
                    <m:t>=</m:t>
                  </m:r>
                </m:oMath>
              </a14:m>
              <a:r>
                <a:rPr lang="en-US" sz="1100">
                  <a:solidFill>
                    <a:schemeClr val="tx1"/>
                  </a:solidFill>
                  <a:effectLst/>
                  <a:latin typeface="+mn-lt"/>
                  <a:ea typeface="+mn-ea"/>
                  <a:cs typeface="+mn-cs"/>
                </a:rPr>
                <a:t> (1</a:t>
              </a:r>
              <a:r>
                <a:rPr lang="en-US" sz="1100" baseline="0">
                  <a:solidFill>
                    <a:schemeClr val="tx1"/>
                  </a:solidFill>
                  <a:effectLst/>
                  <a:latin typeface="+mn-lt"/>
                  <a:ea typeface="+mn-ea"/>
                  <a:cs typeface="+mn-cs"/>
                </a:rPr>
                <a:t> </a:t>
              </a:r>
              <a14:m>
                <m:oMath xmlns:m="http://schemas.openxmlformats.org/officeDocument/2006/math">
                  <m:r>
                    <a:rPr lang="en-US" sz="1100" b="0" i="1">
                      <a:solidFill>
                        <a:schemeClr val="tx1"/>
                      </a:solidFill>
                      <a:effectLst/>
                      <a:latin typeface="Cambria Math"/>
                      <a:ea typeface="+mn-ea"/>
                      <a:cs typeface="+mn-cs"/>
                    </a:rPr>
                    <m:t>+</m:t>
                  </m:r>
                </m:oMath>
              </a14:m>
              <a:r>
                <a:rPr lang="en-US" sz="1100" baseline="0">
                  <a:solidFill>
                    <a:schemeClr val="tx1"/>
                  </a:solidFill>
                  <a:effectLst/>
                  <a:latin typeface="+mn-lt"/>
                  <a:ea typeface="+mn-ea"/>
                  <a:cs typeface="+mn-cs"/>
                </a:rPr>
                <a:t> </a:t>
              </a:r>
              <a14:m>
                <m:oMath xmlns:m="http://schemas.openxmlformats.org/officeDocument/2006/math">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𝑖</m:t>
                      </m:r>
                    </m:num>
                    <m:den>
                      <m:r>
                        <a:rPr lang="en-US" sz="1100" b="0" i="1">
                          <a:solidFill>
                            <a:schemeClr val="tx1"/>
                          </a:solidFill>
                          <a:effectLst/>
                          <a:latin typeface="Cambria Math"/>
                          <a:ea typeface="+mn-ea"/>
                          <a:cs typeface="+mn-cs"/>
                        </a:rPr>
                        <m:t>𝑛</m:t>
                      </m:r>
                    </m:den>
                  </m:f>
                  <m:r>
                    <m:rPr>
                      <m:nor/>
                    </m:rPr>
                    <a:rPr lang="en-US" sz="1100" i="1">
                      <a:solidFill>
                        <a:schemeClr val="tx1"/>
                      </a:solidFill>
                      <a:effectLst/>
                      <a:latin typeface="+mn-lt"/>
                      <a:ea typeface="+mn-ea"/>
                      <a:cs typeface="+mn-cs"/>
                    </a:rPr>
                    <m:t> </m:t>
                  </m:r>
                </m:oMath>
              </a14:m>
              <a:r>
                <a:rPr lang="en-US" sz="1100" baseline="0">
                  <a:solidFill>
                    <a:schemeClr val="tx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US" sz="1100" b="0" i="1">
                          <a:solidFill>
                            <a:schemeClr val="tx1"/>
                          </a:solidFill>
                          <a:effectLst/>
                          <a:latin typeface="Cambria Math" panose="02040503050406030204" pitchFamily="18" charset="0"/>
                          <a:ea typeface="+mn-ea"/>
                          <a:cs typeface="+mn-cs"/>
                        </a:rPr>
                      </m:ctrlPr>
                    </m:sSupPr>
                    <m:e>
                      <m:r>
                        <m:rPr>
                          <m:nor/>
                        </m:rPr>
                        <a:rPr lang="en-US" sz="1100" b="0">
                          <a:solidFill>
                            <a:schemeClr val="tx1"/>
                          </a:solidFill>
                          <a:effectLst/>
                          <a:latin typeface="+mn-lt"/>
                          <a:ea typeface="+mn-ea"/>
                          <a:cs typeface="+mn-cs"/>
                        </a:rPr>
                        <m:t>(</m:t>
                      </m:r>
                      <m:r>
                        <a:rPr lang="en-US" sz="1100" b="0" i="1">
                          <a:solidFill>
                            <a:schemeClr val="tx1"/>
                          </a:solidFill>
                          <a:effectLst/>
                          <a:latin typeface="Cambria Math"/>
                          <a:ea typeface="+mn-ea"/>
                          <a:cs typeface="+mn-cs"/>
                        </a:rPr>
                        <m:t>𝐸𝐴𝑅</m:t>
                      </m:r>
                      <m:r>
                        <a:rPr lang="en-US" sz="1100" b="0" i="1">
                          <a:solidFill>
                            <a:schemeClr val="tx1"/>
                          </a:solidFill>
                          <a:effectLst/>
                          <a:latin typeface="Cambria Math"/>
                          <a:ea typeface="+mn-ea"/>
                          <a:cs typeface="+mn-cs"/>
                        </a:rPr>
                        <m:t>+1)</m:t>
                      </m:r>
                    </m:e>
                    <m:sup>
                      <m:r>
                        <a:rPr lang="en-US" sz="1100" b="0" i="1">
                          <a:solidFill>
                            <a:schemeClr val="tx1"/>
                          </a:solidFill>
                          <a:effectLst/>
                          <a:latin typeface="Cambria Math"/>
                          <a:ea typeface="+mn-ea"/>
                          <a:cs typeface="+mn-cs"/>
                        </a:rPr>
                        <m:t>1/</m:t>
                      </m:r>
                      <m:r>
                        <a:rPr lang="en-US" sz="1100" b="0" i="1">
                          <a:solidFill>
                            <a:schemeClr val="tx1"/>
                          </a:solidFill>
                          <a:effectLst/>
                          <a:latin typeface="Cambria Math"/>
                          <a:ea typeface="+mn-ea"/>
                          <a:cs typeface="+mn-cs"/>
                        </a:rPr>
                        <m:t>𝑛</m:t>
                      </m:r>
                    </m:sup>
                  </m:sSup>
                  <m:r>
                    <a:rPr lang="en-US" sz="1100" b="0" i="1">
                      <a:solidFill>
                        <a:schemeClr val="tx1"/>
                      </a:solidFill>
                      <a:effectLst/>
                      <a:latin typeface="Cambria Math"/>
                      <a:ea typeface="+mn-ea"/>
                      <a:cs typeface="+mn-cs"/>
                    </a:rPr>
                    <m:t> −1=</m:t>
                  </m:r>
                </m:oMath>
              </a14:m>
              <a:r>
                <a:rPr lang="en-US" sz="1100">
                  <a:solidFill>
                    <a:schemeClr val="tx1"/>
                  </a:solidFill>
                  <a:effectLst/>
                  <a:latin typeface="+mn-lt"/>
                  <a:ea typeface="+mn-ea"/>
                  <a:cs typeface="+mn-cs"/>
                </a:rPr>
                <a:t> </a:t>
              </a:r>
              <a:r>
                <a:rPr lang="en-US" sz="1100" baseline="0">
                  <a:solidFill>
                    <a:schemeClr val="tx1"/>
                  </a:solidFill>
                  <a:effectLst/>
                  <a:latin typeface="+mn-lt"/>
                  <a:ea typeface="+mn-ea"/>
                  <a:cs typeface="+mn-cs"/>
                </a:rPr>
                <a:t> </a:t>
              </a:r>
              <a14:m>
                <m:oMath xmlns:m="http://schemas.openxmlformats.org/officeDocument/2006/math">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𝑖</m:t>
                      </m:r>
                    </m:num>
                    <m:den>
                      <m:r>
                        <a:rPr lang="en-US" sz="1100" b="0" i="1">
                          <a:solidFill>
                            <a:schemeClr val="tx1"/>
                          </a:solidFill>
                          <a:effectLst/>
                          <a:latin typeface="Cambria Math"/>
                          <a:ea typeface="+mn-ea"/>
                          <a:cs typeface="+mn-cs"/>
                        </a:rPr>
                        <m:t>𝑛</m:t>
                      </m:r>
                    </m:den>
                  </m:f>
                  <m:r>
                    <m:rPr>
                      <m:nor/>
                    </m:rPr>
                    <a:rPr lang="en-US" sz="1100" i="1">
                      <a:solidFill>
                        <a:schemeClr val="tx1"/>
                      </a:solidFill>
                      <a:effectLst/>
                      <a:latin typeface="+mn-lt"/>
                      <a:ea typeface="+mn-ea"/>
                      <a:cs typeface="+mn-cs"/>
                    </a:rPr>
                    <m:t> </m:t>
                  </m:r>
                </m:oMath>
              </a14:m>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ea typeface="+mn-ea"/>
                  <a:cs typeface="+mn-cs"/>
                </a:rPr>
                <a:t>(</a:t>
              </a:r>
              <a14:m>
                <m:oMath xmlns:m="http://schemas.openxmlformats.org/officeDocument/2006/math">
                  <m:sSup>
                    <m:sSupPr>
                      <m:ctrlPr>
                        <a:rPr lang="en-US" sz="1100" b="0" i="1">
                          <a:solidFill>
                            <a:schemeClr val="tx1"/>
                          </a:solidFill>
                          <a:effectLst/>
                          <a:latin typeface="Cambria Math" panose="02040503050406030204" pitchFamily="18" charset="0"/>
                          <a:ea typeface="+mn-ea"/>
                          <a:cs typeface="+mn-cs"/>
                        </a:rPr>
                      </m:ctrlPr>
                    </m:sSupPr>
                    <m:e>
                      <m:r>
                        <m:rPr>
                          <m:nor/>
                        </m:rPr>
                        <a:rPr lang="en-US" sz="1100" b="0">
                          <a:solidFill>
                            <a:schemeClr val="tx1"/>
                          </a:solidFill>
                          <a:effectLst/>
                          <a:latin typeface="+mn-lt"/>
                          <a:ea typeface="+mn-ea"/>
                          <a:cs typeface="+mn-cs"/>
                        </a:rPr>
                        <m:t>(</m:t>
                      </m:r>
                      <m:r>
                        <a:rPr lang="en-US" sz="1100" b="0" i="1">
                          <a:solidFill>
                            <a:schemeClr val="tx1"/>
                          </a:solidFill>
                          <a:effectLst/>
                          <a:latin typeface="Cambria Math"/>
                          <a:ea typeface="+mn-ea"/>
                          <a:cs typeface="+mn-cs"/>
                        </a:rPr>
                        <m:t>𝐸𝐴𝑅</m:t>
                      </m:r>
                      <m:r>
                        <a:rPr lang="en-US" sz="1100" b="0" i="1">
                          <a:solidFill>
                            <a:schemeClr val="tx1"/>
                          </a:solidFill>
                          <a:effectLst/>
                          <a:latin typeface="Cambria Math"/>
                          <a:ea typeface="+mn-ea"/>
                          <a:cs typeface="+mn-cs"/>
                        </a:rPr>
                        <m:t>+1)</m:t>
                      </m:r>
                    </m:e>
                    <m:sup>
                      <m:r>
                        <a:rPr lang="en-US" sz="1100" b="0" i="1">
                          <a:solidFill>
                            <a:schemeClr val="tx1"/>
                          </a:solidFill>
                          <a:effectLst/>
                          <a:latin typeface="Cambria Math"/>
                          <a:ea typeface="+mn-ea"/>
                          <a:cs typeface="+mn-cs"/>
                        </a:rPr>
                        <m:t>1/</m:t>
                      </m:r>
                      <m:r>
                        <a:rPr lang="en-US" sz="1100" b="0" i="1">
                          <a:solidFill>
                            <a:schemeClr val="tx1"/>
                          </a:solidFill>
                          <a:effectLst/>
                          <a:latin typeface="Cambria Math"/>
                          <a:ea typeface="+mn-ea"/>
                          <a:cs typeface="+mn-cs"/>
                        </a:rPr>
                        <m:t>𝑛</m:t>
                      </m:r>
                    </m:sup>
                  </m:sSup>
                  <m:r>
                    <a:rPr lang="en-US" sz="1100" b="0" i="1">
                      <a:solidFill>
                        <a:schemeClr val="tx1"/>
                      </a:solidFill>
                      <a:effectLst/>
                      <a:latin typeface="Cambria Math"/>
                      <a:ea typeface="+mn-ea"/>
                      <a:cs typeface="+mn-cs"/>
                    </a:rPr>
                    <m:t> −1)∗</m:t>
                  </m:r>
                  <m:r>
                    <a:rPr lang="en-US" sz="1100" b="0" i="1">
                      <a:solidFill>
                        <a:schemeClr val="tx1"/>
                      </a:solidFill>
                      <a:effectLst/>
                      <a:latin typeface="Cambria Math"/>
                      <a:ea typeface="+mn-ea"/>
                      <a:cs typeface="+mn-cs"/>
                    </a:rPr>
                    <m:t>𝑛</m:t>
                  </m:r>
                  <m:r>
                    <a:rPr lang="en-US" sz="1100" b="0" i="1">
                      <a:solidFill>
                        <a:schemeClr val="tx1"/>
                      </a:solidFill>
                      <a:effectLst/>
                      <a:latin typeface="Cambria Math"/>
                      <a:ea typeface="+mn-ea"/>
                      <a:cs typeface="+mn-cs"/>
                    </a:rPr>
                    <m:t>=</m:t>
                  </m:r>
                </m:oMath>
              </a14:m>
              <a:r>
                <a:rPr lang="en-US" sz="1100">
                  <a:solidFill>
                    <a:schemeClr val="tx1"/>
                  </a:solidFill>
                  <a:effectLst/>
                  <a:latin typeface="+mn-lt"/>
                  <a:ea typeface="+mn-ea"/>
                  <a:cs typeface="+mn-cs"/>
                </a:rPr>
                <a:t> </a:t>
              </a:r>
              <a:r>
                <a:rPr lang="en-US" sz="1100" baseline="0">
                  <a:solidFill>
                    <a:schemeClr val="tx1"/>
                  </a:solidFill>
                  <a:effectLst/>
                  <a:latin typeface="+mn-lt"/>
                  <a:ea typeface="+mn-ea"/>
                  <a:cs typeface="+mn-cs"/>
                </a:rPr>
                <a:t> </a:t>
              </a:r>
              <a14:m>
                <m:oMath xmlns:m="http://schemas.openxmlformats.org/officeDocument/2006/math">
                  <m:r>
                    <a:rPr lang="en-US" sz="1100" b="0" i="1">
                      <a:solidFill>
                        <a:schemeClr val="tx1"/>
                      </a:solidFill>
                      <a:effectLst/>
                      <a:latin typeface="Cambria Math"/>
                      <a:ea typeface="+mn-ea"/>
                      <a:cs typeface="+mn-cs"/>
                    </a:rPr>
                    <m:t>𝑖</m:t>
                  </m:r>
                  <m:r>
                    <m:rPr>
                      <m:nor/>
                    </m:rPr>
                    <a:rPr lang="en-US" sz="1100" i="1">
                      <a:solidFill>
                        <a:schemeClr val="tx1"/>
                      </a:solidFill>
                      <a:effectLst/>
                      <a:latin typeface="+mn-lt"/>
                      <a:ea typeface="+mn-ea"/>
                      <a:cs typeface="+mn-cs"/>
                    </a:rPr>
                    <m:t> </m:t>
                  </m:r>
                </m:oMath>
              </a14:m>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mc:Choice>
      <mc:Fallback xmlns="">
        <xdr:sp macro="" textlink="">
          <xdr:nvSpPr>
            <xdr:cNvPr id="2" name="TextBox 1"/>
            <xdr:cNvSpPr txBox="1"/>
          </xdr:nvSpPr>
          <xdr:spPr>
            <a:xfrm>
              <a:off x="2965496" y="1191873"/>
              <a:ext cx="2580194" cy="2501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a:t>i = APR</a:t>
              </a:r>
            </a:p>
            <a:p>
              <a:endParaRPr lang="en-US" sz="1100" b="0" i="1">
                <a:latin typeface="Cambria Math"/>
              </a:endParaRPr>
            </a:p>
            <a:p>
              <a:r>
                <a:rPr lang="en-US" sz="1100" b="0" i="0">
                  <a:latin typeface="Cambria Math"/>
                </a:rPr>
                <a:t>𝐸𝐴𝑅=</a:t>
              </a:r>
              <a:r>
                <a:rPr lang="en-US" sz="1100"/>
                <a:t> </a:t>
              </a:r>
              <a:r>
                <a:rPr lang="en-US" sz="1100" i="0">
                  <a:latin typeface="Cambria Math"/>
                </a:rPr>
                <a:t>〖</a:t>
              </a:r>
              <a:r>
                <a:rPr lang="en-US" sz="1100" b="0" i="0">
                  <a:solidFill>
                    <a:schemeClr val="tx1"/>
                  </a:solidFill>
                  <a:effectLst/>
                  <a:latin typeface="Cambria Math"/>
                  <a:ea typeface="+mn-ea"/>
                  <a:cs typeface="+mn-cs"/>
                </a:rPr>
                <a:t>(1+𝑖/𝑛</a:t>
              </a:r>
              <a:r>
                <a:rPr lang="en-US" sz="1100" b="0" i="0">
                  <a:solidFill>
                    <a:schemeClr val="tx1"/>
                  </a:solidFill>
                  <a:effectLst/>
                  <a:latin typeface="+mn-lt"/>
                  <a:ea typeface="+mn-ea"/>
                  <a:cs typeface="+mn-cs"/>
                </a:rPr>
                <a:t> "</a:t>
              </a:r>
              <a:r>
                <a:rPr lang="en-US" sz="1100" i="0">
                  <a:solidFill>
                    <a:schemeClr val="tx1"/>
                  </a:solidFill>
                  <a:effectLst/>
                  <a:latin typeface="+mn-lt"/>
                  <a:ea typeface="+mn-ea"/>
                  <a:cs typeface="+mn-cs"/>
                </a:rPr>
                <a:t> )</a:t>
              </a:r>
              <a:r>
                <a:rPr lang="en-US" sz="1100" i="0">
                  <a:solidFill>
                    <a:schemeClr val="tx1"/>
                  </a:solidFill>
                  <a:effectLst/>
                  <a:latin typeface="Cambria Math"/>
                  <a:ea typeface="+mn-ea"/>
                  <a:cs typeface="+mn-cs"/>
                </a:rPr>
                <a:t>" 〗^</a:t>
              </a:r>
              <a:r>
                <a:rPr lang="en-US" sz="1100" b="0" i="0">
                  <a:latin typeface="Cambria Math"/>
                </a:rPr>
                <a:t>𝑛</a:t>
              </a:r>
              <a:r>
                <a:rPr lang="en-US" sz="1100"/>
                <a:t>-1</a:t>
              </a:r>
            </a:p>
            <a:p>
              <a:endParaRPr lang="en-US" sz="110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Cambria Math"/>
                  <a:ea typeface="+mn-ea"/>
                  <a:cs typeface="+mn-cs"/>
                </a:rPr>
                <a:t>𝐸𝐴𝑅+1=</a:t>
              </a:r>
              <a:r>
                <a:rPr lang="en-US" sz="1100">
                  <a:solidFill>
                    <a:schemeClr val="tx1"/>
                  </a:solidFill>
                  <a:effectLst/>
                  <a:latin typeface="+mn-lt"/>
                  <a:ea typeface="+mn-ea"/>
                  <a:cs typeface="+mn-cs"/>
                </a:rPr>
                <a:t> </a:t>
              </a:r>
              <a:r>
                <a:rPr lang="en-US" sz="1100" i="0">
                  <a:solidFill>
                    <a:schemeClr val="tx1"/>
                  </a:solidFill>
                  <a:effectLst/>
                  <a:latin typeface="Cambria Math"/>
                  <a:ea typeface="+mn-ea"/>
                  <a:cs typeface="+mn-cs"/>
                </a:rPr>
                <a:t>〖</a:t>
              </a:r>
              <a:r>
                <a:rPr lang="en-US" sz="1100" b="0" i="0">
                  <a:solidFill>
                    <a:schemeClr val="tx1"/>
                  </a:solidFill>
                  <a:effectLst/>
                  <a:latin typeface="Cambria Math"/>
                  <a:ea typeface="+mn-ea"/>
                  <a:cs typeface="+mn-cs"/>
                </a:rPr>
                <a:t>(1+𝑖/𝑛</a:t>
              </a:r>
              <a:r>
                <a:rPr lang="en-US" sz="1100" b="0" i="0">
                  <a:solidFill>
                    <a:schemeClr val="tx1"/>
                  </a:solidFill>
                  <a:effectLst/>
                  <a:latin typeface="+mn-lt"/>
                  <a:ea typeface="+mn-ea"/>
                  <a:cs typeface="+mn-cs"/>
                </a:rPr>
                <a:t> "</a:t>
              </a:r>
              <a:r>
                <a:rPr lang="en-US" sz="1100" i="0">
                  <a:solidFill>
                    <a:schemeClr val="tx1"/>
                  </a:solidFill>
                  <a:effectLst/>
                  <a:latin typeface="+mn-lt"/>
                  <a:ea typeface="+mn-ea"/>
                  <a:cs typeface="+mn-cs"/>
                </a:rPr>
                <a:t> )</a:t>
              </a:r>
              <a:r>
                <a:rPr lang="en-US" sz="1100" i="0">
                  <a:solidFill>
                    <a:schemeClr val="tx1"/>
                  </a:solidFill>
                  <a:effectLst/>
                  <a:latin typeface="Cambria Math"/>
                  <a:ea typeface="+mn-ea"/>
                  <a:cs typeface="+mn-cs"/>
                </a:rPr>
                <a:t>" 〗^</a:t>
              </a:r>
              <a:r>
                <a:rPr lang="en-US" sz="1100" b="0" i="0">
                  <a:solidFill>
                    <a:schemeClr val="tx1"/>
                  </a:solidFill>
                  <a:effectLst/>
                  <a:latin typeface="Cambria Math"/>
                  <a:ea typeface="+mn-ea"/>
                  <a:cs typeface="+mn-cs"/>
                </a:rPr>
                <a:t>𝑛</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Cambria Math"/>
                  <a:ea typeface="+mn-ea"/>
                  <a:cs typeface="+mn-cs"/>
                </a:rPr>
                <a:t>〖</a:t>
              </a:r>
              <a:r>
                <a:rPr lang="en-US" sz="1100" b="0" i="0">
                  <a:solidFill>
                    <a:schemeClr val="tx1"/>
                  </a:solidFill>
                  <a:effectLst/>
                  <a:latin typeface="+mn-lt"/>
                  <a:ea typeface="+mn-ea"/>
                  <a:cs typeface="+mn-cs"/>
                </a:rPr>
                <a:t>"(</a:t>
              </a:r>
              <a:r>
                <a:rPr lang="en-US" sz="1100" b="0" i="0">
                  <a:solidFill>
                    <a:schemeClr val="tx1"/>
                  </a:solidFill>
                  <a:effectLst/>
                  <a:latin typeface="Cambria Math"/>
                  <a:ea typeface="+mn-ea"/>
                  <a:cs typeface="+mn-cs"/>
                </a:rPr>
                <a:t>" 𝐸𝐴𝑅+1)〗^(1/𝑛)=</a:t>
              </a:r>
              <a:r>
                <a:rPr lang="en-US" sz="1100">
                  <a:solidFill>
                    <a:schemeClr val="tx1"/>
                  </a:solidFill>
                  <a:effectLst/>
                  <a:latin typeface="+mn-lt"/>
                  <a:ea typeface="+mn-ea"/>
                  <a:cs typeface="+mn-cs"/>
                </a:rPr>
                <a:t> (1</a:t>
              </a:r>
              <a:r>
                <a:rPr lang="en-US" sz="1100" baseline="0">
                  <a:solidFill>
                    <a:schemeClr val="tx1"/>
                  </a:solidFill>
                  <a:effectLst/>
                  <a:latin typeface="+mn-lt"/>
                  <a:ea typeface="+mn-ea"/>
                  <a:cs typeface="+mn-cs"/>
                </a:rPr>
                <a:t> </a:t>
              </a:r>
              <a:r>
                <a:rPr lang="en-US" sz="1100" b="0" i="0">
                  <a:solidFill>
                    <a:schemeClr val="tx1"/>
                  </a:solidFill>
                  <a:effectLst/>
                  <a:latin typeface="Cambria Math"/>
                  <a:ea typeface="+mn-ea"/>
                  <a:cs typeface="+mn-cs"/>
                </a:rPr>
                <a:t>+</a:t>
              </a:r>
              <a:r>
                <a:rPr lang="en-US" sz="1100" baseline="0">
                  <a:solidFill>
                    <a:schemeClr val="tx1"/>
                  </a:solidFill>
                  <a:effectLst/>
                  <a:latin typeface="+mn-lt"/>
                  <a:ea typeface="+mn-ea"/>
                  <a:cs typeface="+mn-cs"/>
                </a:rPr>
                <a:t> </a:t>
              </a:r>
              <a:r>
                <a:rPr lang="en-US" sz="1100" b="0" i="0">
                  <a:solidFill>
                    <a:schemeClr val="tx1"/>
                  </a:solidFill>
                  <a:effectLst/>
                  <a:latin typeface="Cambria Math"/>
                  <a:ea typeface="+mn-ea"/>
                  <a:cs typeface="+mn-cs"/>
                </a:rPr>
                <a:t>𝑖/𝑛</a:t>
              </a:r>
              <a:r>
                <a:rPr lang="en-US" sz="1100" b="0" i="0">
                  <a:solidFill>
                    <a:schemeClr val="tx1"/>
                  </a:solidFill>
                  <a:effectLst/>
                  <a:latin typeface="+mn-lt"/>
                  <a:ea typeface="+mn-ea"/>
                  <a:cs typeface="+mn-cs"/>
                </a:rPr>
                <a:t> </a:t>
              </a:r>
              <a:r>
                <a:rPr lang="en-US" sz="1100" b="0" i="0">
                  <a:solidFill>
                    <a:schemeClr val="tx1"/>
                  </a:solidFill>
                  <a:effectLst/>
                  <a:latin typeface="Cambria Math"/>
                  <a:ea typeface="+mn-ea"/>
                  <a:cs typeface="+mn-cs"/>
                </a:rPr>
                <a:t>"</a:t>
              </a:r>
              <a:r>
                <a:rPr lang="en-US" sz="1100" i="0">
                  <a:solidFill>
                    <a:schemeClr val="tx1"/>
                  </a:solidFill>
                  <a:effectLst/>
                  <a:latin typeface="Cambria Math"/>
                  <a:ea typeface="+mn-ea"/>
                  <a:cs typeface="+mn-cs"/>
                </a:rPr>
                <a:t> </a:t>
              </a:r>
              <a:r>
                <a:rPr lang="en-US" sz="1100" i="0">
                  <a:solidFill>
                    <a:schemeClr val="tx1"/>
                  </a:solidFill>
                  <a:effectLst/>
                  <a:latin typeface="+mn-lt"/>
                  <a:ea typeface="+mn-ea"/>
                  <a:cs typeface="+mn-cs"/>
                </a:rPr>
                <a:t>"</a:t>
              </a:r>
              <a:r>
                <a:rPr lang="en-US" sz="1100" baseline="0">
                  <a:solidFill>
                    <a:schemeClr val="tx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Cambria Math"/>
                  <a:ea typeface="+mn-ea"/>
                  <a:cs typeface="+mn-cs"/>
                </a:rPr>
                <a:t>〖</a:t>
              </a:r>
              <a:r>
                <a:rPr lang="en-US" sz="1100" b="0" i="0">
                  <a:solidFill>
                    <a:schemeClr val="tx1"/>
                  </a:solidFill>
                  <a:effectLst/>
                  <a:latin typeface="+mn-lt"/>
                  <a:ea typeface="+mn-ea"/>
                  <a:cs typeface="+mn-cs"/>
                </a:rPr>
                <a:t>"(</a:t>
              </a:r>
              <a:r>
                <a:rPr lang="en-US" sz="1100" b="0" i="0">
                  <a:solidFill>
                    <a:schemeClr val="tx1"/>
                  </a:solidFill>
                  <a:effectLst/>
                  <a:latin typeface="Cambria Math"/>
                  <a:ea typeface="+mn-ea"/>
                  <a:cs typeface="+mn-cs"/>
                </a:rPr>
                <a:t>" 𝐸𝐴𝑅+1)〗^(1/𝑛)  −1=</a:t>
              </a:r>
              <a:r>
                <a:rPr lang="en-US" sz="1100">
                  <a:solidFill>
                    <a:schemeClr val="tx1"/>
                  </a:solidFill>
                  <a:effectLst/>
                  <a:latin typeface="+mn-lt"/>
                  <a:ea typeface="+mn-ea"/>
                  <a:cs typeface="+mn-cs"/>
                </a:rPr>
                <a:t> </a:t>
              </a:r>
              <a:r>
                <a:rPr lang="en-US" sz="1100" baseline="0">
                  <a:solidFill>
                    <a:schemeClr val="tx1"/>
                  </a:solidFill>
                  <a:effectLst/>
                  <a:latin typeface="+mn-lt"/>
                  <a:ea typeface="+mn-ea"/>
                  <a:cs typeface="+mn-cs"/>
                </a:rPr>
                <a:t> </a:t>
              </a:r>
              <a:r>
                <a:rPr lang="en-US" sz="1100" b="0" i="0">
                  <a:solidFill>
                    <a:schemeClr val="tx1"/>
                  </a:solidFill>
                  <a:effectLst/>
                  <a:latin typeface="Cambria Math"/>
                  <a:ea typeface="+mn-ea"/>
                  <a:cs typeface="+mn-cs"/>
                </a:rPr>
                <a:t>𝑖/𝑛</a:t>
              </a:r>
              <a:r>
                <a:rPr lang="en-US" sz="1100" b="0" i="0">
                  <a:solidFill>
                    <a:schemeClr val="tx1"/>
                  </a:solidFill>
                  <a:effectLst/>
                  <a:latin typeface="+mn-lt"/>
                  <a:ea typeface="+mn-ea"/>
                  <a:cs typeface="+mn-cs"/>
                </a:rPr>
                <a:t> </a:t>
              </a:r>
              <a:r>
                <a:rPr lang="en-US" sz="1100" b="0" i="0">
                  <a:solidFill>
                    <a:schemeClr val="tx1"/>
                  </a:solidFill>
                  <a:effectLst/>
                  <a:latin typeface="Cambria Math"/>
                  <a:ea typeface="+mn-ea"/>
                  <a:cs typeface="+mn-cs"/>
                </a:rPr>
                <a:t>"</a:t>
              </a:r>
              <a:r>
                <a:rPr lang="en-US" sz="1100" i="0">
                  <a:solidFill>
                    <a:schemeClr val="tx1"/>
                  </a:solidFill>
                  <a:effectLst/>
                  <a:latin typeface="Cambria Math"/>
                  <a:ea typeface="+mn-ea"/>
                  <a:cs typeface="+mn-cs"/>
                </a:rPr>
                <a:t> </a:t>
              </a:r>
              <a:r>
                <a:rPr lang="en-US" sz="1100" i="0">
                  <a:solidFill>
                    <a:schemeClr val="tx1"/>
                  </a:solidFill>
                  <a:effectLst/>
                  <a:latin typeface="+mn-lt"/>
                  <a:ea typeface="+mn-ea"/>
                  <a:cs typeface="+mn-cs"/>
                </a:rPr>
                <a: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ea typeface="+mn-ea"/>
                  <a:cs typeface="+mn-cs"/>
                </a:rPr>
                <a:t>(</a:t>
              </a:r>
              <a:r>
                <a:rPr lang="en-US" sz="1100" b="0" i="0">
                  <a:solidFill>
                    <a:schemeClr val="tx1"/>
                  </a:solidFill>
                  <a:effectLst/>
                  <a:latin typeface="Cambria Math"/>
                  <a:ea typeface="+mn-ea"/>
                  <a:cs typeface="+mn-cs"/>
                </a:rPr>
                <a:t>〖</a:t>
              </a:r>
              <a:r>
                <a:rPr lang="en-US" sz="1100" b="0" i="0">
                  <a:solidFill>
                    <a:schemeClr val="tx1"/>
                  </a:solidFill>
                  <a:effectLst/>
                  <a:latin typeface="+mn-lt"/>
                  <a:ea typeface="+mn-ea"/>
                  <a:cs typeface="+mn-cs"/>
                </a:rPr>
                <a:t>"(</a:t>
              </a:r>
              <a:r>
                <a:rPr lang="en-US" sz="1100" b="0" i="0">
                  <a:solidFill>
                    <a:schemeClr val="tx1"/>
                  </a:solidFill>
                  <a:effectLst/>
                  <a:latin typeface="Cambria Math"/>
                  <a:ea typeface="+mn-ea"/>
                  <a:cs typeface="+mn-cs"/>
                </a:rPr>
                <a:t>" 𝐸𝐴𝑅+1)〗^(1/𝑛)  −1)∗𝑛=</a:t>
              </a:r>
              <a:r>
                <a:rPr lang="en-US" sz="1100">
                  <a:solidFill>
                    <a:schemeClr val="tx1"/>
                  </a:solidFill>
                  <a:effectLst/>
                  <a:latin typeface="+mn-lt"/>
                  <a:ea typeface="+mn-ea"/>
                  <a:cs typeface="+mn-cs"/>
                </a:rPr>
                <a:t> </a:t>
              </a:r>
              <a:r>
                <a:rPr lang="en-US" sz="1100" baseline="0">
                  <a:solidFill>
                    <a:schemeClr val="tx1"/>
                  </a:solidFill>
                  <a:effectLst/>
                  <a:latin typeface="+mn-lt"/>
                  <a:ea typeface="+mn-ea"/>
                  <a:cs typeface="+mn-cs"/>
                </a:rPr>
                <a:t> </a:t>
              </a:r>
              <a:r>
                <a:rPr lang="en-US" sz="1100" b="0" i="0">
                  <a:solidFill>
                    <a:schemeClr val="tx1"/>
                  </a:solidFill>
                  <a:effectLst/>
                  <a:latin typeface="Cambria Math"/>
                  <a:ea typeface="+mn-ea"/>
                  <a:cs typeface="+mn-cs"/>
                </a:rPr>
                <a:t>𝑖"</a:t>
              </a:r>
              <a:r>
                <a:rPr lang="en-US" sz="1100" i="0">
                  <a:solidFill>
                    <a:schemeClr val="tx1"/>
                  </a:solidFill>
                  <a:effectLst/>
                  <a:latin typeface="Cambria Math"/>
                  <a:ea typeface="+mn-ea"/>
                  <a:cs typeface="+mn-cs"/>
                </a:rPr>
                <a:t> </a:t>
              </a:r>
              <a:r>
                <a:rPr lang="en-US" sz="1100" i="0">
                  <a:solidFill>
                    <a:schemeClr val="tx1"/>
                  </a:solidFill>
                  <a:effectLst/>
                  <a:latin typeface="+mn-lt"/>
                  <a:ea typeface="+mn-ea"/>
                  <a:cs typeface="+mn-cs"/>
                </a:rPr>
                <a: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5</xdr:col>
      <xdr:colOff>102478</xdr:colOff>
      <xdr:row>6</xdr:row>
      <xdr:rowOff>103037</xdr:rowOff>
    </xdr:from>
    <xdr:ext cx="2837792" cy="1649169"/>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4967555" y="1374991"/>
              <a:ext cx="2837792" cy="1649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n-US" sz="1100" b="0" i="1">
                      <a:latin typeface="Cambria Math"/>
                    </a:rPr>
                    <m:t>𝐸𝐴𝑅</m:t>
                  </m:r>
                  <m:r>
                    <a:rPr lang="en-US" sz="1100" b="0" i="1">
                      <a:latin typeface="Cambria Math"/>
                    </a:rPr>
                    <m:t>=(1+ </m:t>
                  </m:r>
                  <m:f>
                    <m:fPr>
                      <m:ctrlPr>
                        <a:rPr lang="en-US" sz="1100" b="0" i="1">
                          <a:latin typeface="Cambria Math" panose="02040503050406030204" pitchFamily="18" charset="0"/>
                        </a:rPr>
                      </m:ctrlPr>
                    </m:fPr>
                    <m:num>
                      <m:r>
                        <a:rPr lang="en-US" sz="1100" b="0" i="1">
                          <a:latin typeface="Cambria Math"/>
                        </a:rPr>
                        <m:t>𝐴𝑃𝑅</m:t>
                      </m:r>
                    </m:num>
                    <m:den>
                      <m:r>
                        <a:rPr lang="en-US" sz="1100" b="0" i="1">
                          <a:latin typeface="Cambria Math"/>
                        </a:rPr>
                        <m:t>𝑛</m:t>
                      </m:r>
                    </m:den>
                  </m:f>
                  <m:r>
                    <a:rPr lang="en-US" sz="1100" b="0" i="1">
                      <a:latin typeface="Cambria Math"/>
                    </a:rPr>
                    <m:t>)</m:t>
                  </m:r>
                </m:oMath>
              </a14:m>
              <a:r>
                <a:rPr lang="en-US" sz="1100"/>
                <a:t>^n - 1</a:t>
              </a:r>
            </a:p>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n-US" sz="1100" b="0" i="1">
                      <a:solidFill>
                        <a:schemeClr val="tx1"/>
                      </a:solidFill>
                      <a:effectLst/>
                      <a:latin typeface="Cambria Math"/>
                      <a:ea typeface="+mn-ea"/>
                      <a:cs typeface="+mn-cs"/>
                    </a:rPr>
                    <m:t>0.08327757=(1+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𝐴𝑃𝑅</m:t>
                      </m:r>
                    </m:num>
                    <m:den>
                      <m:r>
                        <a:rPr lang="en-US" sz="1100" b="0" i="1">
                          <a:solidFill>
                            <a:schemeClr val="tx1"/>
                          </a:solidFill>
                          <a:effectLst/>
                          <a:latin typeface="Cambria Math"/>
                          <a:ea typeface="+mn-ea"/>
                          <a:cs typeface="+mn-cs"/>
                        </a:rPr>
                        <m:t>12</m:t>
                      </m:r>
                    </m:den>
                  </m:f>
                  <m:r>
                    <a:rPr lang="en-US" sz="1100" b="0" i="1">
                      <a:solidFill>
                        <a:schemeClr val="tx1"/>
                      </a:solidFill>
                      <a:effectLst/>
                      <a:latin typeface="Cambria Math"/>
                      <a:ea typeface="+mn-ea"/>
                      <a:cs typeface="+mn-cs"/>
                    </a:rPr>
                    <m:t>)</m:t>
                  </m:r>
                </m:oMath>
              </a14:m>
              <a:r>
                <a:rPr lang="en-US" sz="1100">
                  <a:solidFill>
                    <a:schemeClr val="tx1"/>
                  </a:solidFill>
                  <a:effectLst/>
                  <a:latin typeface="+mn-lt"/>
                  <a:ea typeface="+mn-ea"/>
                  <a:cs typeface="+mn-cs"/>
                </a:rPr>
                <a:t>^12 - 1</a:t>
              </a:r>
            </a:p>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n-US" sz="1100" b="0" i="1">
                      <a:solidFill>
                        <a:schemeClr val="tx1"/>
                      </a:solidFill>
                      <a:effectLst/>
                      <a:latin typeface="Cambria Math" panose="02040503050406030204" pitchFamily="18" charset="0"/>
                      <a:ea typeface="+mn-ea"/>
                      <a:cs typeface="+mn-cs"/>
                    </a:rPr>
                    <m:t>0.08327757</m:t>
                  </m:r>
                  <m:r>
                    <a:rPr lang="en-US" sz="1100" b="0" i="1">
                      <a:solidFill>
                        <a:schemeClr val="tx1"/>
                      </a:solidFill>
                      <a:effectLst/>
                      <a:latin typeface="Cambria Math"/>
                      <a:ea typeface="+mn-ea"/>
                      <a:cs typeface="+mn-cs"/>
                    </a:rPr>
                    <m:t>+1 </m:t>
                  </m:r>
                  <m:r>
                    <a:rPr lang="en-US" sz="1100" b="0" i="1">
                      <a:solidFill>
                        <a:schemeClr val="tx1"/>
                      </a:solidFill>
                      <a:effectLst/>
                      <a:latin typeface="Cambria Math" panose="02040503050406030204" pitchFamily="18" charset="0"/>
                      <a:ea typeface="+mn-ea"/>
                      <a:cs typeface="+mn-cs"/>
                    </a:rPr>
                    <m:t>=(1+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𝐴𝑃𝑅</m:t>
                      </m:r>
                    </m:num>
                    <m:den>
                      <m:r>
                        <a:rPr lang="en-US" sz="1100" b="0" i="1">
                          <a:solidFill>
                            <a:schemeClr val="tx1"/>
                          </a:solidFill>
                          <a:effectLst/>
                          <a:latin typeface="Cambria Math" panose="02040503050406030204" pitchFamily="18" charset="0"/>
                          <a:ea typeface="+mn-ea"/>
                          <a:cs typeface="+mn-cs"/>
                        </a:rPr>
                        <m:t>12</m:t>
                      </m:r>
                    </m:den>
                  </m:f>
                  <m:r>
                    <a:rPr lang="en-US" sz="1100" b="0" i="1">
                      <a:solidFill>
                        <a:schemeClr val="tx1"/>
                      </a:solidFill>
                      <a:effectLst/>
                      <a:latin typeface="Cambria Math" panose="02040503050406030204" pitchFamily="18" charset="0"/>
                      <a:ea typeface="+mn-ea"/>
                      <a:cs typeface="+mn-cs"/>
                    </a:rPr>
                    <m:t>)</m:t>
                  </m:r>
                </m:oMath>
              </a14:m>
              <a:r>
                <a:rPr lang="en-US" sz="1100">
                  <a:solidFill>
                    <a:schemeClr val="tx1"/>
                  </a:solidFill>
                  <a:effectLst/>
                  <a:latin typeface="+mn-lt"/>
                  <a:ea typeface="+mn-ea"/>
                  <a:cs typeface="+mn-cs"/>
                </a:rPr>
                <a:t>^12</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ea typeface="+mn-ea"/>
                  <a:cs typeface="+mn-cs"/>
                </a:rPr>
                <a:t>(</a:t>
              </a:r>
              <a14:m>
                <m:oMath xmlns:m="http://schemas.openxmlformats.org/officeDocument/2006/math">
                  <m:r>
                    <a:rPr lang="en-US" sz="1100" b="0" i="1">
                      <a:solidFill>
                        <a:schemeClr val="tx1"/>
                      </a:solidFill>
                      <a:effectLst/>
                      <a:latin typeface="Cambria Math" panose="02040503050406030204" pitchFamily="18" charset="0"/>
                      <a:ea typeface="+mn-ea"/>
                      <a:cs typeface="+mn-cs"/>
                    </a:rPr>
                    <m:t>0.08327757+1</m:t>
                  </m:r>
                  <m:r>
                    <a:rPr lang="en-US" sz="1100" b="0" i="1" baseline="30000">
                      <a:solidFill>
                        <a:schemeClr val="tx1"/>
                      </a:solidFill>
                      <a:effectLst/>
                      <a:latin typeface="Cambria Math"/>
                      <a:ea typeface="+mn-ea"/>
                      <a:cs typeface="+mn-cs"/>
                    </a:rPr>
                    <m:t>)^(1/12)</m:t>
                  </m:r>
                  <m:r>
                    <a:rPr lang="en-US" sz="1100" b="0" i="1" baseline="3000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=1+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𝐴𝑃𝑅</m:t>
                      </m:r>
                    </m:num>
                    <m:den>
                      <m:r>
                        <a:rPr lang="en-US" sz="1100" b="0" i="1">
                          <a:solidFill>
                            <a:schemeClr val="tx1"/>
                          </a:solidFill>
                          <a:effectLst/>
                          <a:latin typeface="Cambria Math" panose="02040503050406030204" pitchFamily="18" charset="0"/>
                          <a:ea typeface="+mn-ea"/>
                          <a:cs typeface="+mn-cs"/>
                        </a:rPr>
                        <m:t>12</m:t>
                      </m:r>
                    </m:den>
                  </m:f>
                </m:oMath>
              </a14:m>
              <a:endParaRPr lang="en-US">
                <a:effectLst/>
              </a:endParaRPr>
            </a:p>
            <a:p>
              <a:r>
                <a:rPr lang="en-US" sz="1100" b="0">
                  <a:solidFill>
                    <a:schemeClr val="tx1"/>
                  </a:solidFill>
                  <a:effectLst/>
                  <a:latin typeface="+mn-lt"/>
                  <a:ea typeface="+mn-ea"/>
                  <a:cs typeface="+mn-cs"/>
                </a:rPr>
                <a:t>(</a:t>
              </a:r>
              <a14:m>
                <m:oMath xmlns:m="http://schemas.openxmlformats.org/officeDocument/2006/math">
                  <m:r>
                    <a:rPr lang="en-US" sz="1100" b="0" i="1">
                      <a:solidFill>
                        <a:schemeClr val="tx1"/>
                      </a:solidFill>
                      <a:effectLst/>
                      <a:latin typeface="Cambria Math" panose="02040503050406030204" pitchFamily="18" charset="0"/>
                      <a:ea typeface="+mn-ea"/>
                      <a:cs typeface="+mn-cs"/>
                    </a:rPr>
                    <m:t>0.08327757+1</m:t>
                  </m:r>
                  <m:r>
                    <a:rPr lang="en-US" sz="1100" b="0" i="1" baseline="30000">
                      <a:solidFill>
                        <a:schemeClr val="tx1"/>
                      </a:solidFill>
                      <a:effectLst/>
                      <a:latin typeface="Cambria Math" panose="02040503050406030204" pitchFamily="18" charset="0"/>
                      <a:ea typeface="+mn-ea"/>
                      <a:cs typeface="+mn-cs"/>
                    </a:rPr>
                    <m:t>)^(1/12) </m:t>
                  </m:r>
                  <m:r>
                    <a:rPr lang="en-US" sz="1100" b="0" i="1">
                      <a:solidFill>
                        <a:schemeClr val="tx1"/>
                      </a:solidFill>
                      <a:effectLst/>
                      <a:latin typeface="Cambria Math"/>
                      <a:ea typeface="+mn-ea"/>
                      <a:cs typeface="+mn-cs"/>
                    </a:rPr>
                    <m:t>−1=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𝐴𝑃𝑅</m:t>
                      </m:r>
                    </m:num>
                    <m:den>
                      <m:r>
                        <a:rPr lang="en-US" sz="1100" b="0" i="1">
                          <a:solidFill>
                            <a:schemeClr val="tx1"/>
                          </a:solidFill>
                          <a:effectLst/>
                          <a:latin typeface="Cambria Math" panose="02040503050406030204" pitchFamily="18" charset="0"/>
                          <a:ea typeface="+mn-ea"/>
                          <a:cs typeface="+mn-cs"/>
                        </a:rPr>
                        <m:t>12</m:t>
                      </m:r>
                    </m:den>
                  </m:f>
                </m:oMath>
              </a14:m>
              <a:endParaRPr lang="en-US" sz="1100"/>
            </a:p>
            <a:p>
              <a:r>
                <a:rPr lang="en-US" sz="1100" b="0">
                  <a:solidFill>
                    <a:schemeClr val="tx1"/>
                  </a:solidFill>
                  <a:effectLst/>
                  <a:latin typeface="+mn-lt"/>
                  <a:ea typeface="+mn-ea"/>
                  <a:cs typeface="+mn-cs"/>
                </a:rPr>
                <a:t>((</a:t>
              </a:r>
              <a14:m>
                <m:oMath xmlns:m="http://schemas.openxmlformats.org/officeDocument/2006/math">
                  <m:r>
                    <a:rPr lang="en-US" sz="1100" b="0" i="1">
                      <a:solidFill>
                        <a:schemeClr val="tx1"/>
                      </a:solidFill>
                      <a:effectLst/>
                      <a:latin typeface="Cambria Math" panose="02040503050406030204" pitchFamily="18" charset="0"/>
                      <a:ea typeface="+mn-ea"/>
                      <a:cs typeface="+mn-cs"/>
                    </a:rPr>
                    <m:t>0.08327757+1</m:t>
                  </m:r>
                  <m:r>
                    <a:rPr lang="en-US" sz="1100" b="0" i="1" baseline="30000">
                      <a:solidFill>
                        <a:schemeClr val="tx1"/>
                      </a:solidFill>
                      <a:effectLst/>
                      <a:latin typeface="Cambria Math" panose="02040503050406030204" pitchFamily="18" charset="0"/>
                      <a:ea typeface="+mn-ea"/>
                      <a:cs typeface="+mn-cs"/>
                    </a:rPr>
                    <m:t>)^(1/12) </m:t>
                  </m:r>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a:ea typeface="+mn-ea"/>
                      <a:cs typeface="+mn-cs"/>
                    </a:rPr>
                    <m:t>)∗12</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a:ea typeface="+mn-ea"/>
                      <a:cs typeface="+mn-cs"/>
                    </a:rPr>
                    <m:t>𝐴𝑃𝑅</m:t>
                  </m:r>
                </m:oMath>
              </a14:m>
              <a:endParaRPr lang="en-US" sz="1100"/>
            </a:p>
            <a:p>
              <a:endParaRPr lang="en-US" sz="1100"/>
            </a:p>
          </xdr:txBody>
        </xdr:sp>
      </mc:Choice>
      <mc:Fallback xmlns="">
        <xdr:sp macro="" textlink="">
          <xdr:nvSpPr>
            <xdr:cNvPr id="2" name="TextBox 1"/>
            <xdr:cNvSpPr txBox="1"/>
          </xdr:nvSpPr>
          <xdr:spPr>
            <a:xfrm>
              <a:off x="4967555" y="1374991"/>
              <a:ext cx="2837792" cy="1649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𝐸𝐴𝑅=(1+  𝐴𝑃𝑅/𝑛)</a:t>
              </a:r>
              <a:r>
                <a:rPr lang="en-US" sz="1100"/>
                <a:t>^n - 1</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Cambria Math"/>
                  <a:ea typeface="+mn-ea"/>
                  <a:cs typeface="+mn-cs"/>
                </a:rPr>
                <a:t>0.08327757=(1+  𝐴𝑃𝑅/12)</a:t>
              </a:r>
              <a:r>
                <a:rPr lang="en-US" sz="1100">
                  <a:solidFill>
                    <a:schemeClr val="tx1"/>
                  </a:solidFill>
                  <a:effectLst/>
                  <a:latin typeface="+mn-lt"/>
                  <a:ea typeface="+mn-ea"/>
                  <a:cs typeface="+mn-cs"/>
                </a:rPr>
                <a:t>^12 - 1</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0.08327757</a:t>
              </a:r>
              <a:r>
                <a:rPr lang="en-US" sz="1100" b="0" i="0">
                  <a:solidFill>
                    <a:schemeClr val="tx1"/>
                  </a:solidFill>
                  <a:effectLst/>
                  <a:latin typeface="Cambria Math"/>
                  <a:ea typeface="+mn-ea"/>
                  <a:cs typeface="+mn-cs"/>
                </a:rPr>
                <a:t>+1 </a:t>
              </a:r>
              <a:r>
                <a:rPr lang="en-US" sz="1100" b="0" i="0">
                  <a:solidFill>
                    <a:schemeClr val="tx1"/>
                  </a:solidFill>
                  <a:effectLst/>
                  <a:latin typeface="+mn-lt"/>
                  <a:ea typeface="+mn-ea"/>
                  <a:cs typeface="+mn-cs"/>
                </a:rPr>
                <a:t>=(1+  𝐴𝑃𝑅/12)</a:t>
              </a:r>
              <a:r>
                <a:rPr lang="en-US" sz="1100">
                  <a:solidFill>
                    <a:schemeClr val="tx1"/>
                  </a:solidFill>
                  <a:effectLst/>
                  <a:latin typeface="+mn-lt"/>
                  <a:ea typeface="+mn-ea"/>
                  <a:cs typeface="+mn-cs"/>
                </a:rPr>
                <a:t>^12</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ea typeface="+mn-ea"/>
                  <a:cs typeface="+mn-cs"/>
                </a:rPr>
                <a:t>(</a:t>
              </a:r>
              <a:r>
                <a:rPr lang="en-US" sz="1100" b="0" i="0">
                  <a:solidFill>
                    <a:schemeClr val="tx1"/>
                  </a:solidFill>
                  <a:effectLst/>
                  <a:latin typeface="+mn-lt"/>
                  <a:ea typeface="+mn-ea"/>
                  <a:cs typeface="+mn-cs"/>
                </a:rPr>
                <a:t>0.08327757+1</a:t>
              </a:r>
              <a:r>
                <a:rPr lang="en-US" sz="1100" b="0" i="0" baseline="30000">
                  <a:solidFill>
                    <a:schemeClr val="tx1"/>
                  </a:solidFill>
                  <a:effectLst/>
                  <a:latin typeface="Cambria Math"/>
                  <a:ea typeface="+mn-ea"/>
                  <a:cs typeface="+mn-cs"/>
                </a:rPr>
                <a:t>)^(1/12)</a:t>
              </a:r>
              <a:r>
                <a:rPr lang="en-US" sz="1100" b="0" i="0" baseline="30000">
                  <a:solidFill>
                    <a:schemeClr val="tx1"/>
                  </a:solidFill>
                  <a:effectLst/>
                  <a:latin typeface="+mn-lt"/>
                  <a:ea typeface="+mn-ea"/>
                  <a:cs typeface="+mn-cs"/>
                </a:rPr>
                <a:t> </a:t>
              </a:r>
              <a:r>
                <a:rPr lang="en-US" sz="1100" b="0" i="0">
                  <a:solidFill>
                    <a:schemeClr val="tx1"/>
                  </a:solidFill>
                  <a:effectLst/>
                  <a:latin typeface="+mn-lt"/>
                  <a:ea typeface="+mn-ea"/>
                  <a:cs typeface="+mn-cs"/>
                </a:rPr>
                <a:t>=1+  𝐴𝑃𝑅/12</a:t>
              </a:r>
              <a:endParaRPr lang="en-US">
                <a:effectLst/>
              </a:endParaRPr>
            </a:p>
            <a:p>
              <a:r>
                <a:rPr lang="en-US" sz="1100" b="0">
                  <a:solidFill>
                    <a:schemeClr val="tx1"/>
                  </a:solidFill>
                  <a:effectLst/>
                  <a:latin typeface="+mn-lt"/>
                  <a:ea typeface="+mn-ea"/>
                  <a:cs typeface="+mn-cs"/>
                </a:rPr>
                <a:t>(</a:t>
              </a:r>
              <a:r>
                <a:rPr lang="en-US" sz="1100" b="0" i="0">
                  <a:solidFill>
                    <a:schemeClr val="tx1"/>
                  </a:solidFill>
                  <a:effectLst/>
                  <a:latin typeface="+mn-lt"/>
                  <a:ea typeface="+mn-ea"/>
                  <a:cs typeface="+mn-cs"/>
                </a:rPr>
                <a:t>0.08327757+1</a:t>
              </a:r>
              <a:r>
                <a:rPr lang="en-US" sz="1100" b="0" i="0" baseline="30000">
                  <a:solidFill>
                    <a:schemeClr val="tx1"/>
                  </a:solidFill>
                  <a:effectLst/>
                  <a:latin typeface="+mn-lt"/>
                  <a:ea typeface="+mn-ea"/>
                  <a:cs typeface="+mn-cs"/>
                </a:rPr>
                <a:t>)^(1/12) </a:t>
              </a:r>
              <a:r>
                <a:rPr lang="en-US" sz="1100" b="0" i="0">
                  <a:solidFill>
                    <a:schemeClr val="tx1"/>
                  </a:solidFill>
                  <a:effectLst/>
                  <a:latin typeface="Cambria Math"/>
                  <a:ea typeface="+mn-ea"/>
                  <a:cs typeface="+mn-cs"/>
                </a:rPr>
                <a:t>−1=</a:t>
              </a:r>
              <a:r>
                <a:rPr lang="en-US" sz="1100" b="0" i="0">
                  <a:solidFill>
                    <a:schemeClr val="tx1"/>
                  </a:solidFill>
                  <a:effectLst/>
                  <a:latin typeface="+mn-lt"/>
                  <a:ea typeface="+mn-ea"/>
                  <a:cs typeface="+mn-cs"/>
                </a:rPr>
                <a:t>𝐴𝑃𝑅/12</a:t>
              </a:r>
              <a:endParaRPr lang="en-US" sz="1100"/>
            </a:p>
            <a:p>
              <a:r>
                <a:rPr lang="en-US" sz="1100" b="0">
                  <a:solidFill>
                    <a:schemeClr val="tx1"/>
                  </a:solidFill>
                  <a:effectLst/>
                  <a:latin typeface="+mn-lt"/>
                  <a:ea typeface="+mn-ea"/>
                  <a:cs typeface="+mn-cs"/>
                </a:rPr>
                <a:t>((</a:t>
              </a:r>
              <a:r>
                <a:rPr lang="en-US" sz="1100" b="0" i="0">
                  <a:solidFill>
                    <a:schemeClr val="tx1"/>
                  </a:solidFill>
                  <a:effectLst/>
                  <a:latin typeface="+mn-lt"/>
                  <a:ea typeface="+mn-ea"/>
                  <a:cs typeface="+mn-cs"/>
                </a:rPr>
                <a:t>0.08327757+1</a:t>
              </a:r>
              <a:r>
                <a:rPr lang="en-US" sz="1100" b="0" i="0" baseline="30000">
                  <a:solidFill>
                    <a:schemeClr val="tx1"/>
                  </a:solidFill>
                  <a:effectLst/>
                  <a:latin typeface="+mn-lt"/>
                  <a:ea typeface="+mn-ea"/>
                  <a:cs typeface="+mn-cs"/>
                </a:rPr>
                <a:t>)^(1/12) </a:t>
              </a:r>
              <a:r>
                <a:rPr lang="en-US" sz="1100" b="0" i="0">
                  <a:solidFill>
                    <a:schemeClr val="tx1"/>
                  </a:solidFill>
                  <a:effectLst/>
                  <a:latin typeface="+mn-lt"/>
                  <a:ea typeface="+mn-ea"/>
                  <a:cs typeface="+mn-cs"/>
                </a:rPr>
                <a:t>−1</a:t>
              </a:r>
              <a:r>
                <a:rPr lang="en-US" sz="1100" b="0" i="0">
                  <a:solidFill>
                    <a:schemeClr val="tx1"/>
                  </a:solidFill>
                  <a:effectLst/>
                  <a:latin typeface="Cambria Math"/>
                  <a:ea typeface="+mn-ea"/>
                  <a:cs typeface="+mn-cs"/>
                </a:rPr>
                <a:t>)∗12</a:t>
              </a:r>
              <a:r>
                <a:rPr lang="en-US" sz="1100" b="0" i="0">
                  <a:solidFill>
                    <a:schemeClr val="tx1"/>
                  </a:solidFill>
                  <a:effectLst/>
                  <a:latin typeface="+mn-lt"/>
                  <a:ea typeface="+mn-ea"/>
                  <a:cs typeface="+mn-cs"/>
                </a:rPr>
                <a:t>=</a:t>
              </a:r>
              <a:r>
                <a:rPr lang="en-US" sz="1100" b="0" i="0">
                  <a:solidFill>
                    <a:schemeClr val="tx1"/>
                  </a:solidFill>
                  <a:effectLst/>
                  <a:latin typeface="Cambria Math"/>
                  <a:ea typeface="+mn-ea"/>
                  <a:cs typeface="+mn-cs"/>
                </a:rPr>
                <a:t>𝐴𝑃𝑅</a:t>
              </a:r>
              <a:endParaRPr lang="en-US" sz="1100"/>
            </a:p>
            <a:p>
              <a:endParaRPr 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5</xdr:col>
      <xdr:colOff>102478</xdr:colOff>
      <xdr:row>6</xdr:row>
      <xdr:rowOff>103037</xdr:rowOff>
    </xdr:from>
    <xdr:ext cx="2837792" cy="1649169"/>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4971658" y="1383197"/>
              <a:ext cx="2837792" cy="1649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n-US" sz="1100" b="0" i="1">
                      <a:latin typeface="Cambria Math"/>
                    </a:rPr>
                    <m:t>𝐸𝐴𝑅</m:t>
                  </m:r>
                  <m:r>
                    <a:rPr lang="en-US" sz="1100" b="0" i="1">
                      <a:latin typeface="Cambria Math"/>
                    </a:rPr>
                    <m:t>=(1+ </m:t>
                  </m:r>
                  <m:f>
                    <m:fPr>
                      <m:ctrlPr>
                        <a:rPr lang="en-US" sz="1100" b="0" i="1">
                          <a:latin typeface="Cambria Math" panose="02040503050406030204" pitchFamily="18" charset="0"/>
                        </a:rPr>
                      </m:ctrlPr>
                    </m:fPr>
                    <m:num>
                      <m:r>
                        <a:rPr lang="en-US" sz="1100" b="0" i="1">
                          <a:latin typeface="Cambria Math"/>
                        </a:rPr>
                        <m:t>𝐴𝑃𝑅</m:t>
                      </m:r>
                    </m:num>
                    <m:den>
                      <m:r>
                        <a:rPr lang="en-US" sz="1100" b="0" i="1">
                          <a:latin typeface="Cambria Math"/>
                        </a:rPr>
                        <m:t>𝑛</m:t>
                      </m:r>
                    </m:den>
                  </m:f>
                  <m:r>
                    <a:rPr lang="en-US" sz="1100" b="0" i="1">
                      <a:latin typeface="Cambria Math"/>
                    </a:rPr>
                    <m:t>)</m:t>
                  </m:r>
                </m:oMath>
              </a14:m>
              <a:r>
                <a:rPr lang="en-US" sz="1100"/>
                <a:t>^n - 1</a:t>
              </a:r>
            </a:p>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n-US" sz="1100" b="0" i="1">
                      <a:solidFill>
                        <a:schemeClr val="tx1"/>
                      </a:solidFill>
                      <a:effectLst/>
                      <a:latin typeface="Cambria Math"/>
                      <a:ea typeface="+mn-ea"/>
                      <a:cs typeface="+mn-cs"/>
                    </a:rPr>
                    <m:t>0.08327757=(1+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a:ea typeface="+mn-ea"/>
                          <a:cs typeface="+mn-cs"/>
                        </a:rPr>
                        <m:t>𝐴𝑃𝑅</m:t>
                      </m:r>
                    </m:num>
                    <m:den>
                      <m:r>
                        <a:rPr lang="en-US" sz="1100" b="0" i="1">
                          <a:solidFill>
                            <a:schemeClr val="tx1"/>
                          </a:solidFill>
                          <a:effectLst/>
                          <a:latin typeface="Cambria Math"/>
                          <a:ea typeface="+mn-ea"/>
                          <a:cs typeface="+mn-cs"/>
                        </a:rPr>
                        <m:t>12</m:t>
                      </m:r>
                    </m:den>
                  </m:f>
                  <m:r>
                    <a:rPr lang="en-US" sz="1100" b="0" i="1">
                      <a:solidFill>
                        <a:schemeClr val="tx1"/>
                      </a:solidFill>
                      <a:effectLst/>
                      <a:latin typeface="Cambria Math"/>
                      <a:ea typeface="+mn-ea"/>
                      <a:cs typeface="+mn-cs"/>
                    </a:rPr>
                    <m:t>)</m:t>
                  </m:r>
                </m:oMath>
              </a14:m>
              <a:r>
                <a:rPr lang="en-US" sz="1100">
                  <a:solidFill>
                    <a:schemeClr val="tx1"/>
                  </a:solidFill>
                  <a:effectLst/>
                  <a:latin typeface="+mn-lt"/>
                  <a:ea typeface="+mn-ea"/>
                  <a:cs typeface="+mn-cs"/>
                </a:rPr>
                <a:t>^12 - 1</a:t>
              </a:r>
            </a:p>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n-US" sz="1100" b="0" i="1">
                      <a:solidFill>
                        <a:schemeClr val="tx1"/>
                      </a:solidFill>
                      <a:effectLst/>
                      <a:latin typeface="Cambria Math" panose="02040503050406030204" pitchFamily="18" charset="0"/>
                      <a:ea typeface="+mn-ea"/>
                      <a:cs typeface="+mn-cs"/>
                    </a:rPr>
                    <m:t>0.08327757</m:t>
                  </m:r>
                  <m:r>
                    <a:rPr lang="en-US" sz="1100" b="0" i="1">
                      <a:solidFill>
                        <a:schemeClr val="tx1"/>
                      </a:solidFill>
                      <a:effectLst/>
                      <a:latin typeface="Cambria Math"/>
                      <a:ea typeface="+mn-ea"/>
                      <a:cs typeface="+mn-cs"/>
                    </a:rPr>
                    <m:t>+1 </m:t>
                  </m:r>
                  <m:r>
                    <a:rPr lang="en-US" sz="1100" b="0" i="1">
                      <a:solidFill>
                        <a:schemeClr val="tx1"/>
                      </a:solidFill>
                      <a:effectLst/>
                      <a:latin typeface="Cambria Math" panose="02040503050406030204" pitchFamily="18" charset="0"/>
                      <a:ea typeface="+mn-ea"/>
                      <a:cs typeface="+mn-cs"/>
                    </a:rPr>
                    <m:t>=(1+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𝐴𝑃𝑅</m:t>
                      </m:r>
                    </m:num>
                    <m:den>
                      <m:r>
                        <a:rPr lang="en-US" sz="1100" b="0" i="1">
                          <a:solidFill>
                            <a:schemeClr val="tx1"/>
                          </a:solidFill>
                          <a:effectLst/>
                          <a:latin typeface="Cambria Math" panose="02040503050406030204" pitchFamily="18" charset="0"/>
                          <a:ea typeface="+mn-ea"/>
                          <a:cs typeface="+mn-cs"/>
                        </a:rPr>
                        <m:t>12</m:t>
                      </m:r>
                    </m:den>
                  </m:f>
                  <m:r>
                    <a:rPr lang="en-US" sz="1100" b="0" i="1">
                      <a:solidFill>
                        <a:schemeClr val="tx1"/>
                      </a:solidFill>
                      <a:effectLst/>
                      <a:latin typeface="Cambria Math" panose="02040503050406030204" pitchFamily="18" charset="0"/>
                      <a:ea typeface="+mn-ea"/>
                      <a:cs typeface="+mn-cs"/>
                    </a:rPr>
                    <m:t>)</m:t>
                  </m:r>
                </m:oMath>
              </a14:m>
              <a:r>
                <a:rPr lang="en-US" sz="1100">
                  <a:solidFill>
                    <a:schemeClr val="tx1"/>
                  </a:solidFill>
                  <a:effectLst/>
                  <a:latin typeface="+mn-lt"/>
                  <a:ea typeface="+mn-ea"/>
                  <a:cs typeface="+mn-cs"/>
                </a:rPr>
                <a:t>^12</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ea typeface="+mn-ea"/>
                  <a:cs typeface="+mn-cs"/>
                </a:rPr>
                <a:t>(</a:t>
              </a:r>
              <a14:m>
                <m:oMath xmlns:m="http://schemas.openxmlformats.org/officeDocument/2006/math">
                  <m:r>
                    <a:rPr lang="en-US" sz="1100" b="0" i="1">
                      <a:solidFill>
                        <a:schemeClr val="tx1"/>
                      </a:solidFill>
                      <a:effectLst/>
                      <a:latin typeface="Cambria Math" panose="02040503050406030204" pitchFamily="18" charset="0"/>
                      <a:ea typeface="+mn-ea"/>
                      <a:cs typeface="+mn-cs"/>
                    </a:rPr>
                    <m:t>0.08327757+1</m:t>
                  </m:r>
                  <m:r>
                    <a:rPr lang="en-US" sz="1100" b="0" i="1" baseline="30000">
                      <a:solidFill>
                        <a:schemeClr val="tx1"/>
                      </a:solidFill>
                      <a:effectLst/>
                      <a:latin typeface="Cambria Math"/>
                      <a:ea typeface="+mn-ea"/>
                      <a:cs typeface="+mn-cs"/>
                    </a:rPr>
                    <m:t>)^(1/12)</m:t>
                  </m:r>
                  <m:r>
                    <a:rPr lang="en-US" sz="1100" b="0" i="1" baseline="30000">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=1+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𝐴𝑃𝑅</m:t>
                      </m:r>
                    </m:num>
                    <m:den>
                      <m:r>
                        <a:rPr lang="en-US" sz="1100" b="0" i="1">
                          <a:solidFill>
                            <a:schemeClr val="tx1"/>
                          </a:solidFill>
                          <a:effectLst/>
                          <a:latin typeface="Cambria Math" panose="02040503050406030204" pitchFamily="18" charset="0"/>
                          <a:ea typeface="+mn-ea"/>
                          <a:cs typeface="+mn-cs"/>
                        </a:rPr>
                        <m:t>12</m:t>
                      </m:r>
                    </m:den>
                  </m:f>
                </m:oMath>
              </a14:m>
              <a:endParaRPr lang="en-US">
                <a:effectLst/>
              </a:endParaRPr>
            </a:p>
            <a:p>
              <a:r>
                <a:rPr lang="en-US" sz="1100" b="0">
                  <a:solidFill>
                    <a:schemeClr val="tx1"/>
                  </a:solidFill>
                  <a:effectLst/>
                  <a:latin typeface="+mn-lt"/>
                  <a:ea typeface="+mn-ea"/>
                  <a:cs typeface="+mn-cs"/>
                </a:rPr>
                <a:t>(</a:t>
              </a:r>
              <a14:m>
                <m:oMath xmlns:m="http://schemas.openxmlformats.org/officeDocument/2006/math">
                  <m:r>
                    <a:rPr lang="en-US" sz="1100" b="0" i="1">
                      <a:solidFill>
                        <a:schemeClr val="tx1"/>
                      </a:solidFill>
                      <a:effectLst/>
                      <a:latin typeface="Cambria Math" panose="02040503050406030204" pitchFamily="18" charset="0"/>
                      <a:ea typeface="+mn-ea"/>
                      <a:cs typeface="+mn-cs"/>
                    </a:rPr>
                    <m:t>0.08327757+1</m:t>
                  </m:r>
                  <m:r>
                    <a:rPr lang="en-US" sz="1100" b="0" i="1" baseline="30000">
                      <a:solidFill>
                        <a:schemeClr val="tx1"/>
                      </a:solidFill>
                      <a:effectLst/>
                      <a:latin typeface="Cambria Math" panose="02040503050406030204" pitchFamily="18" charset="0"/>
                      <a:ea typeface="+mn-ea"/>
                      <a:cs typeface="+mn-cs"/>
                    </a:rPr>
                    <m:t>)^(1/12) </m:t>
                  </m:r>
                  <m:r>
                    <a:rPr lang="en-US" sz="1100" b="0" i="1">
                      <a:solidFill>
                        <a:schemeClr val="tx1"/>
                      </a:solidFill>
                      <a:effectLst/>
                      <a:latin typeface="Cambria Math"/>
                      <a:ea typeface="+mn-ea"/>
                      <a:cs typeface="+mn-cs"/>
                    </a:rPr>
                    <m:t>−1=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𝐴𝑃𝑅</m:t>
                      </m:r>
                    </m:num>
                    <m:den>
                      <m:r>
                        <a:rPr lang="en-US" sz="1100" b="0" i="1">
                          <a:solidFill>
                            <a:schemeClr val="tx1"/>
                          </a:solidFill>
                          <a:effectLst/>
                          <a:latin typeface="Cambria Math" panose="02040503050406030204" pitchFamily="18" charset="0"/>
                          <a:ea typeface="+mn-ea"/>
                          <a:cs typeface="+mn-cs"/>
                        </a:rPr>
                        <m:t>12</m:t>
                      </m:r>
                    </m:den>
                  </m:f>
                </m:oMath>
              </a14:m>
              <a:endParaRPr lang="en-US" sz="1100"/>
            </a:p>
            <a:p>
              <a:r>
                <a:rPr lang="en-US" sz="1100" b="0">
                  <a:solidFill>
                    <a:schemeClr val="tx1"/>
                  </a:solidFill>
                  <a:effectLst/>
                  <a:latin typeface="+mn-lt"/>
                  <a:ea typeface="+mn-ea"/>
                  <a:cs typeface="+mn-cs"/>
                </a:rPr>
                <a:t>((</a:t>
              </a:r>
              <a14:m>
                <m:oMath xmlns:m="http://schemas.openxmlformats.org/officeDocument/2006/math">
                  <m:r>
                    <a:rPr lang="en-US" sz="1100" b="0" i="1">
                      <a:solidFill>
                        <a:schemeClr val="tx1"/>
                      </a:solidFill>
                      <a:effectLst/>
                      <a:latin typeface="Cambria Math" panose="02040503050406030204" pitchFamily="18" charset="0"/>
                      <a:ea typeface="+mn-ea"/>
                      <a:cs typeface="+mn-cs"/>
                    </a:rPr>
                    <m:t>0.08327757+1</m:t>
                  </m:r>
                  <m:r>
                    <a:rPr lang="en-US" sz="1100" b="0" i="1" baseline="30000">
                      <a:solidFill>
                        <a:schemeClr val="tx1"/>
                      </a:solidFill>
                      <a:effectLst/>
                      <a:latin typeface="Cambria Math" panose="02040503050406030204" pitchFamily="18" charset="0"/>
                      <a:ea typeface="+mn-ea"/>
                      <a:cs typeface="+mn-cs"/>
                    </a:rPr>
                    <m:t>)^(1/12) </m:t>
                  </m:r>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a:ea typeface="+mn-ea"/>
                      <a:cs typeface="+mn-cs"/>
                    </a:rPr>
                    <m:t>)∗12</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a:ea typeface="+mn-ea"/>
                      <a:cs typeface="+mn-cs"/>
                    </a:rPr>
                    <m:t>𝐴𝑃𝑅</m:t>
                  </m:r>
                </m:oMath>
              </a14:m>
              <a:endParaRPr lang="en-US" sz="1100"/>
            </a:p>
            <a:p>
              <a:endParaRPr lang="en-US" sz="1100"/>
            </a:p>
          </xdr:txBody>
        </xdr:sp>
      </mc:Choice>
      <mc:Fallback xmlns="">
        <xdr:sp macro="" textlink="">
          <xdr:nvSpPr>
            <xdr:cNvPr id="2" name="TextBox 1"/>
            <xdr:cNvSpPr txBox="1"/>
          </xdr:nvSpPr>
          <xdr:spPr>
            <a:xfrm>
              <a:off x="4971658" y="1383197"/>
              <a:ext cx="2837792" cy="1649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𝐸𝐴𝑅=(1+  𝐴𝑃𝑅/𝑛)</a:t>
              </a:r>
              <a:r>
                <a:rPr lang="en-US" sz="1100"/>
                <a:t>^n - 1</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Cambria Math"/>
                  <a:ea typeface="+mn-ea"/>
                  <a:cs typeface="+mn-cs"/>
                </a:rPr>
                <a:t>0.08327757=(1+  𝐴𝑃𝑅/12)</a:t>
              </a:r>
              <a:r>
                <a:rPr lang="en-US" sz="1100">
                  <a:solidFill>
                    <a:schemeClr val="tx1"/>
                  </a:solidFill>
                  <a:effectLst/>
                  <a:latin typeface="+mn-lt"/>
                  <a:ea typeface="+mn-ea"/>
                  <a:cs typeface="+mn-cs"/>
                </a:rPr>
                <a:t>^12 - 1</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0.08327757</a:t>
              </a:r>
              <a:r>
                <a:rPr lang="en-US" sz="1100" b="0" i="0">
                  <a:solidFill>
                    <a:schemeClr val="tx1"/>
                  </a:solidFill>
                  <a:effectLst/>
                  <a:latin typeface="Cambria Math"/>
                  <a:ea typeface="+mn-ea"/>
                  <a:cs typeface="+mn-cs"/>
                </a:rPr>
                <a:t>+1 </a:t>
              </a:r>
              <a:r>
                <a:rPr lang="en-US" sz="1100" b="0" i="0">
                  <a:solidFill>
                    <a:schemeClr val="tx1"/>
                  </a:solidFill>
                  <a:effectLst/>
                  <a:latin typeface="+mn-lt"/>
                  <a:ea typeface="+mn-ea"/>
                  <a:cs typeface="+mn-cs"/>
                </a:rPr>
                <a:t>=(1+  𝐴𝑃𝑅/12)</a:t>
              </a:r>
              <a:r>
                <a:rPr lang="en-US" sz="1100">
                  <a:solidFill>
                    <a:schemeClr val="tx1"/>
                  </a:solidFill>
                  <a:effectLst/>
                  <a:latin typeface="+mn-lt"/>
                  <a:ea typeface="+mn-ea"/>
                  <a:cs typeface="+mn-cs"/>
                </a:rPr>
                <a:t>^12</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ea typeface="+mn-ea"/>
                  <a:cs typeface="+mn-cs"/>
                </a:rPr>
                <a:t>(</a:t>
              </a:r>
              <a:r>
                <a:rPr lang="en-US" sz="1100" b="0" i="0">
                  <a:solidFill>
                    <a:schemeClr val="tx1"/>
                  </a:solidFill>
                  <a:effectLst/>
                  <a:latin typeface="+mn-lt"/>
                  <a:ea typeface="+mn-ea"/>
                  <a:cs typeface="+mn-cs"/>
                </a:rPr>
                <a:t>0.08327757+1</a:t>
              </a:r>
              <a:r>
                <a:rPr lang="en-US" sz="1100" b="0" i="0" baseline="30000">
                  <a:solidFill>
                    <a:schemeClr val="tx1"/>
                  </a:solidFill>
                  <a:effectLst/>
                  <a:latin typeface="Cambria Math"/>
                  <a:ea typeface="+mn-ea"/>
                  <a:cs typeface="+mn-cs"/>
                </a:rPr>
                <a:t>)^(1/12)</a:t>
              </a:r>
              <a:r>
                <a:rPr lang="en-US" sz="1100" b="0" i="0" baseline="30000">
                  <a:solidFill>
                    <a:schemeClr val="tx1"/>
                  </a:solidFill>
                  <a:effectLst/>
                  <a:latin typeface="+mn-lt"/>
                  <a:ea typeface="+mn-ea"/>
                  <a:cs typeface="+mn-cs"/>
                </a:rPr>
                <a:t> </a:t>
              </a:r>
              <a:r>
                <a:rPr lang="en-US" sz="1100" b="0" i="0">
                  <a:solidFill>
                    <a:schemeClr val="tx1"/>
                  </a:solidFill>
                  <a:effectLst/>
                  <a:latin typeface="+mn-lt"/>
                  <a:ea typeface="+mn-ea"/>
                  <a:cs typeface="+mn-cs"/>
                </a:rPr>
                <a:t>=1+  𝐴𝑃𝑅/12</a:t>
              </a:r>
              <a:endParaRPr lang="en-US">
                <a:effectLst/>
              </a:endParaRPr>
            </a:p>
            <a:p>
              <a:r>
                <a:rPr lang="en-US" sz="1100" b="0">
                  <a:solidFill>
                    <a:schemeClr val="tx1"/>
                  </a:solidFill>
                  <a:effectLst/>
                  <a:latin typeface="+mn-lt"/>
                  <a:ea typeface="+mn-ea"/>
                  <a:cs typeface="+mn-cs"/>
                </a:rPr>
                <a:t>(</a:t>
              </a:r>
              <a:r>
                <a:rPr lang="en-US" sz="1100" b="0" i="0">
                  <a:solidFill>
                    <a:schemeClr val="tx1"/>
                  </a:solidFill>
                  <a:effectLst/>
                  <a:latin typeface="+mn-lt"/>
                  <a:ea typeface="+mn-ea"/>
                  <a:cs typeface="+mn-cs"/>
                </a:rPr>
                <a:t>0.08327757+1</a:t>
              </a:r>
              <a:r>
                <a:rPr lang="en-US" sz="1100" b="0" i="0" baseline="30000">
                  <a:solidFill>
                    <a:schemeClr val="tx1"/>
                  </a:solidFill>
                  <a:effectLst/>
                  <a:latin typeface="+mn-lt"/>
                  <a:ea typeface="+mn-ea"/>
                  <a:cs typeface="+mn-cs"/>
                </a:rPr>
                <a:t>)^(1/12) </a:t>
              </a:r>
              <a:r>
                <a:rPr lang="en-US" sz="1100" b="0" i="0">
                  <a:solidFill>
                    <a:schemeClr val="tx1"/>
                  </a:solidFill>
                  <a:effectLst/>
                  <a:latin typeface="Cambria Math"/>
                  <a:ea typeface="+mn-ea"/>
                  <a:cs typeface="+mn-cs"/>
                </a:rPr>
                <a:t>−1=</a:t>
              </a:r>
              <a:r>
                <a:rPr lang="en-US" sz="1100" b="0" i="0">
                  <a:solidFill>
                    <a:schemeClr val="tx1"/>
                  </a:solidFill>
                  <a:effectLst/>
                  <a:latin typeface="+mn-lt"/>
                  <a:ea typeface="+mn-ea"/>
                  <a:cs typeface="+mn-cs"/>
                </a:rPr>
                <a:t>𝐴𝑃𝑅/12</a:t>
              </a:r>
              <a:endParaRPr lang="en-US" sz="1100"/>
            </a:p>
            <a:p>
              <a:r>
                <a:rPr lang="en-US" sz="1100" b="0">
                  <a:solidFill>
                    <a:schemeClr val="tx1"/>
                  </a:solidFill>
                  <a:effectLst/>
                  <a:latin typeface="+mn-lt"/>
                  <a:ea typeface="+mn-ea"/>
                  <a:cs typeface="+mn-cs"/>
                </a:rPr>
                <a:t>((</a:t>
              </a:r>
              <a:r>
                <a:rPr lang="en-US" sz="1100" b="0" i="0">
                  <a:solidFill>
                    <a:schemeClr val="tx1"/>
                  </a:solidFill>
                  <a:effectLst/>
                  <a:latin typeface="+mn-lt"/>
                  <a:ea typeface="+mn-ea"/>
                  <a:cs typeface="+mn-cs"/>
                </a:rPr>
                <a:t>0.08327757+1</a:t>
              </a:r>
              <a:r>
                <a:rPr lang="en-US" sz="1100" b="0" i="0" baseline="30000">
                  <a:solidFill>
                    <a:schemeClr val="tx1"/>
                  </a:solidFill>
                  <a:effectLst/>
                  <a:latin typeface="+mn-lt"/>
                  <a:ea typeface="+mn-ea"/>
                  <a:cs typeface="+mn-cs"/>
                </a:rPr>
                <a:t>)^(1/12) </a:t>
              </a:r>
              <a:r>
                <a:rPr lang="en-US" sz="1100" b="0" i="0">
                  <a:solidFill>
                    <a:schemeClr val="tx1"/>
                  </a:solidFill>
                  <a:effectLst/>
                  <a:latin typeface="+mn-lt"/>
                  <a:ea typeface="+mn-ea"/>
                  <a:cs typeface="+mn-cs"/>
                </a:rPr>
                <a:t>−1</a:t>
              </a:r>
              <a:r>
                <a:rPr lang="en-US" sz="1100" b="0" i="0">
                  <a:solidFill>
                    <a:schemeClr val="tx1"/>
                  </a:solidFill>
                  <a:effectLst/>
                  <a:latin typeface="Cambria Math"/>
                  <a:ea typeface="+mn-ea"/>
                  <a:cs typeface="+mn-cs"/>
                </a:rPr>
                <a:t>)∗12</a:t>
              </a:r>
              <a:r>
                <a:rPr lang="en-US" sz="1100" b="0" i="0">
                  <a:solidFill>
                    <a:schemeClr val="tx1"/>
                  </a:solidFill>
                  <a:effectLst/>
                  <a:latin typeface="+mn-lt"/>
                  <a:ea typeface="+mn-ea"/>
                  <a:cs typeface="+mn-cs"/>
                </a:rPr>
                <a:t>=</a:t>
              </a:r>
              <a:r>
                <a:rPr lang="en-US" sz="1100" b="0" i="0">
                  <a:solidFill>
                    <a:schemeClr val="tx1"/>
                  </a:solidFill>
                  <a:effectLst/>
                  <a:latin typeface="Cambria Math"/>
                  <a:ea typeface="+mn-ea"/>
                  <a:cs typeface="+mn-cs"/>
                </a:rPr>
                <a:t>𝐴𝑃𝑅</a:t>
              </a:r>
              <a:endParaRPr lang="en-US" sz="1100"/>
            </a:p>
            <a:p>
              <a:endParaRPr lang="en-US" sz="11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E15"/>
  <sheetViews>
    <sheetView tabSelected="1" zoomScale="145" zoomScaleNormal="145" workbookViewId="0"/>
  </sheetViews>
  <sheetFormatPr defaultRowHeight="14.4" x14ac:dyDescent="0.3"/>
  <cols>
    <col min="1" max="1" width="38.109375" bestFit="1" customWidth="1"/>
    <col min="3" max="3" width="10.33203125" bestFit="1" customWidth="1"/>
  </cols>
  <sheetData>
    <row r="1" spans="1:5" x14ac:dyDescent="0.3">
      <c r="A1" s="1" t="s">
        <v>7</v>
      </c>
      <c r="B1" s="1" t="s">
        <v>0</v>
      </c>
      <c r="C1" s="1">
        <v>-1000</v>
      </c>
    </row>
    <row r="2" spans="1:5" x14ac:dyDescent="0.3">
      <c r="A2" s="1" t="s">
        <v>9</v>
      </c>
      <c r="B2" s="1" t="s">
        <v>2</v>
      </c>
      <c r="C2" s="3">
        <v>0.1</v>
      </c>
    </row>
    <row r="3" spans="1:5" x14ac:dyDescent="0.3">
      <c r="A3" s="1" t="s">
        <v>26</v>
      </c>
      <c r="B3" s="1" t="s">
        <v>3</v>
      </c>
      <c r="C3" s="1">
        <v>2</v>
      </c>
    </row>
    <row r="4" spans="1:5" x14ac:dyDescent="0.3">
      <c r="A4" s="1" t="s">
        <v>10</v>
      </c>
      <c r="B4" s="1" t="s">
        <v>4</v>
      </c>
      <c r="C4" s="1">
        <v>4</v>
      </c>
    </row>
    <row r="5" spans="1:5" x14ac:dyDescent="0.3">
      <c r="A5" s="1" t="s">
        <v>11</v>
      </c>
      <c r="B5" s="1" t="s">
        <v>5</v>
      </c>
      <c r="C5" s="2"/>
    </row>
    <row r="6" spans="1:5" x14ac:dyDescent="0.3">
      <c r="A6" s="1" t="s">
        <v>12</v>
      </c>
      <c r="B6" s="1" t="s">
        <v>6</v>
      </c>
      <c r="C6" s="2"/>
      <c r="E6" s="1" t="s">
        <v>13</v>
      </c>
    </row>
    <row r="7" spans="1:5" x14ac:dyDescent="0.3">
      <c r="A7" s="1" t="s">
        <v>8</v>
      </c>
      <c r="B7" s="1" t="s">
        <v>1</v>
      </c>
      <c r="C7" s="13"/>
      <c r="E7" s="2"/>
    </row>
    <row r="9" spans="1:5" x14ac:dyDescent="0.3">
      <c r="A9" s="1" t="s">
        <v>8</v>
      </c>
      <c r="B9" s="1" t="s">
        <v>1</v>
      </c>
      <c r="C9" s="4">
        <v>1477.4554437890627</v>
      </c>
    </row>
    <row r="10" spans="1:5" x14ac:dyDescent="0.3">
      <c r="A10" s="1" t="s">
        <v>9</v>
      </c>
      <c r="B10" s="1" t="s">
        <v>2</v>
      </c>
      <c r="C10" s="3">
        <v>0.1</v>
      </c>
    </row>
    <row r="11" spans="1:5" x14ac:dyDescent="0.3">
      <c r="A11" s="1" t="s">
        <v>26</v>
      </c>
      <c r="B11" s="1" t="s">
        <v>3</v>
      </c>
      <c r="C11" s="1">
        <v>2</v>
      </c>
    </row>
    <row r="12" spans="1:5" x14ac:dyDescent="0.3">
      <c r="A12" s="1" t="s">
        <v>10</v>
      </c>
      <c r="B12" s="1" t="s">
        <v>4</v>
      </c>
      <c r="C12" s="1">
        <v>4</v>
      </c>
    </row>
    <row r="13" spans="1:5" x14ac:dyDescent="0.3">
      <c r="A13" s="1" t="s">
        <v>11</v>
      </c>
      <c r="B13" s="1" t="s">
        <v>5</v>
      </c>
      <c r="C13" s="2"/>
    </row>
    <row r="14" spans="1:5" x14ac:dyDescent="0.3">
      <c r="A14" s="1" t="s">
        <v>12</v>
      </c>
      <c r="B14" s="1" t="s">
        <v>6</v>
      </c>
      <c r="C14" s="2"/>
      <c r="E14" s="1" t="s">
        <v>13</v>
      </c>
    </row>
    <row r="15" spans="1:5" x14ac:dyDescent="0.3">
      <c r="A15" s="1" t="s">
        <v>7</v>
      </c>
      <c r="B15" s="1" t="s">
        <v>0</v>
      </c>
      <c r="C15" s="13"/>
      <c r="E15"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15"/>
  <sheetViews>
    <sheetView zoomScale="130" zoomScaleNormal="130" workbookViewId="0"/>
  </sheetViews>
  <sheetFormatPr defaultRowHeight="14.4" x14ac:dyDescent="0.3"/>
  <cols>
    <col min="1" max="1" width="38.109375" bestFit="1" customWidth="1"/>
    <col min="3" max="3" width="10.33203125" bestFit="1" customWidth="1"/>
  </cols>
  <sheetData>
    <row r="1" spans="1:5" x14ac:dyDescent="0.3">
      <c r="A1" s="1" t="s">
        <v>7</v>
      </c>
      <c r="B1" s="1" t="s">
        <v>0</v>
      </c>
      <c r="C1" s="1">
        <v>-1000</v>
      </c>
    </row>
    <row r="2" spans="1:5" x14ac:dyDescent="0.3">
      <c r="A2" s="1" t="s">
        <v>9</v>
      </c>
      <c r="B2" s="1" t="s">
        <v>2</v>
      </c>
      <c r="C2" s="3">
        <v>0.1</v>
      </c>
    </row>
    <row r="3" spans="1:5" x14ac:dyDescent="0.3">
      <c r="A3" s="1" t="s">
        <v>26</v>
      </c>
      <c r="B3" s="1" t="s">
        <v>3</v>
      </c>
      <c r="C3" s="1">
        <v>2</v>
      </c>
    </row>
    <row r="4" spans="1:5" x14ac:dyDescent="0.3">
      <c r="A4" s="1" t="s">
        <v>10</v>
      </c>
      <c r="B4" s="1" t="s">
        <v>4</v>
      </c>
      <c r="C4" s="1">
        <v>4</v>
      </c>
    </row>
    <row r="5" spans="1:5" x14ac:dyDescent="0.3">
      <c r="A5" s="1" t="s">
        <v>11</v>
      </c>
      <c r="B5" s="1" t="s">
        <v>5</v>
      </c>
      <c r="C5" s="2">
        <f>C2/C3</f>
        <v>0.05</v>
      </c>
    </row>
    <row r="6" spans="1:5" x14ac:dyDescent="0.3">
      <c r="A6" s="1" t="s">
        <v>12</v>
      </c>
      <c r="B6" s="1" t="s">
        <v>6</v>
      </c>
      <c r="C6" s="2">
        <f>C3*C4</f>
        <v>8</v>
      </c>
      <c r="E6" s="1" t="s">
        <v>13</v>
      </c>
    </row>
    <row r="7" spans="1:5" x14ac:dyDescent="0.3">
      <c r="A7" s="1" t="s">
        <v>8</v>
      </c>
      <c r="B7" s="1" t="s">
        <v>1</v>
      </c>
      <c r="C7" s="13">
        <f>FV(C5,C6,,C1)</f>
        <v>1477.4554437890627</v>
      </c>
      <c r="E7" s="2">
        <f>C1*(1+C5)^C6</f>
        <v>-1477.4554437890627</v>
      </c>
    </row>
    <row r="9" spans="1:5" x14ac:dyDescent="0.3">
      <c r="A9" s="1" t="s">
        <v>8</v>
      </c>
      <c r="B9" s="1" t="s">
        <v>1</v>
      </c>
      <c r="C9" s="4">
        <v>1477.4554437890627</v>
      </c>
    </row>
    <row r="10" spans="1:5" x14ac:dyDescent="0.3">
      <c r="A10" s="1" t="s">
        <v>9</v>
      </c>
      <c r="B10" s="1" t="s">
        <v>2</v>
      </c>
      <c r="C10" s="3">
        <v>0.1</v>
      </c>
    </row>
    <row r="11" spans="1:5" x14ac:dyDescent="0.3">
      <c r="A11" s="1" t="s">
        <v>26</v>
      </c>
      <c r="B11" s="1" t="s">
        <v>3</v>
      </c>
      <c r="C11" s="1">
        <v>2</v>
      </c>
    </row>
    <row r="12" spans="1:5" x14ac:dyDescent="0.3">
      <c r="A12" s="1" t="s">
        <v>10</v>
      </c>
      <c r="B12" s="1" t="s">
        <v>4</v>
      </c>
      <c r="C12" s="1">
        <v>4</v>
      </c>
    </row>
    <row r="13" spans="1:5" x14ac:dyDescent="0.3">
      <c r="A13" s="1" t="s">
        <v>11</v>
      </c>
      <c r="B13" s="1" t="s">
        <v>5</v>
      </c>
      <c r="C13" s="2">
        <f>C10/C11</f>
        <v>0.05</v>
      </c>
    </row>
    <row r="14" spans="1:5" x14ac:dyDescent="0.3">
      <c r="A14" s="1" t="s">
        <v>12</v>
      </c>
      <c r="B14" s="1" t="s">
        <v>6</v>
      </c>
      <c r="C14" s="2">
        <f>C11*C12</f>
        <v>8</v>
      </c>
      <c r="E14" s="1" t="s">
        <v>13</v>
      </c>
    </row>
    <row r="15" spans="1:5" x14ac:dyDescent="0.3">
      <c r="A15" s="1" t="s">
        <v>7</v>
      </c>
      <c r="B15" s="1" t="s">
        <v>0</v>
      </c>
      <c r="C15" s="13">
        <f>PV(C13,C14,,C9)</f>
        <v>-1000</v>
      </c>
      <c r="E15" s="2">
        <f>C9/(1+C13)^C14</f>
        <v>1000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J22"/>
  <sheetViews>
    <sheetView zoomScaleNormal="100" workbookViewId="0"/>
  </sheetViews>
  <sheetFormatPr defaultRowHeight="14.4" x14ac:dyDescent="0.3"/>
  <cols>
    <col min="1" max="1" width="23.5546875" customWidth="1"/>
    <col min="2" max="2" width="10.88671875" customWidth="1"/>
    <col min="3" max="3" width="15.33203125" customWidth="1"/>
    <col min="4" max="4" width="14.109375" customWidth="1"/>
    <col min="6" max="6" width="11.44140625" bestFit="1" customWidth="1"/>
    <col min="8" max="8" width="10.6640625" bestFit="1" customWidth="1"/>
    <col min="10" max="10" width="10.6640625" bestFit="1" customWidth="1"/>
  </cols>
  <sheetData>
    <row r="1" spans="1:6" x14ac:dyDescent="0.3">
      <c r="A1" s="6" t="s">
        <v>9</v>
      </c>
      <c r="B1" s="1" t="s">
        <v>2</v>
      </c>
      <c r="C1" s="3">
        <v>0.1</v>
      </c>
    </row>
    <row r="2" spans="1:6" ht="28.95" x14ac:dyDescent="0.3">
      <c r="A2" s="6" t="s">
        <v>26</v>
      </c>
      <c r="B2" s="1" t="s">
        <v>3</v>
      </c>
      <c r="C2" s="1">
        <v>2</v>
      </c>
    </row>
    <row r="3" spans="1:6" x14ac:dyDescent="0.3">
      <c r="A3" s="6" t="s">
        <v>10</v>
      </c>
      <c r="B3" s="1" t="s">
        <v>4</v>
      </c>
      <c r="C3" s="1">
        <v>5</v>
      </c>
    </row>
    <row r="4" spans="1:6" x14ac:dyDescent="0.3">
      <c r="A4" s="6" t="s">
        <v>11</v>
      </c>
      <c r="B4" s="1" t="s">
        <v>5</v>
      </c>
      <c r="C4" s="2"/>
    </row>
    <row r="5" spans="1:6" x14ac:dyDescent="0.3">
      <c r="A5" s="6" t="s">
        <v>12</v>
      </c>
      <c r="B5" s="1" t="s">
        <v>6</v>
      </c>
      <c r="C5" s="2"/>
    </row>
    <row r="6" spans="1:6" x14ac:dyDescent="0.3">
      <c r="A6" s="6" t="s">
        <v>8</v>
      </c>
      <c r="B6" s="1" t="s">
        <v>1</v>
      </c>
      <c r="C6" s="13"/>
    </row>
    <row r="7" spans="1:6" x14ac:dyDescent="0.3">
      <c r="A7" s="7"/>
    </row>
    <row r="8" spans="1:6" ht="43.2" x14ac:dyDescent="0.3">
      <c r="A8" s="8" t="s">
        <v>25</v>
      </c>
      <c r="B8" s="8" t="s">
        <v>28</v>
      </c>
      <c r="C8" s="8" t="s">
        <v>29</v>
      </c>
      <c r="D8" s="8" t="s">
        <v>27</v>
      </c>
      <c r="F8" s="8" t="s">
        <v>13</v>
      </c>
    </row>
    <row r="9" spans="1:6" x14ac:dyDescent="0.3">
      <c r="A9" s="4" t="s">
        <v>14</v>
      </c>
      <c r="B9" s="1">
        <v>10</v>
      </c>
      <c r="C9" s="11">
        <v>-1000</v>
      </c>
      <c r="D9" s="13"/>
      <c r="F9" s="13"/>
    </row>
    <row r="10" spans="1:6" x14ac:dyDescent="0.3">
      <c r="A10" s="4" t="s">
        <v>15</v>
      </c>
      <c r="B10" s="1">
        <v>9</v>
      </c>
      <c r="C10" s="11">
        <v>0</v>
      </c>
      <c r="D10" s="13"/>
      <c r="F10" s="13"/>
    </row>
    <row r="11" spans="1:6" x14ac:dyDescent="0.3">
      <c r="A11" s="4" t="s">
        <v>16</v>
      </c>
      <c r="B11" s="1">
        <v>8</v>
      </c>
      <c r="C11" s="11">
        <v>0</v>
      </c>
      <c r="D11" s="13"/>
      <c r="F11" s="13"/>
    </row>
    <row r="12" spans="1:6" x14ac:dyDescent="0.3">
      <c r="A12" s="4" t="s">
        <v>17</v>
      </c>
      <c r="B12" s="1">
        <v>7</v>
      </c>
      <c r="C12" s="11">
        <v>0</v>
      </c>
      <c r="D12" s="13"/>
      <c r="F12" s="13"/>
    </row>
    <row r="13" spans="1:6" x14ac:dyDescent="0.3">
      <c r="A13" s="4" t="s">
        <v>18</v>
      </c>
      <c r="B13" s="1">
        <v>6</v>
      </c>
      <c r="C13" s="11">
        <v>-2000</v>
      </c>
      <c r="D13" s="13"/>
      <c r="F13" s="13"/>
    </row>
    <row r="14" spans="1:6" x14ac:dyDescent="0.3">
      <c r="A14" s="4" t="s">
        <v>19</v>
      </c>
      <c r="B14" s="1">
        <v>5</v>
      </c>
      <c r="C14" s="11">
        <v>0</v>
      </c>
      <c r="D14" s="13"/>
      <c r="F14" s="13"/>
    </row>
    <row r="15" spans="1:6" x14ac:dyDescent="0.3">
      <c r="A15" s="4" t="s">
        <v>20</v>
      </c>
      <c r="B15" s="1">
        <v>4</v>
      </c>
      <c r="C15" s="11">
        <v>-6000</v>
      </c>
      <c r="D15" s="13"/>
      <c r="F15" s="13"/>
    </row>
    <row r="16" spans="1:6" x14ac:dyDescent="0.3">
      <c r="A16" s="4" t="s">
        <v>21</v>
      </c>
      <c r="B16" s="1">
        <v>3</v>
      </c>
      <c r="C16" s="11">
        <v>0</v>
      </c>
      <c r="D16" s="13"/>
      <c r="F16" s="13"/>
    </row>
    <row r="17" spans="1:10" x14ac:dyDescent="0.3">
      <c r="A17" s="4" t="s">
        <v>22</v>
      </c>
      <c r="B17" s="1">
        <v>2</v>
      </c>
      <c r="C17" s="11">
        <v>0</v>
      </c>
      <c r="D17" s="13"/>
      <c r="F17" s="13"/>
    </row>
    <row r="18" spans="1:10" x14ac:dyDescent="0.3">
      <c r="A18" s="4" t="s">
        <v>23</v>
      </c>
      <c r="B18" s="1">
        <v>1</v>
      </c>
      <c r="C18" s="11">
        <v>0</v>
      </c>
      <c r="D18" s="13"/>
      <c r="F18" s="13"/>
    </row>
    <row r="19" spans="1:10" x14ac:dyDescent="0.3">
      <c r="A19" s="4" t="s">
        <v>24</v>
      </c>
      <c r="B19" s="1">
        <v>0</v>
      </c>
      <c r="C19" s="11">
        <v>0</v>
      </c>
      <c r="D19" s="13"/>
      <c r="F19" s="13"/>
    </row>
    <row r="20" spans="1:10" x14ac:dyDescent="0.3">
      <c r="J20" t="s">
        <v>13</v>
      </c>
    </row>
    <row r="21" spans="1:10" x14ac:dyDescent="0.3">
      <c r="F21" s="4"/>
      <c r="J21" s="9"/>
    </row>
    <row r="22" spans="1:10" ht="28.8" x14ac:dyDescent="0.3">
      <c r="A22" s="5"/>
      <c r="C22" s="12" t="s">
        <v>32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L22"/>
  <sheetViews>
    <sheetView zoomScaleNormal="100" workbookViewId="0"/>
  </sheetViews>
  <sheetFormatPr defaultRowHeight="14.4" x14ac:dyDescent="0.3"/>
  <cols>
    <col min="1" max="1" width="23.5546875" customWidth="1"/>
    <col min="2" max="2" width="10.88671875" customWidth="1"/>
    <col min="3" max="3" width="15.33203125" customWidth="1"/>
    <col min="4" max="4" width="14.109375" customWidth="1"/>
    <col min="6" max="6" width="11.44140625" bestFit="1" customWidth="1"/>
    <col min="8" max="8" width="10.6640625" bestFit="1" customWidth="1"/>
    <col min="9" max="9" width="11.21875" customWidth="1"/>
    <col min="10" max="10" width="10.6640625" bestFit="1" customWidth="1"/>
    <col min="11" max="11" width="12" customWidth="1"/>
    <col min="12" max="12" width="10.109375" bestFit="1" customWidth="1"/>
  </cols>
  <sheetData>
    <row r="1" spans="1:9" x14ac:dyDescent="0.3">
      <c r="A1" s="6" t="s">
        <v>9</v>
      </c>
      <c r="B1" s="1" t="s">
        <v>2</v>
      </c>
      <c r="C1" s="3">
        <v>0.1</v>
      </c>
    </row>
    <row r="2" spans="1:9" ht="28.95" x14ac:dyDescent="0.3">
      <c r="A2" s="6" t="s">
        <v>26</v>
      </c>
      <c r="B2" s="1" t="s">
        <v>3</v>
      </c>
      <c r="C2" s="1">
        <v>2</v>
      </c>
    </row>
    <row r="3" spans="1:9" x14ac:dyDescent="0.3">
      <c r="A3" s="6" t="s">
        <v>10</v>
      </c>
      <c r="B3" s="1" t="s">
        <v>4</v>
      </c>
      <c r="C3" s="1">
        <v>5</v>
      </c>
    </row>
    <row r="4" spans="1:9" x14ac:dyDescent="0.3">
      <c r="A4" s="6" t="s">
        <v>11</v>
      </c>
      <c r="B4" s="1" t="s">
        <v>5</v>
      </c>
      <c r="C4" s="2">
        <f>C1/C2</f>
        <v>0.05</v>
      </c>
    </row>
    <row r="5" spans="1:9" x14ac:dyDescent="0.3">
      <c r="A5" s="6" t="s">
        <v>12</v>
      </c>
      <c r="B5" s="1" t="s">
        <v>6</v>
      </c>
      <c r="C5" s="2">
        <f>C3*C2</f>
        <v>10</v>
      </c>
    </row>
    <row r="6" spans="1:9" x14ac:dyDescent="0.3">
      <c r="A6" s="6" t="s">
        <v>8</v>
      </c>
      <c r="B6" s="1" t="s">
        <v>1</v>
      </c>
      <c r="C6" s="13">
        <f>SUM(D9:D19)</f>
        <v>11602.123408027441</v>
      </c>
    </row>
    <row r="7" spans="1:9" x14ac:dyDescent="0.3">
      <c r="A7" s="7"/>
    </row>
    <row r="8" spans="1:9" ht="43.2" x14ac:dyDescent="0.3">
      <c r="A8" s="8" t="s">
        <v>25</v>
      </c>
      <c r="B8" s="8" t="s">
        <v>28</v>
      </c>
      <c r="C8" s="8" t="s">
        <v>29</v>
      </c>
      <c r="D8" s="8" t="s">
        <v>27</v>
      </c>
      <c r="F8" s="8" t="s">
        <v>13</v>
      </c>
      <c r="H8" s="8" t="s">
        <v>220</v>
      </c>
      <c r="I8" s="8" t="s">
        <v>220</v>
      </c>
    </row>
    <row r="9" spans="1:9" x14ac:dyDescent="0.3">
      <c r="A9" s="4" t="s">
        <v>14</v>
      </c>
      <c r="B9" s="1">
        <v>10</v>
      </c>
      <c r="C9" s="11">
        <v>-1000</v>
      </c>
      <c r="D9" s="13">
        <f>FV($C$4,B9,,C9)</f>
        <v>1628.8946267774415</v>
      </c>
      <c r="F9" s="13">
        <f t="shared" ref="F9:F19" si="0">(1+$C$4)^B9*-C9</f>
        <v>1628.8946267774415</v>
      </c>
      <c r="H9" s="13" cm="1">
        <f t="array" ref="H9:H19">C9:C19*(1+C4)^B9:B19</f>
        <v>-1628.8946267774415</v>
      </c>
      <c r="I9" s="13" cm="1">
        <f t="array" ref="I9:I19">FV(C4,B9:B19,,C9:C19)</f>
        <v>1628.8946267774415</v>
      </c>
    </row>
    <row r="10" spans="1:9" x14ac:dyDescent="0.3">
      <c r="A10" s="4" t="s">
        <v>15</v>
      </c>
      <c r="B10" s="1">
        <v>9</v>
      </c>
      <c r="C10" s="11">
        <v>0</v>
      </c>
      <c r="D10" s="13">
        <f t="shared" ref="D10:D19" si="1">FV($C$4,B10,,C10)</f>
        <v>0</v>
      </c>
      <c r="F10" s="13">
        <f t="shared" si="0"/>
        <v>0</v>
      </c>
      <c r="H10" s="13">
        <v>0</v>
      </c>
      <c r="I10" s="13">
        <v>0</v>
      </c>
    </row>
    <row r="11" spans="1:9" x14ac:dyDescent="0.3">
      <c r="A11" s="4" t="s">
        <v>16</v>
      </c>
      <c r="B11" s="1">
        <v>8</v>
      </c>
      <c r="C11" s="11">
        <v>0</v>
      </c>
      <c r="D11" s="13">
        <f t="shared" si="1"/>
        <v>0</v>
      </c>
      <c r="F11" s="13">
        <f t="shared" si="0"/>
        <v>0</v>
      </c>
      <c r="H11" s="13">
        <v>0</v>
      </c>
      <c r="I11" s="13">
        <v>0</v>
      </c>
    </row>
    <row r="12" spans="1:9" x14ac:dyDescent="0.3">
      <c r="A12" s="4" t="s">
        <v>17</v>
      </c>
      <c r="B12" s="1">
        <v>7</v>
      </c>
      <c r="C12" s="11">
        <v>0</v>
      </c>
      <c r="D12" s="13">
        <f t="shared" si="1"/>
        <v>0</v>
      </c>
      <c r="F12" s="13">
        <f t="shared" si="0"/>
        <v>0</v>
      </c>
      <c r="H12" s="13">
        <v>0</v>
      </c>
      <c r="I12" s="13">
        <v>0</v>
      </c>
    </row>
    <row r="13" spans="1:9" x14ac:dyDescent="0.3">
      <c r="A13" s="4" t="s">
        <v>18</v>
      </c>
      <c r="B13" s="1">
        <v>6</v>
      </c>
      <c r="C13" s="11">
        <v>-2000</v>
      </c>
      <c r="D13" s="13">
        <f t="shared" si="1"/>
        <v>2680.19128125</v>
      </c>
      <c r="F13" s="13">
        <f t="shared" si="0"/>
        <v>2680.19128125</v>
      </c>
      <c r="H13" s="13">
        <v>-2680.19128125</v>
      </c>
      <c r="I13" s="13">
        <v>2680.19128125</v>
      </c>
    </row>
    <row r="14" spans="1:9" x14ac:dyDescent="0.3">
      <c r="A14" s="4" t="s">
        <v>19</v>
      </c>
      <c r="B14" s="1">
        <v>5</v>
      </c>
      <c r="C14" s="11">
        <v>0</v>
      </c>
      <c r="D14" s="13">
        <f t="shared" si="1"/>
        <v>0</v>
      </c>
      <c r="F14" s="13">
        <f t="shared" si="0"/>
        <v>0</v>
      </c>
      <c r="H14" s="13">
        <v>0</v>
      </c>
      <c r="I14" s="13">
        <v>0</v>
      </c>
    </row>
    <row r="15" spans="1:9" x14ac:dyDescent="0.3">
      <c r="A15" s="4" t="s">
        <v>20</v>
      </c>
      <c r="B15" s="1">
        <v>4</v>
      </c>
      <c r="C15" s="11">
        <v>-6000</v>
      </c>
      <c r="D15" s="13">
        <f t="shared" si="1"/>
        <v>7293.0375000000004</v>
      </c>
      <c r="F15" s="13">
        <f t="shared" si="0"/>
        <v>7293.0375000000004</v>
      </c>
      <c r="H15" s="13">
        <v>-7293.0375000000004</v>
      </c>
      <c r="I15" s="13">
        <v>7293.0375000000004</v>
      </c>
    </row>
    <row r="16" spans="1:9" x14ac:dyDescent="0.3">
      <c r="A16" s="4" t="s">
        <v>21</v>
      </c>
      <c r="B16" s="1">
        <v>3</v>
      </c>
      <c r="C16" s="11">
        <v>0</v>
      </c>
      <c r="D16" s="13">
        <f t="shared" si="1"/>
        <v>0</v>
      </c>
      <c r="F16" s="13">
        <f t="shared" si="0"/>
        <v>0</v>
      </c>
      <c r="H16" s="13">
        <v>0</v>
      </c>
      <c r="I16" s="13">
        <v>0</v>
      </c>
    </row>
    <row r="17" spans="1:12" x14ac:dyDescent="0.3">
      <c r="A17" s="4" t="s">
        <v>22</v>
      </c>
      <c r="B17" s="1">
        <v>2</v>
      </c>
      <c r="C17" s="11">
        <v>0</v>
      </c>
      <c r="D17" s="13">
        <f t="shared" si="1"/>
        <v>0</v>
      </c>
      <c r="F17" s="13">
        <f t="shared" si="0"/>
        <v>0</v>
      </c>
      <c r="H17" s="13">
        <v>0</v>
      </c>
      <c r="I17" s="13">
        <v>0</v>
      </c>
    </row>
    <row r="18" spans="1:12" x14ac:dyDescent="0.3">
      <c r="A18" s="4" t="s">
        <v>23</v>
      </c>
      <c r="B18" s="1">
        <v>1</v>
      </c>
      <c r="C18" s="11">
        <v>0</v>
      </c>
      <c r="D18" s="13">
        <f t="shared" si="1"/>
        <v>0</v>
      </c>
      <c r="F18" s="13">
        <f t="shared" si="0"/>
        <v>0</v>
      </c>
      <c r="H18" s="13">
        <v>0</v>
      </c>
      <c r="I18" s="13">
        <v>0</v>
      </c>
    </row>
    <row r="19" spans="1:12" ht="15" thickBot="1" x14ac:dyDescent="0.35">
      <c r="A19" s="4" t="s">
        <v>24</v>
      </c>
      <c r="B19" s="1">
        <v>0</v>
      </c>
      <c r="C19" s="11">
        <v>0</v>
      </c>
      <c r="D19" s="13">
        <f t="shared" si="1"/>
        <v>0</v>
      </c>
      <c r="F19" s="13">
        <f t="shared" si="0"/>
        <v>0</v>
      </c>
      <c r="H19" s="142">
        <v>0</v>
      </c>
      <c r="I19" s="142">
        <v>0</v>
      </c>
    </row>
    <row r="20" spans="1:12" ht="15" thickBot="1" x14ac:dyDescent="0.35">
      <c r="H20" s="143">
        <f>SUM(H9:H19)</f>
        <v>-11602.123408027441</v>
      </c>
      <c r="I20" s="144">
        <f>SUM(I9:I19)</f>
        <v>11602.123408027441</v>
      </c>
      <c r="K20" t="s">
        <v>13</v>
      </c>
    </row>
    <row r="21" spans="1:12" ht="15" thickTop="1" x14ac:dyDescent="0.3">
      <c r="F21" s="4">
        <f>SUM(F9:F19)</f>
        <v>11602.123408027441</v>
      </c>
      <c r="K21" s="9" cm="1">
        <f t="array" ref="K21">(NPV(C4,-C10:C19)-C9)*(1+C4)^C5</f>
        <v>11602.123408027441</v>
      </c>
      <c r="L21" s="5"/>
    </row>
    <row r="22" spans="1:12" ht="28.8" x14ac:dyDescent="0.3">
      <c r="A22" s="5"/>
      <c r="C22" s="12" t="s">
        <v>32</v>
      </c>
      <c r="K22" s="9" cm="1">
        <f t="array" ref="K22">(NPV(C4,-C10:C19)-C9)*(1+C4)^C5</f>
        <v>11602.123408027441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J22"/>
  <sheetViews>
    <sheetView zoomScale="97" zoomScaleNormal="97" workbookViewId="0">
      <selection activeCell="C4" sqref="C4"/>
    </sheetView>
  </sheetViews>
  <sheetFormatPr defaultRowHeight="14.4" x14ac:dyDescent="0.3"/>
  <cols>
    <col min="1" max="1" width="23.109375" customWidth="1"/>
    <col min="2" max="2" width="10.88671875" customWidth="1"/>
    <col min="3" max="3" width="15.33203125" customWidth="1"/>
    <col min="4" max="4" width="14.109375" customWidth="1"/>
    <col min="5" max="5" width="10.44140625" bestFit="1" customWidth="1"/>
    <col min="6" max="6" width="10.5546875" bestFit="1" customWidth="1"/>
    <col min="8" max="8" width="10" bestFit="1" customWidth="1"/>
    <col min="10" max="10" width="10.44140625" bestFit="1" customWidth="1"/>
  </cols>
  <sheetData>
    <row r="1" spans="1:10" x14ac:dyDescent="0.3">
      <c r="A1" s="6" t="s">
        <v>9</v>
      </c>
      <c r="B1" s="1" t="s">
        <v>2</v>
      </c>
      <c r="C1" s="3">
        <v>0.1</v>
      </c>
      <c r="D1" t="s">
        <v>158</v>
      </c>
    </row>
    <row r="2" spans="1:10" ht="28.95" x14ac:dyDescent="0.3">
      <c r="A2" s="6" t="s">
        <v>26</v>
      </c>
      <c r="B2" s="1" t="s">
        <v>3</v>
      </c>
      <c r="C2" s="1">
        <v>2</v>
      </c>
    </row>
    <row r="3" spans="1:10" x14ac:dyDescent="0.3">
      <c r="A3" s="6" t="s">
        <v>10</v>
      </c>
      <c r="B3" s="1" t="s">
        <v>4</v>
      </c>
      <c r="C3" s="1">
        <v>5</v>
      </c>
    </row>
    <row r="4" spans="1:10" x14ac:dyDescent="0.3">
      <c r="A4" s="6" t="s">
        <v>11</v>
      </c>
      <c r="B4" s="1" t="s">
        <v>5</v>
      </c>
      <c r="C4" s="2"/>
    </row>
    <row r="5" spans="1:10" x14ac:dyDescent="0.3">
      <c r="A5" s="6" t="s">
        <v>12</v>
      </c>
      <c r="B5" s="1" t="s">
        <v>6</v>
      </c>
      <c r="C5" s="2"/>
      <c r="J5" t="s">
        <v>33</v>
      </c>
    </row>
    <row r="6" spans="1:10" x14ac:dyDescent="0.3">
      <c r="A6" s="6" t="s">
        <v>8</v>
      </c>
      <c r="B6" s="1" t="s">
        <v>0</v>
      </c>
      <c r="C6" s="13"/>
      <c r="J6" s="9"/>
    </row>
    <row r="7" spans="1:10" x14ac:dyDescent="0.3">
      <c r="A7" s="7"/>
    </row>
    <row r="8" spans="1:10" ht="43.2" x14ac:dyDescent="0.3">
      <c r="A8" s="8" t="s">
        <v>25</v>
      </c>
      <c r="B8" s="8" t="s">
        <v>47</v>
      </c>
      <c r="C8" s="8" t="s">
        <v>30</v>
      </c>
      <c r="D8" s="8" t="s">
        <v>31</v>
      </c>
      <c r="F8" s="8" t="s">
        <v>13</v>
      </c>
    </row>
    <row r="9" spans="1:10" x14ac:dyDescent="0.3">
      <c r="A9" s="4" t="s">
        <v>14</v>
      </c>
      <c r="B9" s="1">
        <v>0</v>
      </c>
      <c r="C9" s="11"/>
      <c r="D9" s="13"/>
      <c r="F9" s="13"/>
    </row>
    <row r="10" spans="1:10" x14ac:dyDescent="0.3">
      <c r="A10" s="4" t="s">
        <v>15</v>
      </c>
      <c r="B10" s="1">
        <v>1</v>
      </c>
      <c r="C10" s="11"/>
      <c r="D10" s="13"/>
      <c r="F10" s="13"/>
    </row>
    <row r="11" spans="1:10" x14ac:dyDescent="0.3">
      <c r="A11" s="4" t="s">
        <v>16</v>
      </c>
      <c r="B11" s="1">
        <v>2</v>
      </c>
      <c r="C11" s="11"/>
      <c r="D11" s="13"/>
      <c r="F11" s="13"/>
    </row>
    <row r="12" spans="1:10" x14ac:dyDescent="0.3">
      <c r="A12" s="4" t="s">
        <v>17</v>
      </c>
      <c r="B12" s="1">
        <v>3</v>
      </c>
      <c r="C12" s="11"/>
      <c r="D12" s="13"/>
      <c r="F12" s="13"/>
    </row>
    <row r="13" spans="1:10" x14ac:dyDescent="0.3">
      <c r="A13" s="4" t="s">
        <v>18</v>
      </c>
      <c r="B13" s="1">
        <v>4</v>
      </c>
      <c r="C13" s="11">
        <v>1000</v>
      </c>
      <c r="D13" s="13"/>
      <c r="F13" s="13"/>
    </row>
    <row r="14" spans="1:10" x14ac:dyDescent="0.3">
      <c r="A14" s="4" t="s">
        <v>19</v>
      </c>
      <c r="B14" s="1">
        <v>5</v>
      </c>
      <c r="C14" s="11"/>
      <c r="D14" s="13"/>
      <c r="F14" s="13"/>
    </row>
    <row r="15" spans="1:10" x14ac:dyDescent="0.3">
      <c r="A15" s="4" t="s">
        <v>20</v>
      </c>
      <c r="B15" s="1">
        <v>6</v>
      </c>
      <c r="C15" s="11">
        <v>2000</v>
      </c>
      <c r="D15" s="13"/>
      <c r="F15" s="13"/>
    </row>
    <row r="16" spans="1:10" x14ac:dyDescent="0.3">
      <c r="A16" s="4" t="s">
        <v>21</v>
      </c>
      <c r="B16" s="1">
        <v>7</v>
      </c>
      <c r="C16" s="11"/>
      <c r="D16" s="13"/>
      <c r="F16" s="13"/>
    </row>
    <row r="17" spans="1:8" x14ac:dyDescent="0.3">
      <c r="A17" s="4" t="s">
        <v>22</v>
      </c>
      <c r="B17" s="1">
        <v>8</v>
      </c>
      <c r="C17" s="11"/>
      <c r="D17" s="13"/>
      <c r="F17" s="13"/>
    </row>
    <row r="18" spans="1:8" x14ac:dyDescent="0.3">
      <c r="A18" s="4" t="s">
        <v>23</v>
      </c>
      <c r="B18" s="1">
        <v>9</v>
      </c>
      <c r="C18" s="11"/>
      <c r="D18" s="13"/>
      <c r="F18" s="13"/>
    </row>
    <row r="19" spans="1:8" x14ac:dyDescent="0.3">
      <c r="A19" s="4" t="s">
        <v>24</v>
      </c>
      <c r="B19" s="1">
        <v>10</v>
      </c>
      <c r="C19" s="11">
        <v>6000</v>
      </c>
      <c r="D19" s="13"/>
      <c r="F19" s="13"/>
    </row>
    <row r="21" spans="1:8" x14ac:dyDescent="0.3">
      <c r="F21" s="10"/>
      <c r="H21" s="9"/>
    </row>
    <row r="22" spans="1:8" ht="28.95" x14ac:dyDescent="0.3">
      <c r="A22" s="5"/>
      <c r="C22" s="12" t="s">
        <v>32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K24"/>
  <sheetViews>
    <sheetView zoomScale="97" zoomScaleNormal="97" workbookViewId="0"/>
  </sheetViews>
  <sheetFormatPr defaultRowHeight="14.4" x14ac:dyDescent="0.3"/>
  <cols>
    <col min="1" max="1" width="23.109375" customWidth="1"/>
    <col min="2" max="2" width="10.88671875" customWidth="1"/>
    <col min="3" max="3" width="15.33203125" customWidth="1"/>
    <col min="4" max="4" width="14.109375" customWidth="1"/>
    <col min="5" max="5" width="10.44140625" bestFit="1" customWidth="1"/>
    <col min="6" max="6" width="10.5546875" bestFit="1" customWidth="1"/>
    <col min="8" max="8" width="10.6640625" bestFit="1" customWidth="1"/>
    <col min="9" max="9" width="11.21875" customWidth="1"/>
    <col min="10" max="11" width="10.44140625" bestFit="1" customWidth="1"/>
  </cols>
  <sheetData>
    <row r="1" spans="1:9" x14ac:dyDescent="0.3">
      <c r="A1" s="6" t="s">
        <v>9</v>
      </c>
      <c r="B1" s="1" t="s">
        <v>2</v>
      </c>
      <c r="C1" s="3">
        <v>0.1</v>
      </c>
      <c r="D1" t="s">
        <v>158</v>
      </c>
    </row>
    <row r="2" spans="1:9" ht="28.95" x14ac:dyDescent="0.3">
      <c r="A2" s="6" t="s">
        <v>26</v>
      </c>
      <c r="B2" s="1" t="s">
        <v>3</v>
      </c>
      <c r="C2" s="1">
        <v>2</v>
      </c>
    </row>
    <row r="3" spans="1:9" x14ac:dyDescent="0.3">
      <c r="A3" s="6" t="s">
        <v>10</v>
      </c>
      <c r="B3" s="1" t="s">
        <v>4</v>
      </c>
      <c r="C3" s="1">
        <v>5</v>
      </c>
    </row>
    <row r="4" spans="1:9" x14ac:dyDescent="0.3">
      <c r="A4" s="6" t="s">
        <v>11</v>
      </c>
      <c r="B4" s="1" t="s">
        <v>5</v>
      </c>
      <c r="C4" s="2">
        <f>C1/C2</f>
        <v>0.05</v>
      </c>
    </row>
    <row r="5" spans="1:9" x14ac:dyDescent="0.3">
      <c r="A5" s="6" t="s">
        <v>12</v>
      </c>
      <c r="B5" s="1" t="s">
        <v>6</v>
      </c>
      <c r="C5" s="2">
        <f>C3*C2</f>
        <v>10</v>
      </c>
    </row>
    <row r="6" spans="1:9" x14ac:dyDescent="0.3">
      <c r="A6" s="6" t="s">
        <v>8</v>
      </c>
      <c r="B6" s="1" t="s">
        <v>0</v>
      </c>
      <c r="C6" s="13">
        <f>SUM(D9:D19)</f>
        <v>-5998.6127893096937</v>
      </c>
    </row>
    <row r="7" spans="1:9" x14ac:dyDescent="0.3">
      <c r="A7" s="7"/>
    </row>
    <row r="8" spans="1:9" ht="43.2" x14ac:dyDescent="0.3">
      <c r="A8" s="8" t="s">
        <v>25</v>
      </c>
      <c r="B8" s="8" t="s">
        <v>47</v>
      </c>
      <c r="C8" s="8" t="s">
        <v>30</v>
      </c>
      <c r="D8" s="8" t="s">
        <v>31</v>
      </c>
      <c r="F8" s="8" t="s">
        <v>13</v>
      </c>
      <c r="H8" s="8" t="s">
        <v>220</v>
      </c>
      <c r="I8" s="8" t="s">
        <v>220</v>
      </c>
    </row>
    <row r="9" spans="1:9" x14ac:dyDescent="0.3">
      <c r="A9" s="4" t="s">
        <v>14</v>
      </c>
      <c r="B9" s="1">
        <v>0</v>
      </c>
      <c r="C9" s="11"/>
      <c r="D9" s="13">
        <f>PV($C$4,B9,,C9)</f>
        <v>0</v>
      </c>
      <c r="F9" s="13">
        <f>-C9/(1+$C$4)^B9</f>
        <v>0</v>
      </c>
      <c r="H9" s="13" cm="1">
        <f t="array" ref="H9:H19">C9:C19/(1+C4)^B9:B19</f>
        <v>0</v>
      </c>
      <c r="I9" s="13" cm="1">
        <f t="array" ref="I9:I19">PV(C4,B9:B19,,C9:C19)</f>
        <v>0</v>
      </c>
    </row>
    <row r="10" spans="1:9" x14ac:dyDescent="0.3">
      <c r="A10" s="4" t="s">
        <v>15</v>
      </c>
      <c r="B10" s="1">
        <v>1</v>
      </c>
      <c r="C10" s="11"/>
      <c r="D10" s="13">
        <f t="shared" ref="D10:D19" si="0">PV($C$4,B10,,C10)</f>
        <v>0</v>
      </c>
      <c r="F10" s="13">
        <f t="shared" ref="F10:F19" si="1">-C10/(1+$C$4)^B10</f>
        <v>0</v>
      </c>
      <c r="H10" s="13">
        <v>0</v>
      </c>
      <c r="I10" s="13">
        <v>0</v>
      </c>
    </row>
    <row r="11" spans="1:9" x14ac:dyDescent="0.3">
      <c r="A11" s="4" t="s">
        <v>16</v>
      </c>
      <c r="B11" s="1">
        <v>2</v>
      </c>
      <c r="C11" s="11"/>
      <c r="D11" s="13">
        <f t="shared" si="0"/>
        <v>0</v>
      </c>
      <c r="F11" s="13">
        <f t="shared" si="1"/>
        <v>0</v>
      </c>
      <c r="H11" s="13">
        <v>0</v>
      </c>
      <c r="I11" s="13">
        <v>0</v>
      </c>
    </row>
    <row r="12" spans="1:9" x14ac:dyDescent="0.3">
      <c r="A12" s="4" t="s">
        <v>17</v>
      </c>
      <c r="B12" s="1">
        <v>3</v>
      </c>
      <c r="C12" s="11"/>
      <c r="D12" s="13">
        <f t="shared" si="0"/>
        <v>0</v>
      </c>
      <c r="F12" s="13">
        <f t="shared" si="1"/>
        <v>0</v>
      </c>
      <c r="H12" s="13">
        <v>0</v>
      </c>
      <c r="I12" s="13">
        <v>0</v>
      </c>
    </row>
    <row r="13" spans="1:9" x14ac:dyDescent="0.3">
      <c r="A13" s="4" t="s">
        <v>18</v>
      </c>
      <c r="B13" s="1">
        <v>4</v>
      </c>
      <c r="C13" s="11">
        <v>1000</v>
      </c>
      <c r="D13" s="13">
        <f t="shared" si="0"/>
        <v>-822.70247479188197</v>
      </c>
      <c r="F13" s="13">
        <f t="shared" si="1"/>
        <v>-822.70247479188197</v>
      </c>
      <c r="H13" s="13">
        <v>822.70247479188197</v>
      </c>
      <c r="I13" s="13">
        <v>-822.70247479188197</v>
      </c>
    </row>
    <row r="14" spans="1:9" x14ac:dyDescent="0.3">
      <c r="A14" s="4" t="s">
        <v>19</v>
      </c>
      <c r="B14" s="1">
        <v>5</v>
      </c>
      <c r="C14" s="11"/>
      <c r="D14" s="13">
        <f t="shared" si="0"/>
        <v>0</v>
      </c>
      <c r="F14" s="13">
        <f t="shared" si="1"/>
        <v>0</v>
      </c>
      <c r="H14" s="13">
        <v>0</v>
      </c>
      <c r="I14" s="13">
        <v>0</v>
      </c>
    </row>
    <row r="15" spans="1:9" x14ac:dyDescent="0.3">
      <c r="A15" s="4" t="s">
        <v>20</v>
      </c>
      <c r="B15" s="1">
        <v>6</v>
      </c>
      <c r="C15" s="11">
        <v>2000</v>
      </c>
      <c r="D15" s="13">
        <f t="shared" si="0"/>
        <v>-1492.4307932732554</v>
      </c>
      <c r="F15" s="13">
        <f t="shared" si="1"/>
        <v>-1492.4307932732554</v>
      </c>
      <c r="H15" s="13">
        <v>1492.4307932732554</v>
      </c>
      <c r="I15" s="13">
        <v>-1492.4307932732554</v>
      </c>
    </row>
    <row r="16" spans="1:9" x14ac:dyDescent="0.3">
      <c r="A16" s="4" t="s">
        <v>21</v>
      </c>
      <c r="B16" s="1">
        <v>7</v>
      </c>
      <c r="C16" s="11"/>
      <c r="D16" s="13">
        <f t="shared" si="0"/>
        <v>0</v>
      </c>
      <c r="F16" s="13">
        <f t="shared" si="1"/>
        <v>0</v>
      </c>
      <c r="H16" s="13">
        <v>0</v>
      </c>
      <c r="I16" s="13">
        <v>0</v>
      </c>
    </row>
    <row r="17" spans="1:11" x14ac:dyDescent="0.3">
      <c r="A17" s="4" t="s">
        <v>22</v>
      </c>
      <c r="B17" s="1">
        <v>8</v>
      </c>
      <c r="C17" s="11"/>
      <c r="D17" s="13">
        <f t="shared" si="0"/>
        <v>0</v>
      </c>
      <c r="F17" s="13">
        <f t="shared" si="1"/>
        <v>0</v>
      </c>
      <c r="H17" s="13">
        <v>0</v>
      </c>
      <c r="I17" s="13">
        <v>0</v>
      </c>
    </row>
    <row r="18" spans="1:11" x14ac:dyDescent="0.3">
      <c r="A18" s="4" t="s">
        <v>23</v>
      </c>
      <c r="B18" s="1">
        <v>9</v>
      </c>
      <c r="C18" s="11"/>
      <c r="D18" s="13">
        <f t="shared" si="0"/>
        <v>0</v>
      </c>
      <c r="F18" s="13">
        <f t="shared" si="1"/>
        <v>0</v>
      </c>
      <c r="H18" s="13">
        <v>0</v>
      </c>
      <c r="I18" s="13">
        <v>0</v>
      </c>
    </row>
    <row r="19" spans="1:11" ht="15" thickBot="1" x14ac:dyDescent="0.35">
      <c r="A19" s="4" t="s">
        <v>24</v>
      </c>
      <c r="B19" s="1">
        <v>10</v>
      </c>
      <c r="C19" s="11">
        <v>6000</v>
      </c>
      <c r="D19" s="13">
        <f t="shared" si="0"/>
        <v>-3683.4795212445561</v>
      </c>
      <c r="F19" s="13">
        <f t="shared" si="1"/>
        <v>-3683.4795212445561</v>
      </c>
      <c r="H19" s="142">
        <v>3683.4795212445561</v>
      </c>
      <c r="I19" s="142">
        <v>-3683.4795212445561</v>
      </c>
    </row>
    <row r="20" spans="1:11" ht="15" thickBot="1" x14ac:dyDescent="0.35">
      <c r="H20" s="143">
        <f>SUM(H9:H19)</f>
        <v>5998.6127893096937</v>
      </c>
      <c r="I20" s="144">
        <f>SUM(I9:I19)</f>
        <v>-5998.6127893096937</v>
      </c>
    </row>
    <row r="21" spans="1:11" ht="15" thickTop="1" x14ac:dyDescent="0.3">
      <c r="F21" s="10">
        <f>SUM(F9:F19)</f>
        <v>-5998.6127893096937</v>
      </c>
      <c r="H21" s="9"/>
    </row>
    <row r="22" spans="1:11" ht="28.8" x14ac:dyDescent="0.3">
      <c r="A22" s="5"/>
      <c r="C22" s="12" t="s">
        <v>32</v>
      </c>
    </row>
    <row r="23" spans="1:11" x14ac:dyDescent="0.3">
      <c r="J23" t="s">
        <v>33</v>
      </c>
    </row>
    <row r="24" spans="1:11" x14ac:dyDescent="0.3">
      <c r="J24" s="9" cm="1">
        <f t="array" ref="J24">NPV(C4,-C10:C19)</f>
        <v>-5998.6127893096909</v>
      </c>
      <c r="K24" s="5" cm="1">
        <f t="array" ref="K24">NPV(C4,-C10:C19)</f>
        <v>-5998.6127893096909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F15"/>
  <sheetViews>
    <sheetView zoomScale="130" zoomScaleNormal="130" workbookViewId="0"/>
  </sheetViews>
  <sheetFormatPr defaultRowHeight="14.4" x14ac:dyDescent="0.3"/>
  <cols>
    <col min="1" max="1" width="23.109375" customWidth="1"/>
    <col min="2" max="2" width="12.21875" bestFit="1" customWidth="1"/>
    <col min="3" max="3" width="18.88671875" customWidth="1"/>
    <col min="4" max="4" width="14.109375" customWidth="1"/>
    <col min="5" max="5" width="3.88671875" customWidth="1"/>
    <col min="6" max="6" width="19.44140625" bestFit="1" customWidth="1"/>
    <col min="8" max="8" width="10" bestFit="1" customWidth="1"/>
    <col min="10" max="10" width="10.44140625" bestFit="1" customWidth="1"/>
  </cols>
  <sheetData>
    <row r="1" spans="1:6" x14ac:dyDescent="0.3">
      <c r="A1" s="6" t="s">
        <v>9</v>
      </c>
      <c r="B1" s="1" t="s">
        <v>2</v>
      </c>
      <c r="C1" s="3">
        <v>0.15</v>
      </c>
      <c r="D1" t="s">
        <v>159</v>
      </c>
    </row>
    <row r="2" spans="1:6" ht="28.95" x14ac:dyDescent="0.3">
      <c r="A2" s="6" t="s">
        <v>26</v>
      </c>
      <c r="B2" s="1" t="s">
        <v>3</v>
      </c>
      <c r="C2" s="1">
        <v>1</v>
      </c>
    </row>
    <row r="3" spans="1:6" x14ac:dyDescent="0.3">
      <c r="A3" s="6" t="s">
        <v>10</v>
      </c>
      <c r="B3" s="1" t="s">
        <v>4</v>
      </c>
      <c r="C3" s="1">
        <v>4</v>
      </c>
      <c r="F3" s="1" t="s">
        <v>161</v>
      </c>
    </row>
    <row r="4" spans="1:6" x14ac:dyDescent="0.3">
      <c r="A4" s="6" t="s">
        <v>34</v>
      </c>
      <c r="B4" s="1"/>
      <c r="C4" s="14">
        <v>-100000</v>
      </c>
      <c r="F4" s="15"/>
    </row>
    <row r="5" spans="1:6" x14ac:dyDescent="0.3">
      <c r="A5" s="6" t="s">
        <v>35</v>
      </c>
      <c r="B5" s="1" t="s">
        <v>0</v>
      </c>
      <c r="C5" s="15"/>
    </row>
    <row r="6" spans="1:6" x14ac:dyDescent="0.3">
      <c r="A6" s="7"/>
    </row>
    <row r="7" spans="1:6" ht="28.95" x14ac:dyDescent="0.3">
      <c r="A7" s="8" t="s">
        <v>25</v>
      </c>
      <c r="B7" s="8" t="s">
        <v>47</v>
      </c>
      <c r="C7" s="8" t="s">
        <v>30</v>
      </c>
      <c r="D7" s="8" t="s">
        <v>31</v>
      </c>
      <c r="F7" s="8" t="s">
        <v>13</v>
      </c>
    </row>
    <row r="8" spans="1:6" x14ac:dyDescent="0.3">
      <c r="A8" s="4" t="s">
        <v>14</v>
      </c>
      <c r="B8" s="1">
        <v>0</v>
      </c>
      <c r="C8" s="14"/>
      <c r="D8" s="15"/>
      <c r="F8" s="15"/>
    </row>
    <row r="9" spans="1:6" x14ac:dyDescent="0.3">
      <c r="A9" s="4" t="s">
        <v>15</v>
      </c>
      <c r="B9" s="1">
        <v>1</v>
      </c>
      <c r="C9" s="14">
        <v>50000</v>
      </c>
      <c r="D9" s="15"/>
      <c r="F9" s="15"/>
    </row>
    <row r="10" spans="1:6" x14ac:dyDescent="0.3">
      <c r="A10" s="4" t="s">
        <v>16</v>
      </c>
      <c r="B10" s="1">
        <v>2</v>
      </c>
      <c r="C10" s="14">
        <v>50000</v>
      </c>
      <c r="D10" s="15"/>
      <c r="F10" s="15"/>
    </row>
    <row r="11" spans="1:6" x14ac:dyDescent="0.3">
      <c r="A11" s="4" t="s">
        <v>17</v>
      </c>
      <c r="B11" s="1">
        <v>3</v>
      </c>
      <c r="C11" s="14">
        <v>40000</v>
      </c>
      <c r="D11" s="15"/>
      <c r="F11" s="15"/>
    </row>
    <row r="12" spans="1:6" x14ac:dyDescent="0.3">
      <c r="A12" s="4" t="s">
        <v>18</v>
      </c>
      <c r="B12" s="1">
        <v>4</v>
      </c>
      <c r="C12" s="14">
        <v>30000</v>
      </c>
      <c r="D12" s="15"/>
      <c r="F12" s="15"/>
    </row>
    <row r="14" spans="1:6" x14ac:dyDescent="0.3">
      <c r="F14" s="14"/>
    </row>
    <row r="15" spans="1:6" x14ac:dyDescent="0.3">
      <c r="A15" s="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17"/>
  <sheetViews>
    <sheetView zoomScale="115" zoomScaleNormal="115" workbookViewId="0"/>
  </sheetViews>
  <sheetFormatPr defaultRowHeight="14.4" x14ac:dyDescent="0.3"/>
  <cols>
    <col min="1" max="1" width="23.109375" customWidth="1"/>
    <col min="2" max="2" width="18.6640625" customWidth="1"/>
    <col min="3" max="3" width="21.44140625" customWidth="1"/>
    <col min="4" max="4" width="18.5546875" bestFit="1" customWidth="1"/>
    <col min="5" max="5" width="3.88671875" customWidth="1"/>
    <col min="6" max="6" width="19.44140625" bestFit="1" customWidth="1"/>
    <col min="7" max="7" width="14.77734375" customWidth="1"/>
    <col min="8" max="8" width="11.5546875" bestFit="1" customWidth="1"/>
    <col min="9" max="9" width="12.21875" customWidth="1"/>
    <col min="10" max="10" width="10.44140625" bestFit="1" customWidth="1"/>
  </cols>
  <sheetData>
    <row r="1" spans="1:9" x14ac:dyDescent="0.3">
      <c r="A1" s="6" t="s">
        <v>9</v>
      </c>
      <c r="B1" s="1" t="s">
        <v>2</v>
      </c>
      <c r="C1" s="3">
        <v>0.15</v>
      </c>
      <c r="D1" t="s">
        <v>159</v>
      </c>
    </row>
    <row r="2" spans="1:9" ht="28.8" x14ac:dyDescent="0.3">
      <c r="A2" s="6" t="s">
        <v>26</v>
      </c>
      <c r="B2" s="1" t="s">
        <v>3</v>
      </c>
      <c r="C2" s="1">
        <v>1</v>
      </c>
    </row>
    <row r="3" spans="1:9" x14ac:dyDescent="0.3">
      <c r="A3" s="6" t="s">
        <v>10</v>
      </c>
      <c r="B3" s="1" t="s">
        <v>4</v>
      </c>
      <c r="C3" s="1">
        <v>4</v>
      </c>
      <c r="F3" s="1" t="s">
        <v>161</v>
      </c>
    </row>
    <row r="4" spans="1:9" x14ac:dyDescent="0.3">
      <c r="A4" s="6" t="s">
        <v>34</v>
      </c>
      <c r="B4" s="1"/>
      <c r="C4" s="14">
        <v>-100000</v>
      </c>
      <c r="F4" s="15">
        <f>-C5+C4</f>
        <v>24738.69089947507</v>
      </c>
      <c r="G4" s="15">
        <f>NPV(C1,C9:C12)+C4</f>
        <v>24738.690899475085</v>
      </c>
    </row>
    <row r="5" spans="1:9" x14ac:dyDescent="0.3">
      <c r="A5" s="6" t="s">
        <v>35</v>
      </c>
      <c r="B5" s="1" t="s">
        <v>0</v>
      </c>
      <c r="C5" s="15">
        <f>SUM(D8:D12)</f>
        <v>-124738.69089947507</v>
      </c>
    </row>
    <row r="6" spans="1:9" x14ac:dyDescent="0.3">
      <c r="A6" s="7"/>
    </row>
    <row r="7" spans="1:9" ht="28.8" x14ac:dyDescent="0.3">
      <c r="A7" s="8" t="s">
        <v>25</v>
      </c>
      <c r="B7" s="8" t="s">
        <v>47</v>
      </c>
      <c r="C7" s="8" t="s">
        <v>30</v>
      </c>
      <c r="D7" s="8" t="s">
        <v>31</v>
      </c>
      <c r="F7" s="8" t="s">
        <v>13</v>
      </c>
      <c r="H7" s="8" t="s">
        <v>220</v>
      </c>
      <c r="I7" s="8" t="s">
        <v>220</v>
      </c>
    </row>
    <row r="8" spans="1:9" x14ac:dyDescent="0.3">
      <c r="A8" s="4" t="s">
        <v>14</v>
      </c>
      <c r="B8" s="1">
        <v>0</v>
      </c>
      <c r="C8" s="14"/>
      <c r="D8" s="15">
        <f>PV($C$1,B8,,C8)</f>
        <v>0</v>
      </c>
      <c r="F8" s="15">
        <f t="shared" ref="F8:F12" si="0">-C8/(1+$C$1)^B8</f>
        <v>0</v>
      </c>
      <c r="H8" s="15" cm="1">
        <f t="array" ref="H8:H12">PV(C1,B8:B12,,C8:C12)</f>
        <v>0</v>
      </c>
      <c r="I8" s="15" cm="1">
        <f t="array" ref="I8:I12">C8:C12/(1+C1)^B8:B12</f>
        <v>0</v>
      </c>
    </row>
    <row r="9" spans="1:9" x14ac:dyDescent="0.3">
      <c r="A9" s="4" t="s">
        <v>15</v>
      </c>
      <c r="B9" s="1">
        <v>1</v>
      </c>
      <c r="C9" s="14">
        <v>50000</v>
      </c>
      <c r="D9" s="15">
        <f t="shared" ref="D9:D12" si="1">PV($C$1,B9,,C9)</f>
        <v>-43478.260869565223</v>
      </c>
      <c r="F9" s="15">
        <f t="shared" si="0"/>
        <v>-43478.260869565223</v>
      </c>
      <c r="H9" s="15">
        <v>-43478.260869565223</v>
      </c>
      <c r="I9" s="15">
        <v>43478.260869565223</v>
      </c>
    </row>
    <row r="10" spans="1:9" x14ac:dyDescent="0.3">
      <c r="A10" s="4" t="s">
        <v>16</v>
      </c>
      <c r="B10" s="1">
        <v>2</v>
      </c>
      <c r="C10" s="14">
        <v>50000</v>
      </c>
      <c r="D10" s="15">
        <f t="shared" si="1"/>
        <v>-37807.183364839322</v>
      </c>
      <c r="F10" s="15">
        <f t="shared" si="0"/>
        <v>-37807.183364839322</v>
      </c>
      <c r="H10" s="15">
        <v>-37807.183364839322</v>
      </c>
      <c r="I10" s="15">
        <v>37807.183364839322</v>
      </c>
    </row>
    <row r="11" spans="1:9" x14ac:dyDescent="0.3">
      <c r="A11" s="4" t="s">
        <v>17</v>
      </c>
      <c r="B11" s="1">
        <v>3</v>
      </c>
      <c r="C11" s="14">
        <v>40000</v>
      </c>
      <c r="D11" s="15">
        <f t="shared" si="1"/>
        <v>-26300.649297279535</v>
      </c>
      <c r="F11" s="15">
        <f t="shared" si="0"/>
        <v>-26300.649297279535</v>
      </c>
      <c r="H11" s="15">
        <v>-26300.649297279535</v>
      </c>
      <c r="I11" s="15">
        <v>26300.649297279535</v>
      </c>
    </row>
    <row r="12" spans="1:9" x14ac:dyDescent="0.3">
      <c r="A12" s="4" t="s">
        <v>18</v>
      </c>
      <c r="B12" s="1">
        <v>4</v>
      </c>
      <c r="C12" s="14">
        <v>30000</v>
      </c>
      <c r="D12" s="15">
        <f t="shared" si="1"/>
        <v>-17152.597367791001</v>
      </c>
      <c r="F12" s="15">
        <f t="shared" si="0"/>
        <v>-17152.597367791001</v>
      </c>
      <c r="H12" s="15">
        <v>-17152.597367791001</v>
      </c>
      <c r="I12" s="15">
        <v>17152.597367791001</v>
      </c>
    </row>
    <row r="14" spans="1:9" x14ac:dyDescent="0.3">
      <c r="F14" s="14">
        <f>SUM(F8:F13)</f>
        <v>-124738.69089947507</v>
      </c>
    </row>
    <row r="15" spans="1:9" x14ac:dyDescent="0.3">
      <c r="A15" s="5"/>
    </row>
    <row r="16" spans="1:9" x14ac:dyDescent="0.3">
      <c r="F16" s="141" t="s">
        <v>33</v>
      </c>
    </row>
    <row r="17" spans="6:6" x14ac:dyDescent="0.3">
      <c r="F17" s="14" cm="1">
        <f t="array" ref="F17">SUM(PV(C1,B9:B12,,C9:C12))</f>
        <v>-124738.69089947507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O18"/>
  <sheetViews>
    <sheetView zoomScale="85" zoomScaleNormal="85" workbookViewId="0">
      <selection activeCell="J6" sqref="J6"/>
    </sheetView>
  </sheetViews>
  <sheetFormatPr defaultRowHeight="14.4" x14ac:dyDescent="0.3"/>
  <cols>
    <col min="1" max="1" width="15.5546875" bestFit="1" customWidth="1"/>
    <col min="2" max="2" width="15.6640625" customWidth="1"/>
    <col min="3" max="3" width="11" bestFit="1" customWidth="1"/>
    <col min="4" max="4" width="8.88671875" bestFit="1" customWidth="1"/>
    <col min="5" max="5" width="5.5546875" customWidth="1"/>
    <col min="6" max="6" width="23.6640625" customWidth="1"/>
    <col min="7" max="7" width="1.33203125" customWidth="1"/>
    <col min="8" max="8" width="10.5546875" bestFit="1" customWidth="1"/>
    <col min="9" max="9" width="2.6640625" customWidth="1"/>
  </cols>
  <sheetData>
    <row r="1" spans="1:15" x14ac:dyDescent="0.3">
      <c r="A1" s="18" t="s">
        <v>36</v>
      </c>
      <c r="B1" s="18"/>
      <c r="C1" s="18"/>
      <c r="D1" s="18"/>
      <c r="E1" s="19"/>
      <c r="F1" s="19"/>
      <c r="G1" s="19"/>
    </row>
    <row r="2" spans="1:15" ht="43.2" x14ac:dyDescent="0.3">
      <c r="A2" s="20" t="s">
        <v>37</v>
      </c>
      <c r="B2" s="21">
        <v>0.08</v>
      </c>
    </row>
    <row r="3" spans="1:15" x14ac:dyDescent="0.3">
      <c r="A3" s="1" t="s">
        <v>38</v>
      </c>
      <c r="B3" s="1">
        <v>1</v>
      </c>
    </row>
    <row r="5" spans="1:15" x14ac:dyDescent="0.3">
      <c r="A5" s="25" t="s">
        <v>39</v>
      </c>
      <c r="B5" s="25"/>
      <c r="C5" s="25"/>
      <c r="D5" s="25"/>
      <c r="F5" s="25" t="s">
        <v>40</v>
      </c>
      <c r="G5" s="25"/>
      <c r="H5" s="25"/>
    </row>
    <row r="6" spans="1:15" ht="86.4" x14ac:dyDescent="0.3">
      <c r="A6" s="6" t="s">
        <v>25</v>
      </c>
      <c r="B6" s="6" t="s">
        <v>41</v>
      </c>
      <c r="C6" s="6" t="s">
        <v>42</v>
      </c>
      <c r="D6" s="20" t="s">
        <v>0</v>
      </c>
      <c r="F6" s="20" t="s">
        <v>43</v>
      </c>
      <c r="H6" s="6" t="s">
        <v>44</v>
      </c>
      <c r="J6" s="16" t="s">
        <v>46</v>
      </c>
      <c r="K6" s="17"/>
      <c r="L6" s="17"/>
      <c r="M6" s="17"/>
      <c r="N6" s="17"/>
      <c r="O6" s="17"/>
    </row>
    <row r="7" spans="1:15" x14ac:dyDescent="0.3">
      <c r="A7" s="1">
        <v>0</v>
      </c>
      <c r="B7" s="14">
        <v>-2000</v>
      </c>
      <c r="C7" s="1">
        <v>0</v>
      </c>
      <c r="D7" s="28">
        <f t="shared" ref="D7:D15" si="0">PV($B$2,C7,,B7)</f>
        <v>2000</v>
      </c>
      <c r="F7" s="14">
        <f t="shared" ref="F7:F15" si="1">-B7</f>
        <v>2000</v>
      </c>
      <c r="H7" s="28">
        <f>NPV(B2,F8:F16)+F7</f>
        <v>629.52996454378012</v>
      </c>
    </row>
    <row r="8" spans="1:15" x14ac:dyDescent="0.3">
      <c r="A8" s="1">
        <v>1</v>
      </c>
      <c r="B8" s="14"/>
      <c r="C8" s="1">
        <v>1</v>
      </c>
      <c r="D8" s="28">
        <f t="shared" si="0"/>
        <v>0</v>
      </c>
      <c r="F8" s="14">
        <f t="shared" si="1"/>
        <v>0</v>
      </c>
    </row>
    <row r="9" spans="1:15" x14ac:dyDescent="0.3">
      <c r="A9" s="1">
        <v>2</v>
      </c>
      <c r="B9" s="14">
        <v>-2000</v>
      </c>
      <c r="C9" s="1">
        <v>2</v>
      </c>
      <c r="D9" s="28">
        <f t="shared" si="0"/>
        <v>1714.6776406035665</v>
      </c>
      <c r="F9" s="14">
        <f t="shared" si="1"/>
        <v>2000</v>
      </c>
      <c r="G9" s="5"/>
    </row>
    <row r="10" spans="1:15" x14ac:dyDescent="0.3">
      <c r="A10" s="1">
        <v>3</v>
      </c>
      <c r="B10" s="14">
        <v>1000</v>
      </c>
      <c r="C10" s="1">
        <v>3</v>
      </c>
      <c r="D10" s="28">
        <f t="shared" si="0"/>
        <v>-793.83224102016959</v>
      </c>
      <c r="F10" s="14">
        <f t="shared" si="1"/>
        <v>-1000</v>
      </c>
      <c r="G10" s="5"/>
    </row>
    <row r="11" spans="1:15" x14ac:dyDescent="0.3">
      <c r="A11" s="1">
        <v>4</v>
      </c>
      <c r="B11" s="14">
        <v>1000</v>
      </c>
      <c r="C11" s="1">
        <v>4</v>
      </c>
      <c r="D11" s="28">
        <f t="shared" si="0"/>
        <v>-735.02985279645327</v>
      </c>
      <c r="F11" s="14">
        <f t="shared" si="1"/>
        <v>-1000</v>
      </c>
      <c r="G11" s="5"/>
    </row>
    <row r="12" spans="1:15" x14ac:dyDescent="0.3">
      <c r="A12" s="1">
        <v>5</v>
      </c>
      <c r="B12" s="14">
        <v>-2000</v>
      </c>
      <c r="C12" s="1">
        <v>5</v>
      </c>
      <c r="D12" s="28">
        <f t="shared" si="0"/>
        <v>1361.166394067506</v>
      </c>
      <c r="F12" s="14">
        <f t="shared" si="1"/>
        <v>2000</v>
      </c>
      <c r="G12" s="5"/>
    </row>
    <row r="13" spans="1:15" x14ac:dyDescent="0.3">
      <c r="A13" s="1">
        <v>6</v>
      </c>
      <c r="B13" s="14"/>
      <c r="C13" s="1">
        <v>6</v>
      </c>
      <c r="D13" s="28">
        <f t="shared" si="0"/>
        <v>0</v>
      </c>
      <c r="F13" s="14">
        <f t="shared" si="1"/>
        <v>0</v>
      </c>
      <c r="G13" s="5"/>
    </row>
    <row r="14" spans="1:15" x14ac:dyDescent="0.3">
      <c r="A14" s="1">
        <v>7</v>
      </c>
      <c r="B14" s="14">
        <v>5000</v>
      </c>
      <c r="C14" s="1">
        <v>7</v>
      </c>
      <c r="D14" s="28">
        <f t="shared" si="0"/>
        <v>-2917.4519763106691</v>
      </c>
      <c r="F14" s="14">
        <f t="shared" si="1"/>
        <v>-5000</v>
      </c>
      <c r="G14" s="5"/>
    </row>
    <row r="15" spans="1:15" ht="15" thickBot="1" x14ac:dyDescent="0.35">
      <c r="A15" s="21">
        <v>8</v>
      </c>
      <c r="B15" s="26"/>
      <c r="C15" s="21">
        <v>8</v>
      </c>
      <c r="D15" s="28">
        <f t="shared" si="0"/>
        <v>0</v>
      </c>
      <c r="F15" s="14">
        <f t="shared" si="1"/>
        <v>0</v>
      </c>
      <c r="G15" s="5"/>
    </row>
    <row r="16" spans="1:15" ht="15" thickBot="1" x14ac:dyDescent="0.35">
      <c r="A16" s="23" t="s">
        <v>45</v>
      </c>
      <c r="B16" s="27"/>
      <c r="C16" s="23" t="s">
        <v>0</v>
      </c>
      <c r="D16" s="29">
        <f>SUM(D7:D15)</f>
        <v>629.52996454378081</v>
      </c>
      <c r="G16" s="5"/>
    </row>
    <row r="17" spans="3:3" ht="15" thickTop="1" x14ac:dyDescent="0.3"/>
    <row r="18" spans="3:3" x14ac:dyDescent="0.3">
      <c r="C18">
        <v>-1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K17"/>
  <sheetViews>
    <sheetView zoomScale="110" zoomScaleNormal="110" workbookViewId="0"/>
  </sheetViews>
  <sheetFormatPr defaultRowHeight="14.4" x14ac:dyDescent="0.3"/>
  <cols>
    <col min="1" max="1" width="2" bestFit="1" customWidth="1"/>
    <col min="2" max="2" width="46.33203125" style="7" customWidth="1"/>
    <col min="4" max="4" width="11.44140625" customWidth="1"/>
    <col min="5" max="5" width="14.44140625" bestFit="1" customWidth="1"/>
    <col min="6" max="6" width="10.21875" bestFit="1" customWidth="1"/>
    <col min="8" max="8" width="2.44140625" customWidth="1"/>
    <col min="9" max="10" width="1.33203125" customWidth="1"/>
    <col min="257" max="257" width="2" bestFit="1" customWidth="1"/>
    <col min="258" max="258" width="46.33203125" customWidth="1"/>
    <col min="260" max="260" width="11.44140625" customWidth="1"/>
    <col min="261" max="261" width="11.109375" customWidth="1"/>
    <col min="513" max="513" width="2" bestFit="1" customWidth="1"/>
    <col min="514" max="514" width="46.33203125" customWidth="1"/>
    <col min="516" max="516" width="11.44140625" customWidth="1"/>
    <col min="517" max="517" width="11.109375" customWidth="1"/>
    <col min="769" max="769" width="2" bestFit="1" customWidth="1"/>
    <col min="770" max="770" width="46.33203125" customWidth="1"/>
    <col min="772" max="772" width="11.44140625" customWidth="1"/>
    <col min="773" max="773" width="11.109375" customWidth="1"/>
    <col min="1025" max="1025" width="2" bestFit="1" customWidth="1"/>
    <col min="1026" max="1026" width="46.33203125" customWidth="1"/>
    <col min="1028" max="1028" width="11.44140625" customWidth="1"/>
    <col min="1029" max="1029" width="11.109375" customWidth="1"/>
    <col min="1281" max="1281" width="2" bestFit="1" customWidth="1"/>
    <col min="1282" max="1282" width="46.33203125" customWidth="1"/>
    <col min="1284" max="1284" width="11.44140625" customWidth="1"/>
    <col min="1285" max="1285" width="11.109375" customWidth="1"/>
    <col min="1537" max="1537" width="2" bestFit="1" customWidth="1"/>
    <col min="1538" max="1538" width="46.33203125" customWidth="1"/>
    <col min="1540" max="1540" width="11.44140625" customWidth="1"/>
    <col min="1541" max="1541" width="11.109375" customWidth="1"/>
    <col min="1793" max="1793" width="2" bestFit="1" customWidth="1"/>
    <col min="1794" max="1794" width="46.33203125" customWidth="1"/>
    <col min="1796" max="1796" width="11.44140625" customWidth="1"/>
    <col min="1797" max="1797" width="11.109375" customWidth="1"/>
    <col min="2049" max="2049" width="2" bestFit="1" customWidth="1"/>
    <col min="2050" max="2050" width="46.33203125" customWidth="1"/>
    <col min="2052" max="2052" width="11.44140625" customWidth="1"/>
    <col min="2053" max="2053" width="11.109375" customWidth="1"/>
    <col min="2305" max="2305" width="2" bestFit="1" customWidth="1"/>
    <col min="2306" max="2306" width="46.33203125" customWidth="1"/>
    <col min="2308" max="2308" width="11.44140625" customWidth="1"/>
    <col min="2309" max="2309" width="11.109375" customWidth="1"/>
    <col min="2561" max="2561" width="2" bestFit="1" customWidth="1"/>
    <col min="2562" max="2562" width="46.33203125" customWidth="1"/>
    <col min="2564" max="2564" width="11.44140625" customWidth="1"/>
    <col min="2565" max="2565" width="11.109375" customWidth="1"/>
    <col min="2817" max="2817" width="2" bestFit="1" customWidth="1"/>
    <col min="2818" max="2818" width="46.33203125" customWidth="1"/>
    <col min="2820" max="2820" width="11.44140625" customWidth="1"/>
    <col min="2821" max="2821" width="11.109375" customWidth="1"/>
    <col min="3073" max="3073" width="2" bestFit="1" customWidth="1"/>
    <col min="3074" max="3074" width="46.33203125" customWidth="1"/>
    <col min="3076" max="3076" width="11.44140625" customWidth="1"/>
    <col min="3077" max="3077" width="11.109375" customWidth="1"/>
    <col min="3329" max="3329" width="2" bestFit="1" customWidth="1"/>
    <col min="3330" max="3330" width="46.33203125" customWidth="1"/>
    <col min="3332" max="3332" width="11.44140625" customWidth="1"/>
    <col min="3333" max="3333" width="11.109375" customWidth="1"/>
    <col min="3585" max="3585" width="2" bestFit="1" customWidth="1"/>
    <col min="3586" max="3586" width="46.33203125" customWidth="1"/>
    <col min="3588" max="3588" width="11.44140625" customWidth="1"/>
    <col min="3589" max="3589" width="11.109375" customWidth="1"/>
    <col min="3841" max="3841" width="2" bestFit="1" customWidth="1"/>
    <col min="3842" max="3842" width="46.33203125" customWidth="1"/>
    <col min="3844" max="3844" width="11.44140625" customWidth="1"/>
    <col min="3845" max="3845" width="11.109375" customWidth="1"/>
    <col min="4097" max="4097" width="2" bestFit="1" customWidth="1"/>
    <col min="4098" max="4098" width="46.33203125" customWidth="1"/>
    <col min="4100" max="4100" width="11.44140625" customWidth="1"/>
    <col min="4101" max="4101" width="11.109375" customWidth="1"/>
    <col min="4353" max="4353" width="2" bestFit="1" customWidth="1"/>
    <col min="4354" max="4354" width="46.33203125" customWidth="1"/>
    <col min="4356" max="4356" width="11.44140625" customWidth="1"/>
    <col min="4357" max="4357" width="11.109375" customWidth="1"/>
    <col min="4609" max="4609" width="2" bestFit="1" customWidth="1"/>
    <col min="4610" max="4610" width="46.33203125" customWidth="1"/>
    <col min="4612" max="4612" width="11.44140625" customWidth="1"/>
    <col min="4613" max="4613" width="11.109375" customWidth="1"/>
    <col min="4865" max="4865" width="2" bestFit="1" customWidth="1"/>
    <col min="4866" max="4866" width="46.33203125" customWidth="1"/>
    <col min="4868" max="4868" width="11.44140625" customWidth="1"/>
    <col min="4869" max="4869" width="11.109375" customWidth="1"/>
    <col min="5121" max="5121" width="2" bestFit="1" customWidth="1"/>
    <col min="5122" max="5122" width="46.33203125" customWidth="1"/>
    <col min="5124" max="5124" width="11.44140625" customWidth="1"/>
    <col min="5125" max="5125" width="11.109375" customWidth="1"/>
    <col min="5377" max="5377" width="2" bestFit="1" customWidth="1"/>
    <col min="5378" max="5378" width="46.33203125" customWidth="1"/>
    <col min="5380" max="5380" width="11.44140625" customWidth="1"/>
    <col min="5381" max="5381" width="11.109375" customWidth="1"/>
    <col min="5633" max="5633" width="2" bestFit="1" customWidth="1"/>
    <col min="5634" max="5634" width="46.33203125" customWidth="1"/>
    <col min="5636" max="5636" width="11.44140625" customWidth="1"/>
    <col min="5637" max="5637" width="11.109375" customWidth="1"/>
    <col min="5889" max="5889" width="2" bestFit="1" customWidth="1"/>
    <col min="5890" max="5890" width="46.33203125" customWidth="1"/>
    <col min="5892" max="5892" width="11.44140625" customWidth="1"/>
    <col min="5893" max="5893" width="11.109375" customWidth="1"/>
    <col min="6145" max="6145" width="2" bestFit="1" customWidth="1"/>
    <col min="6146" max="6146" width="46.33203125" customWidth="1"/>
    <col min="6148" max="6148" width="11.44140625" customWidth="1"/>
    <col min="6149" max="6149" width="11.109375" customWidth="1"/>
    <col min="6401" max="6401" width="2" bestFit="1" customWidth="1"/>
    <col min="6402" max="6402" width="46.33203125" customWidth="1"/>
    <col min="6404" max="6404" width="11.44140625" customWidth="1"/>
    <col min="6405" max="6405" width="11.109375" customWidth="1"/>
    <col min="6657" max="6657" width="2" bestFit="1" customWidth="1"/>
    <col min="6658" max="6658" width="46.33203125" customWidth="1"/>
    <col min="6660" max="6660" width="11.44140625" customWidth="1"/>
    <col min="6661" max="6661" width="11.109375" customWidth="1"/>
    <col min="6913" max="6913" width="2" bestFit="1" customWidth="1"/>
    <col min="6914" max="6914" width="46.33203125" customWidth="1"/>
    <col min="6916" max="6916" width="11.44140625" customWidth="1"/>
    <col min="6917" max="6917" width="11.109375" customWidth="1"/>
    <col min="7169" max="7169" width="2" bestFit="1" customWidth="1"/>
    <col min="7170" max="7170" width="46.33203125" customWidth="1"/>
    <col min="7172" max="7172" width="11.44140625" customWidth="1"/>
    <col min="7173" max="7173" width="11.109375" customWidth="1"/>
    <col min="7425" max="7425" width="2" bestFit="1" customWidth="1"/>
    <col min="7426" max="7426" width="46.33203125" customWidth="1"/>
    <col min="7428" max="7428" width="11.44140625" customWidth="1"/>
    <col min="7429" max="7429" width="11.109375" customWidth="1"/>
    <col min="7681" max="7681" width="2" bestFit="1" customWidth="1"/>
    <col min="7682" max="7682" width="46.33203125" customWidth="1"/>
    <col min="7684" max="7684" width="11.44140625" customWidth="1"/>
    <col min="7685" max="7685" width="11.109375" customWidth="1"/>
    <col min="7937" max="7937" width="2" bestFit="1" customWidth="1"/>
    <col min="7938" max="7938" width="46.33203125" customWidth="1"/>
    <col min="7940" max="7940" width="11.44140625" customWidth="1"/>
    <col min="7941" max="7941" width="11.109375" customWidth="1"/>
    <col min="8193" max="8193" width="2" bestFit="1" customWidth="1"/>
    <col min="8194" max="8194" width="46.33203125" customWidth="1"/>
    <col min="8196" max="8196" width="11.44140625" customWidth="1"/>
    <col min="8197" max="8197" width="11.109375" customWidth="1"/>
    <col min="8449" max="8449" width="2" bestFit="1" customWidth="1"/>
    <col min="8450" max="8450" width="46.33203125" customWidth="1"/>
    <col min="8452" max="8452" width="11.44140625" customWidth="1"/>
    <col min="8453" max="8453" width="11.109375" customWidth="1"/>
    <col min="8705" max="8705" width="2" bestFit="1" customWidth="1"/>
    <col min="8706" max="8706" width="46.33203125" customWidth="1"/>
    <col min="8708" max="8708" width="11.44140625" customWidth="1"/>
    <col min="8709" max="8709" width="11.109375" customWidth="1"/>
    <col min="8961" max="8961" width="2" bestFit="1" customWidth="1"/>
    <col min="8962" max="8962" width="46.33203125" customWidth="1"/>
    <col min="8964" max="8964" width="11.44140625" customWidth="1"/>
    <col min="8965" max="8965" width="11.109375" customWidth="1"/>
    <col min="9217" max="9217" width="2" bestFit="1" customWidth="1"/>
    <col min="9218" max="9218" width="46.33203125" customWidth="1"/>
    <col min="9220" max="9220" width="11.44140625" customWidth="1"/>
    <col min="9221" max="9221" width="11.109375" customWidth="1"/>
    <col min="9473" max="9473" width="2" bestFit="1" customWidth="1"/>
    <col min="9474" max="9474" width="46.33203125" customWidth="1"/>
    <col min="9476" max="9476" width="11.44140625" customWidth="1"/>
    <col min="9477" max="9477" width="11.109375" customWidth="1"/>
    <col min="9729" max="9729" width="2" bestFit="1" customWidth="1"/>
    <col min="9730" max="9730" width="46.33203125" customWidth="1"/>
    <col min="9732" max="9732" width="11.44140625" customWidth="1"/>
    <col min="9733" max="9733" width="11.109375" customWidth="1"/>
    <col min="9985" max="9985" width="2" bestFit="1" customWidth="1"/>
    <col min="9986" max="9986" width="46.33203125" customWidth="1"/>
    <col min="9988" max="9988" width="11.44140625" customWidth="1"/>
    <col min="9989" max="9989" width="11.109375" customWidth="1"/>
    <col min="10241" max="10241" width="2" bestFit="1" customWidth="1"/>
    <col min="10242" max="10242" width="46.33203125" customWidth="1"/>
    <col min="10244" max="10244" width="11.44140625" customWidth="1"/>
    <col min="10245" max="10245" width="11.109375" customWidth="1"/>
    <col min="10497" max="10497" width="2" bestFit="1" customWidth="1"/>
    <col min="10498" max="10498" width="46.33203125" customWidth="1"/>
    <col min="10500" max="10500" width="11.44140625" customWidth="1"/>
    <col min="10501" max="10501" width="11.109375" customWidth="1"/>
    <col min="10753" max="10753" width="2" bestFit="1" customWidth="1"/>
    <col min="10754" max="10754" width="46.33203125" customWidth="1"/>
    <col min="10756" max="10756" width="11.44140625" customWidth="1"/>
    <col min="10757" max="10757" width="11.109375" customWidth="1"/>
    <col min="11009" max="11009" width="2" bestFit="1" customWidth="1"/>
    <col min="11010" max="11010" width="46.33203125" customWidth="1"/>
    <col min="11012" max="11012" width="11.44140625" customWidth="1"/>
    <col min="11013" max="11013" width="11.109375" customWidth="1"/>
    <col min="11265" max="11265" width="2" bestFit="1" customWidth="1"/>
    <col min="11266" max="11266" width="46.33203125" customWidth="1"/>
    <col min="11268" max="11268" width="11.44140625" customWidth="1"/>
    <col min="11269" max="11269" width="11.109375" customWidth="1"/>
    <col min="11521" max="11521" width="2" bestFit="1" customWidth="1"/>
    <col min="11522" max="11522" width="46.33203125" customWidth="1"/>
    <col min="11524" max="11524" width="11.44140625" customWidth="1"/>
    <col min="11525" max="11525" width="11.109375" customWidth="1"/>
    <col min="11777" max="11777" width="2" bestFit="1" customWidth="1"/>
    <col min="11778" max="11778" width="46.33203125" customWidth="1"/>
    <col min="11780" max="11780" width="11.44140625" customWidth="1"/>
    <col min="11781" max="11781" width="11.109375" customWidth="1"/>
    <col min="12033" max="12033" width="2" bestFit="1" customWidth="1"/>
    <col min="12034" max="12034" width="46.33203125" customWidth="1"/>
    <col min="12036" max="12036" width="11.44140625" customWidth="1"/>
    <col min="12037" max="12037" width="11.109375" customWidth="1"/>
    <col min="12289" max="12289" width="2" bestFit="1" customWidth="1"/>
    <col min="12290" max="12290" width="46.33203125" customWidth="1"/>
    <col min="12292" max="12292" width="11.44140625" customWidth="1"/>
    <col min="12293" max="12293" width="11.109375" customWidth="1"/>
    <col min="12545" max="12545" width="2" bestFit="1" customWidth="1"/>
    <col min="12546" max="12546" width="46.33203125" customWidth="1"/>
    <col min="12548" max="12548" width="11.44140625" customWidth="1"/>
    <col min="12549" max="12549" width="11.109375" customWidth="1"/>
    <col min="12801" max="12801" width="2" bestFit="1" customWidth="1"/>
    <col min="12802" max="12802" width="46.33203125" customWidth="1"/>
    <col min="12804" max="12804" width="11.44140625" customWidth="1"/>
    <col min="12805" max="12805" width="11.109375" customWidth="1"/>
    <col min="13057" max="13057" width="2" bestFit="1" customWidth="1"/>
    <col min="13058" max="13058" width="46.33203125" customWidth="1"/>
    <col min="13060" max="13060" width="11.44140625" customWidth="1"/>
    <col min="13061" max="13061" width="11.109375" customWidth="1"/>
    <col min="13313" max="13313" width="2" bestFit="1" customWidth="1"/>
    <col min="13314" max="13314" width="46.33203125" customWidth="1"/>
    <col min="13316" max="13316" width="11.44140625" customWidth="1"/>
    <col min="13317" max="13317" width="11.109375" customWidth="1"/>
    <col min="13569" max="13569" width="2" bestFit="1" customWidth="1"/>
    <col min="13570" max="13570" width="46.33203125" customWidth="1"/>
    <col min="13572" max="13572" width="11.44140625" customWidth="1"/>
    <col min="13573" max="13573" width="11.109375" customWidth="1"/>
    <col min="13825" max="13825" width="2" bestFit="1" customWidth="1"/>
    <col min="13826" max="13826" width="46.33203125" customWidth="1"/>
    <col min="13828" max="13828" width="11.44140625" customWidth="1"/>
    <col min="13829" max="13829" width="11.109375" customWidth="1"/>
    <col min="14081" max="14081" width="2" bestFit="1" customWidth="1"/>
    <col min="14082" max="14082" width="46.33203125" customWidth="1"/>
    <col min="14084" max="14084" width="11.44140625" customWidth="1"/>
    <col min="14085" max="14085" width="11.109375" customWidth="1"/>
    <col min="14337" max="14337" width="2" bestFit="1" customWidth="1"/>
    <col min="14338" max="14338" width="46.33203125" customWidth="1"/>
    <col min="14340" max="14340" width="11.44140625" customWidth="1"/>
    <col min="14341" max="14341" width="11.109375" customWidth="1"/>
    <col min="14593" max="14593" width="2" bestFit="1" customWidth="1"/>
    <col min="14594" max="14594" width="46.33203125" customWidth="1"/>
    <col min="14596" max="14596" width="11.44140625" customWidth="1"/>
    <col min="14597" max="14597" width="11.109375" customWidth="1"/>
    <col min="14849" max="14849" width="2" bestFit="1" customWidth="1"/>
    <col min="14850" max="14850" width="46.33203125" customWidth="1"/>
    <col min="14852" max="14852" width="11.44140625" customWidth="1"/>
    <col min="14853" max="14853" width="11.109375" customWidth="1"/>
    <col min="15105" max="15105" width="2" bestFit="1" customWidth="1"/>
    <col min="15106" max="15106" width="46.33203125" customWidth="1"/>
    <col min="15108" max="15108" width="11.44140625" customWidth="1"/>
    <col min="15109" max="15109" width="11.109375" customWidth="1"/>
    <col min="15361" max="15361" width="2" bestFit="1" customWidth="1"/>
    <col min="15362" max="15362" width="46.33203125" customWidth="1"/>
    <col min="15364" max="15364" width="11.44140625" customWidth="1"/>
    <col min="15365" max="15365" width="11.109375" customWidth="1"/>
    <col min="15617" max="15617" width="2" bestFit="1" customWidth="1"/>
    <col min="15618" max="15618" width="46.33203125" customWidth="1"/>
    <col min="15620" max="15620" width="11.44140625" customWidth="1"/>
    <col min="15621" max="15621" width="11.109375" customWidth="1"/>
    <col min="15873" max="15873" width="2" bestFit="1" customWidth="1"/>
    <col min="15874" max="15874" width="46.33203125" customWidth="1"/>
    <col min="15876" max="15876" width="11.44140625" customWidth="1"/>
    <col min="15877" max="15877" width="11.109375" customWidth="1"/>
    <col min="16129" max="16129" width="2" bestFit="1" customWidth="1"/>
    <col min="16130" max="16130" width="46.33203125" customWidth="1"/>
    <col min="16132" max="16132" width="11.44140625" customWidth="1"/>
    <col min="16133" max="16133" width="11.109375" customWidth="1"/>
  </cols>
  <sheetData>
    <row r="1" spans="1:11" x14ac:dyDescent="0.3">
      <c r="B1" s="25" t="s">
        <v>48</v>
      </c>
      <c r="C1" s="25"/>
    </row>
    <row r="2" spans="1:11" x14ac:dyDescent="0.3">
      <c r="B2" s="6" t="s">
        <v>49</v>
      </c>
      <c r="C2" s="1">
        <v>0.12</v>
      </c>
    </row>
    <row r="3" spans="1:11" x14ac:dyDescent="0.3">
      <c r="B3" s="6" t="s">
        <v>50</v>
      </c>
      <c r="C3" s="1">
        <v>12</v>
      </c>
    </row>
    <row r="4" spans="1:11" ht="21" x14ac:dyDescent="0.4">
      <c r="A4" s="30">
        <v>1</v>
      </c>
      <c r="B4" s="6" t="s">
        <v>51</v>
      </c>
      <c r="C4" s="31"/>
    </row>
    <row r="5" spans="1:11" ht="3" customHeight="1" x14ac:dyDescent="0.3"/>
    <row r="6" spans="1:11" x14ac:dyDescent="0.3">
      <c r="B6" s="25" t="s">
        <v>52</v>
      </c>
      <c r="C6" s="25"/>
    </row>
    <row r="7" spans="1:11" x14ac:dyDescent="0.3">
      <c r="B7" s="6" t="s">
        <v>53</v>
      </c>
      <c r="C7" s="1">
        <v>5.0000000000000001E-3</v>
      </c>
    </row>
    <row r="8" spans="1:11" x14ac:dyDescent="0.3">
      <c r="B8" s="6" t="s">
        <v>38</v>
      </c>
      <c r="C8" s="1"/>
    </row>
    <row r="9" spans="1:11" ht="35.4" x14ac:dyDescent="0.4">
      <c r="A9" s="30">
        <v>2</v>
      </c>
      <c r="B9" s="6" t="s">
        <v>54</v>
      </c>
      <c r="C9" s="31"/>
      <c r="D9" s="89" t="s">
        <v>216</v>
      </c>
      <c r="E9" s="89"/>
      <c r="F9" s="89"/>
      <c r="G9" s="89"/>
    </row>
    <row r="10" spans="1:11" ht="3" customHeight="1" x14ac:dyDescent="0.3"/>
    <row r="11" spans="1:11" x14ac:dyDescent="0.3">
      <c r="B11" s="25" t="s">
        <v>55</v>
      </c>
      <c r="C11" s="25"/>
    </row>
    <row r="12" spans="1:11" x14ac:dyDescent="0.3">
      <c r="B12" s="6" t="s">
        <v>56</v>
      </c>
      <c r="C12" s="1">
        <v>0.18</v>
      </c>
    </row>
    <row r="13" spans="1:11" x14ac:dyDescent="0.3">
      <c r="B13" s="6" t="s">
        <v>38</v>
      </c>
      <c r="C13" s="1">
        <v>12</v>
      </c>
    </row>
    <row r="14" spans="1:11" ht="44.4" x14ac:dyDescent="0.4">
      <c r="A14" s="30">
        <v>3</v>
      </c>
      <c r="B14" s="6" t="s">
        <v>162</v>
      </c>
      <c r="C14" s="31"/>
      <c r="E14" s="32" t="str">
        <f>IF(C14="","","The Real Rate for n = 1 is actually "&amp;TEXT(C14,"0.00%")&amp;". However, it is ironic and untruthful to have the APR of "&amp;TEXT($C$12,"0.00%")&amp;" prominently displayed on all debt contracts.")</f>
        <v/>
      </c>
      <c r="F14" s="33"/>
      <c r="G14" s="33"/>
      <c r="H14" s="33"/>
      <c r="I14" s="33"/>
      <c r="J14" s="33"/>
      <c r="K14" s="33"/>
    </row>
    <row r="15" spans="1:11" ht="30" x14ac:dyDescent="0.3">
      <c r="B15" s="6" t="s">
        <v>57</v>
      </c>
      <c r="C15" s="31"/>
    </row>
    <row r="16" spans="1:11" ht="3" customHeight="1" x14ac:dyDescent="0.3"/>
    <row r="17" spans="2:2" ht="57.6" x14ac:dyDescent="0.3">
      <c r="B17" s="88" t="s">
        <v>163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K17"/>
  <sheetViews>
    <sheetView zoomScaleNormal="100" workbookViewId="0"/>
  </sheetViews>
  <sheetFormatPr defaultRowHeight="14.4" x14ac:dyDescent="0.3"/>
  <cols>
    <col min="1" max="1" width="2" bestFit="1" customWidth="1"/>
    <col min="2" max="2" width="46.33203125" style="7" customWidth="1"/>
    <col min="4" max="4" width="11.44140625" customWidth="1"/>
    <col min="5" max="5" width="11.109375" customWidth="1"/>
    <col min="257" max="257" width="2" bestFit="1" customWidth="1"/>
    <col min="258" max="258" width="46.33203125" customWidth="1"/>
    <col min="260" max="260" width="11.44140625" customWidth="1"/>
    <col min="261" max="261" width="11.109375" customWidth="1"/>
    <col min="513" max="513" width="2" bestFit="1" customWidth="1"/>
    <col min="514" max="514" width="46.33203125" customWidth="1"/>
    <col min="516" max="516" width="11.44140625" customWidth="1"/>
    <col min="517" max="517" width="11.109375" customWidth="1"/>
    <col min="769" max="769" width="2" bestFit="1" customWidth="1"/>
    <col min="770" max="770" width="46.33203125" customWidth="1"/>
    <col min="772" max="772" width="11.44140625" customWidth="1"/>
    <col min="773" max="773" width="11.109375" customWidth="1"/>
    <col min="1025" max="1025" width="2" bestFit="1" customWidth="1"/>
    <col min="1026" max="1026" width="46.33203125" customWidth="1"/>
    <col min="1028" max="1028" width="11.44140625" customWidth="1"/>
    <col min="1029" max="1029" width="11.109375" customWidth="1"/>
    <col min="1281" max="1281" width="2" bestFit="1" customWidth="1"/>
    <col min="1282" max="1282" width="46.33203125" customWidth="1"/>
    <col min="1284" max="1284" width="11.44140625" customWidth="1"/>
    <col min="1285" max="1285" width="11.109375" customWidth="1"/>
    <col min="1537" max="1537" width="2" bestFit="1" customWidth="1"/>
    <col min="1538" max="1538" width="46.33203125" customWidth="1"/>
    <col min="1540" max="1540" width="11.44140625" customWidth="1"/>
    <col min="1541" max="1541" width="11.109375" customWidth="1"/>
    <col min="1793" max="1793" width="2" bestFit="1" customWidth="1"/>
    <col min="1794" max="1794" width="46.33203125" customWidth="1"/>
    <col min="1796" max="1796" width="11.44140625" customWidth="1"/>
    <col min="1797" max="1797" width="11.109375" customWidth="1"/>
    <col min="2049" max="2049" width="2" bestFit="1" customWidth="1"/>
    <col min="2050" max="2050" width="46.33203125" customWidth="1"/>
    <col min="2052" max="2052" width="11.44140625" customWidth="1"/>
    <col min="2053" max="2053" width="11.109375" customWidth="1"/>
    <col min="2305" max="2305" width="2" bestFit="1" customWidth="1"/>
    <col min="2306" max="2306" width="46.33203125" customWidth="1"/>
    <col min="2308" max="2308" width="11.44140625" customWidth="1"/>
    <col min="2309" max="2309" width="11.109375" customWidth="1"/>
    <col min="2561" max="2561" width="2" bestFit="1" customWidth="1"/>
    <col min="2562" max="2562" width="46.33203125" customWidth="1"/>
    <col min="2564" max="2564" width="11.44140625" customWidth="1"/>
    <col min="2565" max="2565" width="11.109375" customWidth="1"/>
    <col min="2817" max="2817" width="2" bestFit="1" customWidth="1"/>
    <col min="2818" max="2818" width="46.33203125" customWidth="1"/>
    <col min="2820" max="2820" width="11.44140625" customWidth="1"/>
    <col min="2821" max="2821" width="11.109375" customWidth="1"/>
    <col min="3073" max="3073" width="2" bestFit="1" customWidth="1"/>
    <col min="3074" max="3074" width="46.33203125" customWidth="1"/>
    <col min="3076" max="3076" width="11.44140625" customWidth="1"/>
    <col min="3077" max="3077" width="11.109375" customWidth="1"/>
    <col min="3329" max="3329" width="2" bestFit="1" customWidth="1"/>
    <col min="3330" max="3330" width="46.33203125" customWidth="1"/>
    <col min="3332" max="3332" width="11.44140625" customWidth="1"/>
    <col min="3333" max="3333" width="11.109375" customWidth="1"/>
    <col min="3585" max="3585" width="2" bestFit="1" customWidth="1"/>
    <col min="3586" max="3586" width="46.33203125" customWidth="1"/>
    <col min="3588" max="3588" width="11.44140625" customWidth="1"/>
    <col min="3589" max="3589" width="11.109375" customWidth="1"/>
    <col min="3841" max="3841" width="2" bestFit="1" customWidth="1"/>
    <col min="3842" max="3842" width="46.33203125" customWidth="1"/>
    <col min="3844" max="3844" width="11.44140625" customWidth="1"/>
    <col min="3845" max="3845" width="11.109375" customWidth="1"/>
    <col min="4097" max="4097" width="2" bestFit="1" customWidth="1"/>
    <col min="4098" max="4098" width="46.33203125" customWidth="1"/>
    <col min="4100" max="4100" width="11.44140625" customWidth="1"/>
    <col min="4101" max="4101" width="11.109375" customWidth="1"/>
    <col min="4353" max="4353" width="2" bestFit="1" customWidth="1"/>
    <col min="4354" max="4354" width="46.33203125" customWidth="1"/>
    <col min="4356" max="4356" width="11.44140625" customWidth="1"/>
    <col min="4357" max="4357" width="11.109375" customWidth="1"/>
    <col min="4609" max="4609" width="2" bestFit="1" customWidth="1"/>
    <col min="4610" max="4610" width="46.33203125" customWidth="1"/>
    <col min="4612" max="4612" width="11.44140625" customWidth="1"/>
    <col min="4613" max="4613" width="11.109375" customWidth="1"/>
    <col min="4865" max="4865" width="2" bestFit="1" customWidth="1"/>
    <col min="4866" max="4866" width="46.33203125" customWidth="1"/>
    <col min="4868" max="4868" width="11.44140625" customWidth="1"/>
    <col min="4869" max="4869" width="11.109375" customWidth="1"/>
    <col min="5121" max="5121" width="2" bestFit="1" customWidth="1"/>
    <col min="5122" max="5122" width="46.33203125" customWidth="1"/>
    <col min="5124" max="5124" width="11.44140625" customWidth="1"/>
    <col min="5125" max="5125" width="11.109375" customWidth="1"/>
    <col min="5377" max="5377" width="2" bestFit="1" customWidth="1"/>
    <col min="5378" max="5378" width="46.33203125" customWidth="1"/>
    <col min="5380" max="5380" width="11.44140625" customWidth="1"/>
    <col min="5381" max="5381" width="11.109375" customWidth="1"/>
    <col min="5633" max="5633" width="2" bestFit="1" customWidth="1"/>
    <col min="5634" max="5634" width="46.33203125" customWidth="1"/>
    <col min="5636" max="5636" width="11.44140625" customWidth="1"/>
    <col min="5637" max="5637" width="11.109375" customWidth="1"/>
    <col min="5889" max="5889" width="2" bestFit="1" customWidth="1"/>
    <col min="5890" max="5890" width="46.33203125" customWidth="1"/>
    <col min="5892" max="5892" width="11.44140625" customWidth="1"/>
    <col min="5893" max="5893" width="11.109375" customWidth="1"/>
    <col min="6145" max="6145" width="2" bestFit="1" customWidth="1"/>
    <col min="6146" max="6146" width="46.33203125" customWidth="1"/>
    <col min="6148" max="6148" width="11.44140625" customWidth="1"/>
    <col min="6149" max="6149" width="11.109375" customWidth="1"/>
    <col min="6401" max="6401" width="2" bestFit="1" customWidth="1"/>
    <col min="6402" max="6402" width="46.33203125" customWidth="1"/>
    <col min="6404" max="6404" width="11.44140625" customWidth="1"/>
    <col min="6405" max="6405" width="11.109375" customWidth="1"/>
    <col min="6657" max="6657" width="2" bestFit="1" customWidth="1"/>
    <col min="6658" max="6658" width="46.33203125" customWidth="1"/>
    <col min="6660" max="6660" width="11.44140625" customWidth="1"/>
    <col min="6661" max="6661" width="11.109375" customWidth="1"/>
    <col min="6913" max="6913" width="2" bestFit="1" customWidth="1"/>
    <col min="6914" max="6914" width="46.33203125" customWidth="1"/>
    <col min="6916" max="6916" width="11.44140625" customWidth="1"/>
    <col min="6917" max="6917" width="11.109375" customWidth="1"/>
    <col min="7169" max="7169" width="2" bestFit="1" customWidth="1"/>
    <col min="7170" max="7170" width="46.33203125" customWidth="1"/>
    <col min="7172" max="7172" width="11.44140625" customWidth="1"/>
    <col min="7173" max="7173" width="11.109375" customWidth="1"/>
    <col min="7425" max="7425" width="2" bestFit="1" customWidth="1"/>
    <col min="7426" max="7426" width="46.33203125" customWidth="1"/>
    <col min="7428" max="7428" width="11.44140625" customWidth="1"/>
    <col min="7429" max="7429" width="11.109375" customWidth="1"/>
    <col min="7681" max="7681" width="2" bestFit="1" customWidth="1"/>
    <col min="7682" max="7682" width="46.33203125" customWidth="1"/>
    <col min="7684" max="7684" width="11.44140625" customWidth="1"/>
    <col min="7685" max="7685" width="11.109375" customWidth="1"/>
    <col min="7937" max="7937" width="2" bestFit="1" customWidth="1"/>
    <col min="7938" max="7938" width="46.33203125" customWidth="1"/>
    <col min="7940" max="7940" width="11.44140625" customWidth="1"/>
    <col min="7941" max="7941" width="11.109375" customWidth="1"/>
    <col min="8193" max="8193" width="2" bestFit="1" customWidth="1"/>
    <col min="8194" max="8194" width="46.33203125" customWidth="1"/>
    <col min="8196" max="8196" width="11.44140625" customWidth="1"/>
    <col min="8197" max="8197" width="11.109375" customWidth="1"/>
    <col min="8449" max="8449" width="2" bestFit="1" customWidth="1"/>
    <col min="8450" max="8450" width="46.33203125" customWidth="1"/>
    <col min="8452" max="8452" width="11.44140625" customWidth="1"/>
    <col min="8453" max="8453" width="11.109375" customWidth="1"/>
    <col min="8705" max="8705" width="2" bestFit="1" customWidth="1"/>
    <col min="8706" max="8706" width="46.33203125" customWidth="1"/>
    <col min="8708" max="8708" width="11.44140625" customWidth="1"/>
    <col min="8709" max="8709" width="11.109375" customWidth="1"/>
    <col min="8961" max="8961" width="2" bestFit="1" customWidth="1"/>
    <col min="8962" max="8962" width="46.33203125" customWidth="1"/>
    <col min="8964" max="8964" width="11.44140625" customWidth="1"/>
    <col min="8965" max="8965" width="11.109375" customWidth="1"/>
    <col min="9217" max="9217" width="2" bestFit="1" customWidth="1"/>
    <col min="9218" max="9218" width="46.33203125" customWidth="1"/>
    <col min="9220" max="9220" width="11.44140625" customWidth="1"/>
    <col min="9221" max="9221" width="11.109375" customWidth="1"/>
    <col min="9473" max="9473" width="2" bestFit="1" customWidth="1"/>
    <col min="9474" max="9474" width="46.33203125" customWidth="1"/>
    <col min="9476" max="9476" width="11.44140625" customWidth="1"/>
    <col min="9477" max="9477" width="11.109375" customWidth="1"/>
    <col min="9729" max="9729" width="2" bestFit="1" customWidth="1"/>
    <col min="9730" max="9730" width="46.33203125" customWidth="1"/>
    <col min="9732" max="9732" width="11.44140625" customWidth="1"/>
    <col min="9733" max="9733" width="11.109375" customWidth="1"/>
    <col min="9985" max="9985" width="2" bestFit="1" customWidth="1"/>
    <col min="9986" max="9986" width="46.33203125" customWidth="1"/>
    <col min="9988" max="9988" width="11.44140625" customWidth="1"/>
    <col min="9989" max="9989" width="11.109375" customWidth="1"/>
    <col min="10241" max="10241" width="2" bestFit="1" customWidth="1"/>
    <col min="10242" max="10242" width="46.33203125" customWidth="1"/>
    <col min="10244" max="10244" width="11.44140625" customWidth="1"/>
    <col min="10245" max="10245" width="11.109375" customWidth="1"/>
    <col min="10497" max="10497" width="2" bestFit="1" customWidth="1"/>
    <col min="10498" max="10498" width="46.33203125" customWidth="1"/>
    <col min="10500" max="10500" width="11.44140625" customWidth="1"/>
    <col min="10501" max="10501" width="11.109375" customWidth="1"/>
    <col min="10753" max="10753" width="2" bestFit="1" customWidth="1"/>
    <col min="10754" max="10754" width="46.33203125" customWidth="1"/>
    <col min="10756" max="10756" width="11.44140625" customWidth="1"/>
    <col min="10757" max="10757" width="11.109375" customWidth="1"/>
    <col min="11009" max="11009" width="2" bestFit="1" customWidth="1"/>
    <col min="11010" max="11010" width="46.33203125" customWidth="1"/>
    <col min="11012" max="11012" width="11.44140625" customWidth="1"/>
    <col min="11013" max="11013" width="11.109375" customWidth="1"/>
    <col min="11265" max="11265" width="2" bestFit="1" customWidth="1"/>
    <col min="11266" max="11266" width="46.33203125" customWidth="1"/>
    <col min="11268" max="11268" width="11.44140625" customWidth="1"/>
    <col min="11269" max="11269" width="11.109375" customWidth="1"/>
    <col min="11521" max="11521" width="2" bestFit="1" customWidth="1"/>
    <col min="11522" max="11522" width="46.33203125" customWidth="1"/>
    <col min="11524" max="11524" width="11.44140625" customWidth="1"/>
    <col min="11525" max="11525" width="11.109375" customWidth="1"/>
    <col min="11777" max="11777" width="2" bestFit="1" customWidth="1"/>
    <col min="11778" max="11778" width="46.33203125" customWidth="1"/>
    <col min="11780" max="11780" width="11.44140625" customWidth="1"/>
    <col min="11781" max="11781" width="11.109375" customWidth="1"/>
    <col min="12033" max="12033" width="2" bestFit="1" customWidth="1"/>
    <col min="12034" max="12034" width="46.33203125" customWidth="1"/>
    <col min="12036" max="12036" width="11.44140625" customWidth="1"/>
    <col min="12037" max="12037" width="11.109375" customWidth="1"/>
    <col min="12289" max="12289" width="2" bestFit="1" customWidth="1"/>
    <col min="12290" max="12290" width="46.33203125" customWidth="1"/>
    <col min="12292" max="12292" width="11.44140625" customWidth="1"/>
    <col min="12293" max="12293" width="11.109375" customWidth="1"/>
    <col min="12545" max="12545" width="2" bestFit="1" customWidth="1"/>
    <col min="12546" max="12546" width="46.33203125" customWidth="1"/>
    <col min="12548" max="12548" width="11.44140625" customWidth="1"/>
    <col min="12549" max="12549" width="11.109375" customWidth="1"/>
    <col min="12801" max="12801" width="2" bestFit="1" customWidth="1"/>
    <col min="12802" max="12802" width="46.33203125" customWidth="1"/>
    <col min="12804" max="12804" width="11.44140625" customWidth="1"/>
    <col min="12805" max="12805" width="11.109375" customWidth="1"/>
    <col min="13057" max="13057" width="2" bestFit="1" customWidth="1"/>
    <col min="13058" max="13058" width="46.33203125" customWidth="1"/>
    <col min="13060" max="13060" width="11.44140625" customWidth="1"/>
    <col min="13061" max="13061" width="11.109375" customWidth="1"/>
    <col min="13313" max="13313" width="2" bestFit="1" customWidth="1"/>
    <col min="13314" max="13314" width="46.33203125" customWidth="1"/>
    <col min="13316" max="13316" width="11.44140625" customWidth="1"/>
    <col min="13317" max="13317" width="11.109375" customWidth="1"/>
    <col min="13569" max="13569" width="2" bestFit="1" customWidth="1"/>
    <col min="13570" max="13570" width="46.33203125" customWidth="1"/>
    <col min="13572" max="13572" width="11.44140625" customWidth="1"/>
    <col min="13573" max="13573" width="11.109375" customWidth="1"/>
    <col min="13825" max="13825" width="2" bestFit="1" customWidth="1"/>
    <col min="13826" max="13826" width="46.33203125" customWidth="1"/>
    <col min="13828" max="13828" width="11.44140625" customWidth="1"/>
    <col min="13829" max="13829" width="11.109375" customWidth="1"/>
    <col min="14081" max="14081" width="2" bestFit="1" customWidth="1"/>
    <col min="14082" max="14082" width="46.33203125" customWidth="1"/>
    <col min="14084" max="14084" width="11.44140625" customWidth="1"/>
    <col min="14085" max="14085" width="11.109375" customWidth="1"/>
    <col min="14337" max="14337" width="2" bestFit="1" customWidth="1"/>
    <col min="14338" max="14338" width="46.33203125" customWidth="1"/>
    <col min="14340" max="14340" width="11.44140625" customWidth="1"/>
    <col min="14341" max="14341" width="11.109375" customWidth="1"/>
    <col min="14593" max="14593" width="2" bestFit="1" customWidth="1"/>
    <col min="14594" max="14594" width="46.33203125" customWidth="1"/>
    <col min="14596" max="14596" width="11.44140625" customWidth="1"/>
    <col min="14597" max="14597" width="11.109375" customWidth="1"/>
    <col min="14849" max="14849" width="2" bestFit="1" customWidth="1"/>
    <col min="14850" max="14850" width="46.33203125" customWidth="1"/>
    <col min="14852" max="14852" width="11.44140625" customWidth="1"/>
    <col min="14853" max="14853" width="11.109375" customWidth="1"/>
    <col min="15105" max="15105" width="2" bestFit="1" customWidth="1"/>
    <col min="15106" max="15106" width="46.33203125" customWidth="1"/>
    <col min="15108" max="15108" width="11.44140625" customWidth="1"/>
    <col min="15109" max="15109" width="11.109375" customWidth="1"/>
    <col min="15361" max="15361" width="2" bestFit="1" customWidth="1"/>
    <col min="15362" max="15362" width="46.33203125" customWidth="1"/>
    <col min="15364" max="15364" width="11.44140625" customWidth="1"/>
    <col min="15365" max="15365" width="11.109375" customWidth="1"/>
    <col min="15617" max="15617" width="2" bestFit="1" customWidth="1"/>
    <col min="15618" max="15618" width="46.33203125" customWidth="1"/>
    <col min="15620" max="15620" width="11.44140625" customWidth="1"/>
    <col min="15621" max="15621" width="11.109375" customWidth="1"/>
    <col min="15873" max="15873" width="2" bestFit="1" customWidth="1"/>
    <col min="15874" max="15874" width="46.33203125" customWidth="1"/>
    <col min="15876" max="15876" width="11.44140625" customWidth="1"/>
    <col min="15877" max="15877" width="11.109375" customWidth="1"/>
    <col min="16129" max="16129" width="2" bestFit="1" customWidth="1"/>
    <col min="16130" max="16130" width="46.33203125" customWidth="1"/>
    <col min="16132" max="16132" width="11.44140625" customWidth="1"/>
    <col min="16133" max="16133" width="11.109375" customWidth="1"/>
  </cols>
  <sheetData>
    <row r="1" spans="1:11" x14ac:dyDescent="0.3">
      <c r="B1" s="25" t="s">
        <v>48</v>
      </c>
      <c r="C1" s="25"/>
    </row>
    <row r="2" spans="1:11" x14ac:dyDescent="0.3">
      <c r="B2" s="6" t="s">
        <v>49</v>
      </c>
      <c r="C2" s="1">
        <v>0.12</v>
      </c>
    </row>
    <row r="3" spans="1:11" x14ac:dyDescent="0.3">
      <c r="B3" s="6" t="s">
        <v>50</v>
      </c>
      <c r="C3" s="1">
        <v>12</v>
      </c>
    </row>
    <row r="4" spans="1:11" ht="21" x14ac:dyDescent="0.4">
      <c r="A4" s="30">
        <v>1</v>
      </c>
      <c r="B4" s="6" t="s">
        <v>51</v>
      </c>
      <c r="C4" s="31">
        <f>C2/C3</f>
        <v>0.01</v>
      </c>
    </row>
    <row r="6" spans="1:11" x14ac:dyDescent="0.3">
      <c r="B6" s="25" t="s">
        <v>52</v>
      </c>
      <c r="C6" s="25"/>
    </row>
    <row r="7" spans="1:11" x14ac:dyDescent="0.3">
      <c r="B7" s="6" t="s">
        <v>53</v>
      </c>
      <c r="C7" s="1">
        <v>5.0000000000000001E-3</v>
      </c>
    </row>
    <row r="8" spans="1:11" x14ac:dyDescent="0.3">
      <c r="B8" s="6" t="s">
        <v>38</v>
      </c>
      <c r="C8" s="1">
        <v>12</v>
      </c>
    </row>
    <row r="9" spans="1:11" ht="45.6" x14ac:dyDescent="0.4">
      <c r="A9" s="30">
        <v>2</v>
      </c>
      <c r="B9" s="6" t="s">
        <v>54</v>
      </c>
      <c r="C9" s="31">
        <f>C7*C8</f>
        <v>0.06</v>
      </c>
      <c r="D9" s="89" t="s">
        <v>216</v>
      </c>
      <c r="E9" s="89"/>
      <c r="F9" s="89"/>
      <c r="G9" s="89"/>
    </row>
    <row r="11" spans="1:11" x14ac:dyDescent="0.3">
      <c r="B11" s="25" t="s">
        <v>55</v>
      </c>
      <c r="C11" s="25"/>
    </row>
    <row r="12" spans="1:11" x14ac:dyDescent="0.3">
      <c r="B12" s="6" t="s">
        <v>56</v>
      </c>
      <c r="C12" s="1">
        <v>0.18</v>
      </c>
    </row>
    <row r="13" spans="1:11" x14ac:dyDescent="0.3">
      <c r="B13" s="6" t="s">
        <v>38</v>
      </c>
      <c r="C13" s="1">
        <v>12</v>
      </c>
    </row>
    <row r="14" spans="1:11" ht="44.4" x14ac:dyDescent="0.4">
      <c r="A14" s="30">
        <v>3</v>
      </c>
      <c r="B14" s="6" t="s">
        <v>162</v>
      </c>
      <c r="C14" s="31">
        <f>(1+C12/C13)^C13-1</f>
        <v>0.19561817146153326</v>
      </c>
      <c r="E14" s="32" t="str">
        <f>IF(C14="","","The Real Rate for n = 1 is actually "&amp;TEXT(C14,"0.00%")&amp;". However, it is ironic and untruthful to have the APR of "&amp;TEXT($C$12,"0.00%")&amp;" prominently displayed on all debt contracts.")</f>
        <v>The Real Rate for n = 1 is actually 19.56%. However, it is ironic and untruthful to have the APR of 18.00% prominently displayed on all debt contracts.</v>
      </c>
      <c r="F14" s="33"/>
      <c r="G14" s="33"/>
      <c r="H14" s="33"/>
      <c r="I14" s="33"/>
      <c r="J14" s="33"/>
      <c r="K14" s="33"/>
    </row>
    <row r="15" spans="1:11" ht="30" x14ac:dyDescent="0.3">
      <c r="B15" s="6" t="s">
        <v>57</v>
      </c>
      <c r="C15" s="31">
        <f>EFFECT(C12,C13)</f>
        <v>0.19561817146153326</v>
      </c>
    </row>
    <row r="17" spans="2:2" ht="57.6" x14ac:dyDescent="0.3">
      <c r="B17" s="88" t="s">
        <v>163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sheetPr>
  <dimension ref="A1:B18"/>
  <sheetViews>
    <sheetView zoomScale="160" zoomScaleNormal="160" workbookViewId="0"/>
  </sheetViews>
  <sheetFormatPr defaultRowHeight="14.4" x14ac:dyDescent="0.3"/>
  <cols>
    <col min="1" max="1" width="46.33203125" style="7" customWidth="1"/>
    <col min="2" max="2" width="11" bestFit="1" customWidth="1"/>
    <col min="3" max="3" width="11.44140625" customWidth="1"/>
    <col min="4" max="4" width="14.44140625" bestFit="1" customWidth="1"/>
    <col min="5" max="5" width="10.21875" bestFit="1" customWidth="1"/>
    <col min="256" max="256" width="2" bestFit="1" customWidth="1"/>
    <col min="257" max="257" width="46.33203125" customWidth="1"/>
    <col min="259" max="259" width="11.44140625" customWidth="1"/>
    <col min="260" max="260" width="11.109375" customWidth="1"/>
    <col min="512" max="512" width="2" bestFit="1" customWidth="1"/>
    <col min="513" max="513" width="46.33203125" customWidth="1"/>
    <col min="515" max="515" width="11.44140625" customWidth="1"/>
    <col min="516" max="516" width="11.109375" customWidth="1"/>
    <col min="768" max="768" width="2" bestFit="1" customWidth="1"/>
    <col min="769" max="769" width="46.33203125" customWidth="1"/>
    <col min="771" max="771" width="11.44140625" customWidth="1"/>
    <col min="772" max="772" width="11.109375" customWidth="1"/>
    <col min="1024" max="1024" width="2" bestFit="1" customWidth="1"/>
    <col min="1025" max="1025" width="46.33203125" customWidth="1"/>
    <col min="1027" max="1027" width="11.44140625" customWidth="1"/>
    <col min="1028" max="1028" width="11.109375" customWidth="1"/>
    <col min="1280" max="1280" width="2" bestFit="1" customWidth="1"/>
    <col min="1281" max="1281" width="46.33203125" customWidth="1"/>
    <col min="1283" max="1283" width="11.44140625" customWidth="1"/>
    <col min="1284" max="1284" width="11.109375" customWidth="1"/>
    <col min="1536" max="1536" width="2" bestFit="1" customWidth="1"/>
    <col min="1537" max="1537" width="46.33203125" customWidth="1"/>
    <col min="1539" max="1539" width="11.44140625" customWidth="1"/>
    <col min="1540" max="1540" width="11.109375" customWidth="1"/>
    <col min="1792" max="1792" width="2" bestFit="1" customWidth="1"/>
    <col min="1793" max="1793" width="46.33203125" customWidth="1"/>
    <col min="1795" max="1795" width="11.44140625" customWidth="1"/>
    <col min="1796" max="1796" width="11.109375" customWidth="1"/>
    <col min="2048" max="2048" width="2" bestFit="1" customWidth="1"/>
    <col min="2049" max="2049" width="46.33203125" customWidth="1"/>
    <col min="2051" max="2051" width="11.44140625" customWidth="1"/>
    <col min="2052" max="2052" width="11.109375" customWidth="1"/>
    <col min="2304" max="2304" width="2" bestFit="1" customWidth="1"/>
    <col min="2305" max="2305" width="46.33203125" customWidth="1"/>
    <col min="2307" max="2307" width="11.44140625" customWidth="1"/>
    <col min="2308" max="2308" width="11.109375" customWidth="1"/>
    <col min="2560" max="2560" width="2" bestFit="1" customWidth="1"/>
    <col min="2561" max="2561" width="46.33203125" customWidth="1"/>
    <col min="2563" max="2563" width="11.44140625" customWidth="1"/>
    <col min="2564" max="2564" width="11.109375" customWidth="1"/>
    <col min="2816" max="2816" width="2" bestFit="1" customWidth="1"/>
    <col min="2817" max="2817" width="46.33203125" customWidth="1"/>
    <col min="2819" max="2819" width="11.44140625" customWidth="1"/>
    <col min="2820" max="2820" width="11.109375" customWidth="1"/>
    <col min="3072" max="3072" width="2" bestFit="1" customWidth="1"/>
    <col min="3073" max="3073" width="46.33203125" customWidth="1"/>
    <col min="3075" max="3075" width="11.44140625" customWidth="1"/>
    <col min="3076" max="3076" width="11.109375" customWidth="1"/>
    <col min="3328" max="3328" width="2" bestFit="1" customWidth="1"/>
    <col min="3329" max="3329" width="46.33203125" customWidth="1"/>
    <col min="3331" max="3331" width="11.44140625" customWidth="1"/>
    <col min="3332" max="3332" width="11.109375" customWidth="1"/>
    <col min="3584" max="3584" width="2" bestFit="1" customWidth="1"/>
    <col min="3585" max="3585" width="46.33203125" customWidth="1"/>
    <col min="3587" max="3587" width="11.44140625" customWidth="1"/>
    <col min="3588" max="3588" width="11.109375" customWidth="1"/>
    <col min="3840" max="3840" width="2" bestFit="1" customWidth="1"/>
    <col min="3841" max="3841" width="46.33203125" customWidth="1"/>
    <col min="3843" max="3843" width="11.44140625" customWidth="1"/>
    <col min="3844" max="3844" width="11.109375" customWidth="1"/>
    <col min="4096" max="4096" width="2" bestFit="1" customWidth="1"/>
    <col min="4097" max="4097" width="46.33203125" customWidth="1"/>
    <col min="4099" max="4099" width="11.44140625" customWidth="1"/>
    <col min="4100" max="4100" width="11.109375" customWidth="1"/>
    <col min="4352" max="4352" width="2" bestFit="1" customWidth="1"/>
    <col min="4353" max="4353" width="46.33203125" customWidth="1"/>
    <col min="4355" max="4355" width="11.44140625" customWidth="1"/>
    <col min="4356" max="4356" width="11.109375" customWidth="1"/>
    <col min="4608" max="4608" width="2" bestFit="1" customWidth="1"/>
    <col min="4609" max="4609" width="46.33203125" customWidth="1"/>
    <col min="4611" max="4611" width="11.44140625" customWidth="1"/>
    <col min="4612" max="4612" width="11.109375" customWidth="1"/>
    <col min="4864" max="4864" width="2" bestFit="1" customWidth="1"/>
    <col min="4865" max="4865" width="46.33203125" customWidth="1"/>
    <col min="4867" max="4867" width="11.44140625" customWidth="1"/>
    <col min="4868" max="4868" width="11.109375" customWidth="1"/>
    <col min="5120" max="5120" width="2" bestFit="1" customWidth="1"/>
    <col min="5121" max="5121" width="46.33203125" customWidth="1"/>
    <col min="5123" max="5123" width="11.44140625" customWidth="1"/>
    <col min="5124" max="5124" width="11.109375" customWidth="1"/>
    <col min="5376" max="5376" width="2" bestFit="1" customWidth="1"/>
    <col min="5377" max="5377" width="46.33203125" customWidth="1"/>
    <col min="5379" max="5379" width="11.44140625" customWidth="1"/>
    <col min="5380" max="5380" width="11.109375" customWidth="1"/>
    <col min="5632" max="5632" width="2" bestFit="1" customWidth="1"/>
    <col min="5633" max="5633" width="46.33203125" customWidth="1"/>
    <col min="5635" max="5635" width="11.44140625" customWidth="1"/>
    <col min="5636" max="5636" width="11.109375" customWidth="1"/>
    <col min="5888" max="5888" width="2" bestFit="1" customWidth="1"/>
    <col min="5889" max="5889" width="46.33203125" customWidth="1"/>
    <col min="5891" max="5891" width="11.44140625" customWidth="1"/>
    <col min="5892" max="5892" width="11.109375" customWidth="1"/>
    <col min="6144" max="6144" width="2" bestFit="1" customWidth="1"/>
    <col min="6145" max="6145" width="46.33203125" customWidth="1"/>
    <col min="6147" max="6147" width="11.44140625" customWidth="1"/>
    <col min="6148" max="6148" width="11.109375" customWidth="1"/>
    <col min="6400" max="6400" width="2" bestFit="1" customWidth="1"/>
    <col min="6401" max="6401" width="46.33203125" customWidth="1"/>
    <col min="6403" max="6403" width="11.44140625" customWidth="1"/>
    <col min="6404" max="6404" width="11.109375" customWidth="1"/>
    <col min="6656" max="6656" width="2" bestFit="1" customWidth="1"/>
    <col min="6657" max="6657" width="46.33203125" customWidth="1"/>
    <col min="6659" max="6659" width="11.44140625" customWidth="1"/>
    <col min="6660" max="6660" width="11.109375" customWidth="1"/>
    <col min="6912" max="6912" width="2" bestFit="1" customWidth="1"/>
    <col min="6913" max="6913" width="46.33203125" customWidth="1"/>
    <col min="6915" max="6915" width="11.44140625" customWidth="1"/>
    <col min="6916" max="6916" width="11.109375" customWidth="1"/>
    <col min="7168" max="7168" width="2" bestFit="1" customWidth="1"/>
    <col min="7169" max="7169" width="46.33203125" customWidth="1"/>
    <col min="7171" max="7171" width="11.44140625" customWidth="1"/>
    <col min="7172" max="7172" width="11.109375" customWidth="1"/>
    <col min="7424" max="7424" width="2" bestFit="1" customWidth="1"/>
    <col min="7425" max="7425" width="46.33203125" customWidth="1"/>
    <col min="7427" max="7427" width="11.44140625" customWidth="1"/>
    <col min="7428" max="7428" width="11.109375" customWidth="1"/>
    <col min="7680" max="7680" width="2" bestFit="1" customWidth="1"/>
    <col min="7681" max="7681" width="46.33203125" customWidth="1"/>
    <col min="7683" max="7683" width="11.44140625" customWidth="1"/>
    <col min="7684" max="7684" width="11.109375" customWidth="1"/>
    <col min="7936" max="7936" width="2" bestFit="1" customWidth="1"/>
    <col min="7937" max="7937" width="46.33203125" customWidth="1"/>
    <col min="7939" max="7939" width="11.44140625" customWidth="1"/>
    <col min="7940" max="7940" width="11.109375" customWidth="1"/>
    <col min="8192" max="8192" width="2" bestFit="1" customWidth="1"/>
    <col min="8193" max="8193" width="46.33203125" customWidth="1"/>
    <col min="8195" max="8195" width="11.44140625" customWidth="1"/>
    <col min="8196" max="8196" width="11.109375" customWidth="1"/>
    <col min="8448" max="8448" width="2" bestFit="1" customWidth="1"/>
    <col min="8449" max="8449" width="46.33203125" customWidth="1"/>
    <col min="8451" max="8451" width="11.44140625" customWidth="1"/>
    <col min="8452" max="8452" width="11.109375" customWidth="1"/>
    <col min="8704" max="8704" width="2" bestFit="1" customWidth="1"/>
    <col min="8705" max="8705" width="46.33203125" customWidth="1"/>
    <col min="8707" max="8707" width="11.44140625" customWidth="1"/>
    <col min="8708" max="8708" width="11.109375" customWidth="1"/>
    <col min="8960" max="8960" width="2" bestFit="1" customWidth="1"/>
    <col min="8961" max="8961" width="46.33203125" customWidth="1"/>
    <col min="8963" max="8963" width="11.44140625" customWidth="1"/>
    <col min="8964" max="8964" width="11.109375" customWidth="1"/>
    <col min="9216" max="9216" width="2" bestFit="1" customWidth="1"/>
    <col min="9217" max="9217" width="46.33203125" customWidth="1"/>
    <col min="9219" max="9219" width="11.44140625" customWidth="1"/>
    <col min="9220" max="9220" width="11.109375" customWidth="1"/>
    <col min="9472" max="9472" width="2" bestFit="1" customWidth="1"/>
    <col min="9473" max="9473" width="46.33203125" customWidth="1"/>
    <col min="9475" max="9475" width="11.44140625" customWidth="1"/>
    <col min="9476" max="9476" width="11.109375" customWidth="1"/>
    <col min="9728" max="9728" width="2" bestFit="1" customWidth="1"/>
    <col min="9729" max="9729" width="46.33203125" customWidth="1"/>
    <col min="9731" max="9731" width="11.44140625" customWidth="1"/>
    <col min="9732" max="9732" width="11.109375" customWidth="1"/>
    <col min="9984" max="9984" width="2" bestFit="1" customWidth="1"/>
    <col min="9985" max="9985" width="46.33203125" customWidth="1"/>
    <col min="9987" max="9987" width="11.44140625" customWidth="1"/>
    <col min="9988" max="9988" width="11.109375" customWidth="1"/>
    <col min="10240" max="10240" width="2" bestFit="1" customWidth="1"/>
    <col min="10241" max="10241" width="46.33203125" customWidth="1"/>
    <col min="10243" max="10243" width="11.44140625" customWidth="1"/>
    <col min="10244" max="10244" width="11.109375" customWidth="1"/>
    <col min="10496" max="10496" width="2" bestFit="1" customWidth="1"/>
    <col min="10497" max="10497" width="46.33203125" customWidth="1"/>
    <col min="10499" max="10499" width="11.44140625" customWidth="1"/>
    <col min="10500" max="10500" width="11.109375" customWidth="1"/>
    <col min="10752" max="10752" width="2" bestFit="1" customWidth="1"/>
    <col min="10753" max="10753" width="46.33203125" customWidth="1"/>
    <col min="10755" max="10755" width="11.44140625" customWidth="1"/>
    <col min="10756" max="10756" width="11.109375" customWidth="1"/>
    <col min="11008" max="11008" width="2" bestFit="1" customWidth="1"/>
    <col min="11009" max="11009" width="46.33203125" customWidth="1"/>
    <col min="11011" max="11011" width="11.44140625" customWidth="1"/>
    <col min="11012" max="11012" width="11.109375" customWidth="1"/>
    <col min="11264" max="11264" width="2" bestFit="1" customWidth="1"/>
    <col min="11265" max="11265" width="46.33203125" customWidth="1"/>
    <col min="11267" max="11267" width="11.44140625" customWidth="1"/>
    <col min="11268" max="11268" width="11.109375" customWidth="1"/>
    <col min="11520" max="11520" width="2" bestFit="1" customWidth="1"/>
    <col min="11521" max="11521" width="46.33203125" customWidth="1"/>
    <col min="11523" max="11523" width="11.44140625" customWidth="1"/>
    <col min="11524" max="11524" width="11.109375" customWidth="1"/>
    <col min="11776" max="11776" width="2" bestFit="1" customWidth="1"/>
    <col min="11777" max="11777" width="46.33203125" customWidth="1"/>
    <col min="11779" max="11779" width="11.44140625" customWidth="1"/>
    <col min="11780" max="11780" width="11.109375" customWidth="1"/>
    <col min="12032" max="12032" width="2" bestFit="1" customWidth="1"/>
    <col min="12033" max="12033" width="46.33203125" customWidth="1"/>
    <col min="12035" max="12035" width="11.44140625" customWidth="1"/>
    <col min="12036" max="12036" width="11.109375" customWidth="1"/>
    <col min="12288" max="12288" width="2" bestFit="1" customWidth="1"/>
    <col min="12289" max="12289" width="46.33203125" customWidth="1"/>
    <col min="12291" max="12291" width="11.44140625" customWidth="1"/>
    <col min="12292" max="12292" width="11.109375" customWidth="1"/>
    <col min="12544" max="12544" width="2" bestFit="1" customWidth="1"/>
    <col min="12545" max="12545" width="46.33203125" customWidth="1"/>
    <col min="12547" max="12547" width="11.44140625" customWidth="1"/>
    <col min="12548" max="12548" width="11.109375" customWidth="1"/>
    <col min="12800" max="12800" width="2" bestFit="1" customWidth="1"/>
    <col min="12801" max="12801" width="46.33203125" customWidth="1"/>
    <col min="12803" max="12803" width="11.44140625" customWidth="1"/>
    <col min="12804" max="12804" width="11.109375" customWidth="1"/>
    <col min="13056" max="13056" width="2" bestFit="1" customWidth="1"/>
    <col min="13057" max="13057" width="46.33203125" customWidth="1"/>
    <col min="13059" max="13059" width="11.44140625" customWidth="1"/>
    <col min="13060" max="13060" width="11.109375" customWidth="1"/>
    <col min="13312" max="13312" width="2" bestFit="1" customWidth="1"/>
    <col min="13313" max="13313" width="46.33203125" customWidth="1"/>
    <col min="13315" max="13315" width="11.44140625" customWidth="1"/>
    <col min="13316" max="13316" width="11.109375" customWidth="1"/>
    <col min="13568" max="13568" width="2" bestFit="1" customWidth="1"/>
    <col min="13569" max="13569" width="46.33203125" customWidth="1"/>
    <col min="13571" max="13571" width="11.44140625" customWidth="1"/>
    <col min="13572" max="13572" width="11.109375" customWidth="1"/>
    <col min="13824" max="13824" width="2" bestFit="1" customWidth="1"/>
    <col min="13825" max="13825" width="46.33203125" customWidth="1"/>
    <col min="13827" max="13827" width="11.44140625" customWidth="1"/>
    <col min="13828" max="13828" width="11.109375" customWidth="1"/>
    <col min="14080" max="14080" width="2" bestFit="1" customWidth="1"/>
    <col min="14081" max="14081" width="46.33203125" customWidth="1"/>
    <col min="14083" max="14083" width="11.44140625" customWidth="1"/>
    <col min="14084" max="14084" width="11.109375" customWidth="1"/>
    <col min="14336" max="14336" width="2" bestFit="1" customWidth="1"/>
    <col min="14337" max="14337" width="46.33203125" customWidth="1"/>
    <col min="14339" max="14339" width="11.44140625" customWidth="1"/>
    <col min="14340" max="14340" width="11.109375" customWidth="1"/>
    <col min="14592" max="14592" width="2" bestFit="1" customWidth="1"/>
    <col min="14593" max="14593" width="46.33203125" customWidth="1"/>
    <col min="14595" max="14595" width="11.44140625" customWidth="1"/>
    <col min="14596" max="14596" width="11.109375" customWidth="1"/>
    <col min="14848" max="14848" width="2" bestFit="1" customWidth="1"/>
    <col min="14849" max="14849" width="46.33203125" customWidth="1"/>
    <col min="14851" max="14851" width="11.44140625" customWidth="1"/>
    <col min="14852" max="14852" width="11.109375" customWidth="1"/>
    <col min="15104" max="15104" width="2" bestFit="1" customWidth="1"/>
    <col min="15105" max="15105" width="46.33203125" customWidth="1"/>
    <col min="15107" max="15107" width="11.44140625" customWidth="1"/>
    <col min="15108" max="15108" width="11.109375" customWidth="1"/>
    <col min="15360" max="15360" width="2" bestFit="1" customWidth="1"/>
    <col min="15361" max="15361" width="46.33203125" customWidth="1"/>
    <col min="15363" max="15363" width="11.44140625" customWidth="1"/>
    <col min="15364" max="15364" width="11.109375" customWidth="1"/>
    <col min="15616" max="15616" width="2" bestFit="1" customWidth="1"/>
    <col min="15617" max="15617" width="46.33203125" customWidth="1"/>
    <col min="15619" max="15619" width="11.44140625" customWidth="1"/>
    <col min="15620" max="15620" width="11.109375" customWidth="1"/>
    <col min="15872" max="15872" width="2" bestFit="1" customWidth="1"/>
    <col min="15873" max="15873" width="46.33203125" customWidth="1"/>
    <col min="15875" max="15875" width="11.44140625" customWidth="1"/>
    <col min="15876" max="15876" width="11.109375" customWidth="1"/>
    <col min="16128" max="16128" width="2" bestFit="1" customWidth="1"/>
    <col min="16129" max="16129" width="46.33203125" customWidth="1"/>
    <col min="16131" max="16131" width="11.44140625" customWidth="1"/>
    <col min="16132" max="16132" width="11.109375" customWidth="1"/>
  </cols>
  <sheetData>
    <row r="1" spans="1:2" x14ac:dyDescent="0.3">
      <c r="A1" s="25" t="s">
        <v>48</v>
      </c>
      <c r="B1" s="25"/>
    </row>
    <row r="2" spans="1:2" x14ac:dyDescent="0.3">
      <c r="A2" s="6" t="s">
        <v>165</v>
      </c>
      <c r="B2" s="1">
        <v>0.12</v>
      </c>
    </row>
    <row r="3" spans="1:2" x14ac:dyDescent="0.3">
      <c r="A3" s="6" t="s">
        <v>50</v>
      </c>
      <c r="B3" s="1">
        <v>12</v>
      </c>
    </row>
    <row r="4" spans="1:2" x14ac:dyDescent="0.3">
      <c r="A4" s="6" t="s">
        <v>166</v>
      </c>
      <c r="B4" s="31"/>
    </row>
    <row r="5" spans="1:2" x14ac:dyDescent="0.3">
      <c r="A5" s="6" t="s">
        <v>167</v>
      </c>
      <c r="B5" s="2"/>
    </row>
    <row r="6" spans="1:2" x14ac:dyDescent="0.3">
      <c r="A6"/>
    </row>
    <row r="7" spans="1:2" x14ac:dyDescent="0.3">
      <c r="A7" s="90" t="s">
        <v>164</v>
      </c>
    </row>
    <row r="8" spans="1:2" x14ac:dyDescent="0.3">
      <c r="A8" s="1" t="s">
        <v>168</v>
      </c>
      <c r="B8" s="1">
        <v>-1000</v>
      </c>
    </row>
    <row r="9" spans="1:2" x14ac:dyDescent="0.3">
      <c r="A9" s="1" t="str">
        <f>"FV APR &amp; n = "&amp;B3</f>
        <v>FV APR &amp; n = 12</v>
      </c>
      <c r="B9" s="86"/>
    </row>
    <row r="10" spans="1:2" x14ac:dyDescent="0.3">
      <c r="A10" s="1" t="str">
        <f>"FV EAR &amp; n = 1"</f>
        <v>FV EAR &amp; n = 1</v>
      </c>
      <c r="B10" s="86"/>
    </row>
    <row r="11" spans="1:2" x14ac:dyDescent="0.3">
      <c r="A11"/>
    </row>
    <row r="12" spans="1:2" x14ac:dyDescent="0.3">
      <c r="A12"/>
    </row>
    <row r="13" spans="1:2" x14ac:dyDescent="0.3">
      <c r="A13"/>
    </row>
    <row r="14" spans="1:2" x14ac:dyDescent="0.3">
      <c r="A14"/>
    </row>
    <row r="15" spans="1:2" x14ac:dyDescent="0.3">
      <c r="A15"/>
    </row>
    <row r="16" spans="1:2" ht="3" customHeight="1" x14ac:dyDescent="0.3">
      <c r="A16"/>
    </row>
    <row r="17" spans="1:1" x14ac:dyDescent="0.3">
      <c r="A17"/>
    </row>
    <row r="18" spans="1:1" x14ac:dyDescent="0.3">
      <c r="A1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B18"/>
  <sheetViews>
    <sheetView zoomScale="145" zoomScaleNormal="145" workbookViewId="0"/>
  </sheetViews>
  <sheetFormatPr defaultRowHeight="14.4" x14ac:dyDescent="0.3"/>
  <cols>
    <col min="1" max="1" width="46.33203125" style="7" customWidth="1"/>
    <col min="2" max="2" width="11" bestFit="1" customWidth="1"/>
    <col min="3" max="3" width="11.44140625" customWidth="1"/>
    <col min="4" max="4" width="14.44140625" bestFit="1" customWidth="1"/>
    <col min="5" max="5" width="10.21875" bestFit="1" customWidth="1"/>
    <col min="256" max="256" width="2" bestFit="1" customWidth="1"/>
    <col min="257" max="257" width="46.33203125" customWidth="1"/>
    <col min="259" max="259" width="11.44140625" customWidth="1"/>
    <col min="260" max="260" width="11.109375" customWidth="1"/>
    <col min="512" max="512" width="2" bestFit="1" customWidth="1"/>
    <col min="513" max="513" width="46.33203125" customWidth="1"/>
    <col min="515" max="515" width="11.44140625" customWidth="1"/>
    <col min="516" max="516" width="11.109375" customWidth="1"/>
    <col min="768" max="768" width="2" bestFit="1" customWidth="1"/>
    <col min="769" max="769" width="46.33203125" customWidth="1"/>
    <col min="771" max="771" width="11.44140625" customWidth="1"/>
    <col min="772" max="772" width="11.109375" customWidth="1"/>
    <col min="1024" max="1024" width="2" bestFit="1" customWidth="1"/>
    <col min="1025" max="1025" width="46.33203125" customWidth="1"/>
    <col min="1027" max="1027" width="11.44140625" customWidth="1"/>
    <col min="1028" max="1028" width="11.109375" customWidth="1"/>
    <col min="1280" max="1280" width="2" bestFit="1" customWidth="1"/>
    <col min="1281" max="1281" width="46.33203125" customWidth="1"/>
    <col min="1283" max="1283" width="11.44140625" customWidth="1"/>
    <col min="1284" max="1284" width="11.109375" customWidth="1"/>
    <col min="1536" max="1536" width="2" bestFit="1" customWidth="1"/>
    <col min="1537" max="1537" width="46.33203125" customWidth="1"/>
    <col min="1539" max="1539" width="11.44140625" customWidth="1"/>
    <col min="1540" max="1540" width="11.109375" customWidth="1"/>
    <col min="1792" max="1792" width="2" bestFit="1" customWidth="1"/>
    <col min="1793" max="1793" width="46.33203125" customWidth="1"/>
    <col min="1795" max="1795" width="11.44140625" customWidth="1"/>
    <col min="1796" max="1796" width="11.109375" customWidth="1"/>
    <col min="2048" max="2048" width="2" bestFit="1" customWidth="1"/>
    <col min="2049" max="2049" width="46.33203125" customWidth="1"/>
    <col min="2051" max="2051" width="11.44140625" customWidth="1"/>
    <col min="2052" max="2052" width="11.109375" customWidth="1"/>
    <col min="2304" max="2304" width="2" bestFit="1" customWidth="1"/>
    <col min="2305" max="2305" width="46.33203125" customWidth="1"/>
    <col min="2307" max="2307" width="11.44140625" customWidth="1"/>
    <col min="2308" max="2308" width="11.109375" customWidth="1"/>
    <col min="2560" max="2560" width="2" bestFit="1" customWidth="1"/>
    <col min="2561" max="2561" width="46.33203125" customWidth="1"/>
    <col min="2563" max="2563" width="11.44140625" customWidth="1"/>
    <col min="2564" max="2564" width="11.109375" customWidth="1"/>
    <col min="2816" max="2816" width="2" bestFit="1" customWidth="1"/>
    <col min="2817" max="2817" width="46.33203125" customWidth="1"/>
    <col min="2819" max="2819" width="11.44140625" customWidth="1"/>
    <col min="2820" max="2820" width="11.109375" customWidth="1"/>
    <col min="3072" max="3072" width="2" bestFit="1" customWidth="1"/>
    <col min="3073" max="3073" width="46.33203125" customWidth="1"/>
    <col min="3075" max="3075" width="11.44140625" customWidth="1"/>
    <col min="3076" max="3076" width="11.109375" customWidth="1"/>
    <col min="3328" max="3328" width="2" bestFit="1" customWidth="1"/>
    <col min="3329" max="3329" width="46.33203125" customWidth="1"/>
    <col min="3331" max="3331" width="11.44140625" customWidth="1"/>
    <col min="3332" max="3332" width="11.109375" customWidth="1"/>
    <col min="3584" max="3584" width="2" bestFit="1" customWidth="1"/>
    <col min="3585" max="3585" width="46.33203125" customWidth="1"/>
    <col min="3587" max="3587" width="11.44140625" customWidth="1"/>
    <col min="3588" max="3588" width="11.109375" customWidth="1"/>
    <col min="3840" max="3840" width="2" bestFit="1" customWidth="1"/>
    <col min="3841" max="3841" width="46.33203125" customWidth="1"/>
    <col min="3843" max="3843" width="11.44140625" customWidth="1"/>
    <col min="3844" max="3844" width="11.109375" customWidth="1"/>
    <col min="4096" max="4096" width="2" bestFit="1" customWidth="1"/>
    <col min="4097" max="4097" width="46.33203125" customWidth="1"/>
    <col min="4099" max="4099" width="11.44140625" customWidth="1"/>
    <col min="4100" max="4100" width="11.109375" customWidth="1"/>
    <col min="4352" max="4352" width="2" bestFit="1" customWidth="1"/>
    <col min="4353" max="4353" width="46.33203125" customWidth="1"/>
    <col min="4355" max="4355" width="11.44140625" customWidth="1"/>
    <col min="4356" max="4356" width="11.109375" customWidth="1"/>
    <col min="4608" max="4608" width="2" bestFit="1" customWidth="1"/>
    <col min="4609" max="4609" width="46.33203125" customWidth="1"/>
    <col min="4611" max="4611" width="11.44140625" customWidth="1"/>
    <col min="4612" max="4612" width="11.109375" customWidth="1"/>
    <col min="4864" max="4864" width="2" bestFit="1" customWidth="1"/>
    <col min="4865" max="4865" width="46.33203125" customWidth="1"/>
    <col min="4867" max="4867" width="11.44140625" customWidth="1"/>
    <col min="4868" max="4868" width="11.109375" customWidth="1"/>
    <col min="5120" max="5120" width="2" bestFit="1" customWidth="1"/>
    <col min="5121" max="5121" width="46.33203125" customWidth="1"/>
    <col min="5123" max="5123" width="11.44140625" customWidth="1"/>
    <col min="5124" max="5124" width="11.109375" customWidth="1"/>
    <col min="5376" max="5376" width="2" bestFit="1" customWidth="1"/>
    <col min="5377" max="5377" width="46.33203125" customWidth="1"/>
    <col min="5379" max="5379" width="11.44140625" customWidth="1"/>
    <col min="5380" max="5380" width="11.109375" customWidth="1"/>
    <col min="5632" max="5632" width="2" bestFit="1" customWidth="1"/>
    <col min="5633" max="5633" width="46.33203125" customWidth="1"/>
    <col min="5635" max="5635" width="11.44140625" customWidth="1"/>
    <col min="5636" max="5636" width="11.109375" customWidth="1"/>
    <col min="5888" max="5888" width="2" bestFit="1" customWidth="1"/>
    <col min="5889" max="5889" width="46.33203125" customWidth="1"/>
    <col min="5891" max="5891" width="11.44140625" customWidth="1"/>
    <col min="5892" max="5892" width="11.109375" customWidth="1"/>
    <col min="6144" max="6144" width="2" bestFit="1" customWidth="1"/>
    <col min="6145" max="6145" width="46.33203125" customWidth="1"/>
    <col min="6147" max="6147" width="11.44140625" customWidth="1"/>
    <col min="6148" max="6148" width="11.109375" customWidth="1"/>
    <col min="6400" max="6400" width="2" bestFit="1" customWidth="1"/>
    <col min="6401" max="6401" width="46.33203125" customWidth="1"/>
    <col min="6403" max="6403" width="11.44140625" customWidth="1"/>
    <col min="6404" max="6404" width="11.109375" customWidth="1"/>
    <col min="6656" max="6656" width="2" bestFit="1" customWidth="1"/>
    <col min="6657" max="6657" width="46.33203125" customWidth="1"/>
    <col min="6659" max="6659" width="11.44140625" customWidth="1"/>
    <col min="6660" max="6660" width="11.109375" customWidth="1"/>
    <col min="6912" max="6912" width="2" bestFit="1" customWidth="1"/>
    <col min="6913" max="6913" width="46.33203125" customWidth="1"/>
    <col min="6915" max="6915" width="11.44140625" customWidth="1"/>
    <col min="6916" max="6916" width="11.109375" customWidth="1"/>
    <col min="7168" max="7168" width="2" bestFit="1" customWidth="1"/>
    <col min="7169" max="7169" width="46.33203125" customWidth="1"/>
    <col min="7171" max="7171" width="11.44140625" customWidth="1"/>
    <col min="7172" max="7172" width="11.109375" customWidth="1"/>
    <col min="7424" max="7424" width="2" bestFit="1" customWidth="1"/>
    <col min="7425" max="7425" width="46.33203125" customWidth="1"/>
    <col min="7427" max="7427" width="11.44140625" customWidth="1"/>
    <col min="7428" max="7428" width="11.109375" customWidth="1"/>
    <col min="7680" max="7680" width="2" bestFit="1" customWidth="1"/>
    <col min="7681" max="7681" width="46.33203125" customWidth="1"/>
    <col min="7683" max="7683" width="11.44140625" customWidth="1"/>
    <col min="7684" max="7684" width="11.109375" customWidth="1"/>
    <col min="7936" max="7936" width="2" bestFit="1" customWidth="1"/>
    <col min="7937" max="7937" width="46.33203125" customWidth="1"/>
    <col min="7939" max="7939" width="11.44140625" customWidth="1"/>
    <col min="7940" max="7940" width="11.109375" customWidth="1"/>
    <col min="8192" max="8192" width="2" bestFit="1" customWidth="1"/>
    <col min="8193" max="8193" width="46.33203125" customWidth="1"/>
    <col min="8195" max="8195" width="11.44140625" customWidth="1"/>
    <col min="8196" max="8196" width="11.109375" customWidth="1"/>
    <col min="8448" max="8448" width="2" bestFit="1" customWidth="1"/>
    <col min="8449" max="8449" width="46.33203125" customWidth="1"/>
    <col min="8451" max="8451" width="11.44140625" customWidth="1"/>
    <col min="8452" max="8452" width="11.109375" customWidth="1"/>
    <col min="8704" max="8704" width="2" bestFit="1" customWidth="1"/>
    <col min="8705" max="8705" width="46.33203125" customWidth="1"/>
    <col min="8707" max="8707" width="11.44140625" customWidth="1"/>
    <col min="8708" max="8708" width="11.109375" customWidth="1"/>
    <col min="8960" max="8960" width="2" bestFit="1" customWidth="1"/>
    <col min="8961" max="8961" width="46.33203125" customWidth="1"/>
    <col min="8963" max="8963" width="11.44140625" customWidth="1"/>
    <col min="8964" max="8964" width="11.109375" customWidth="1"/>
    <col min="9216" max="9216" width="2" bestFit="1" customWidth="1"/>
    <col min="9217" max="9217" width="46.33203125" customWidth="1"/>
    <col min="9219" max="9219" width="11.44140625" customWidth="1"/>
    <col min="9220" max="9220" width="11.109375" customWidth="1"/>
    <col min="9472" max="9472" width="2" bestFit="1" customWidth="1"/>
    <col min="9473" max="9473" width="46.33203125" customWidth="1"/>
    <col min="9475" max="9475" width="11.44140625" customWidth="1"/>
    <col min="9476" max="9476" width="11.109375" customWidth="1"/>
    <col min="9728" max="9728" width="2" bestFit="1" customWidth="1"/>
    <col min="9729" max="9729" width="46.33203125" customWidth="1"/>
    <col min="9731" max="9731" width="11.44140625" customWidth="1"/>
    <col min="9732" max="9732" width="11.109375" customWidth="1"/>
    <col min="9984" max="9984" width="2" bestFit="1" customWidth="1"/>
    <col min="9985" max="9985" width="46.33203125" customWidth="1"/>
    <col min="9987" max="9987" width="11.44140625" customWidth="1"/>
    <col min="9988" max="9988" width="11.109375" customWidth="1"/>
    <col min="10240" max="10240" width="2" bestFit="1" customWidth="1"/>
    <col min="10241" max="10241" width="46.33203125" customWidth="1"/>
    <col min="10243" max="10243" width="11.44140625" customWidth="1"/>
    <col min="10244" max="10244" width="11.109375" customWidth="1"/>
    <col min="10496" max="10496" width="2" bestFit="1" customWidth="1"/>
    <col min="10497" max="10497" width="46.33203125" customWidth="1"/>
    <col min="10499" max="10499" width="11.44140625" customWidth="1"/>
    <col min="10500" max="10500" width="11.109375" customWidth="1"/>
    <col min="10752" max="10752" width="2" bestFit="1" customWidth="1"/>
    <col min="10753" max="10753" width="46.33203125" customWidth="1"/>
    <col min="10755" max="10755" width="11.44140625" customWidth="1"/>
    <col min="10756" max="10756" width="11.109375" customWidth="1"/>
    <col min="11008" max="11008" width="2" bestFit="1" customWidth="1"/>
    <col min="11009" max="11009" width="46.33203125" customWidth="1"/>
    <col min="11011" max="11011" width="11.44140625" customWidth="1"/>
    <col min="11012" max="11012" width="11.109375" customWidth="1"/>
    <col min="11264" max="11264" width="2" bestFit="1" customWidth="1"/>
    <col min="11265" max="11265" width="46.33203125" customWidth="1"/>
    <col min="11267" max="11267" width="11.44140625" customWidth="1"/>
    <col min="11268" max="11268" width="11.109375" customWidth="1"/>
    <col min="11520" max="11520" width="2" bestFit="1" customWidth="1"/>
    <col min="11521" max="11521" width="46.33203125" customWidth="1"/>
    <col min="11523" max="11523" width="11.44140625" customWidth="1"/>
    <col min="11524" max="11524" width="11.109375" customWidth="1"/>
    <col min="11776" max="11776" width="2" bestFit="1" customWidth="1"/>
    <col min="11777" max="11777" width="46.33203125" customWidth="1"/>
    <col min="11779" max="11779" width="11.44140625" customWidth="1"/>
    <col min="11780" max="11780" width="11.109375" customWidth="1"/>
    <col min="12032" max="12032" width="2" bestFit="1" customWidth="1"/>
    <col min="12033" max="12033" width="46.33203125" customWidth="1"/>
    <col min="12035" max="12035" width="11.44140625" customWidth="1"/>
    <col min="12036" max="12036" width="11.109375" customWidth="1"/>
    <col min="12288" max="12288" width="2" bestFit="1" customWidth="1"/>
    <col min="12289" max="12289" width="46.33203125" customWidth="1"/>
    <col min="12291" max="12291" width="11.44140625" customWidth="1"/>
    <col min="12292" max="12292" width="11.109375" customWidth="1"/>
    <col min="12544" max="12544" width="2" bestFit="1" customWidth="1"/>
    <col min="12545" max="12545" width="46.33203125" customWidth="1"/>
    <col min="12547" max="12547" width="11.44140625" customWidth="1"/>
    <col min="12548" max="12548" width="11.109375" customWidth="1"/>
    <col min="12800" max="12800" width="2" bestFit="1" customWidth="1"/>
    <col min="12801" max="12801" width="46.33203125" customWidth="1"/>
    <col min="12803" max="12803" width="11.44140625" customWidth="1"/>
    <col min="12804" max="12804" width="11.109375" customWidth="1"/>
    <col min="13056" max="13056" width="2" bestFit="1" customWidth="1"/>
    <col min="13057" max="13057" width="46.33203125" customWidth="1"/>
    <col min="13059" max="13059" width="11.44140625" customWidth="1"/>
    <col min="13060" max="13060" width="11.109375" customWidth="1"/>
    <col min="13312" max="13312" width="2" bestFit="1" customWidth="1"/>
    <col min="13313" max="13313" width="46.33203125" customWidth="1"/>
    <col min="13315" max="13315" width="11.44140625" customWidth="1"/>
    <col min="13316" max="13316" width="11.109375" customWidth="1"/>
    <col min="13568" max="13568" width="2" bestFit="1" customWidth="1"/>
    <col min="13569" max="13569" width="46.33203125" customWidth="1"/>
    <col min="13571" max="13571" width="11.44140625" customWidth="1"/>
    <col min="13572" max="13572" width="11.109375" customWidth="1"/>
    <col min="13824" max="13824" width="2" bestFit="1" customWidth="1"/>
    <col min="13825" max="13825" width="46.33203125" customWidth="1"/>
    <col min="13827" max="13827" width="11.44140625" customWidth="1"/>
    <col min="13828" max="13828" width="11.109375" customWidth="1"/>
    <col min="14080" max="14080" width="2" bestFit="1" customWidth="1"/>
    <col min="14081" max="14081" width="46.33203125" customWidth="1"/>
    <col min="14083" max="14083" width="11.44140625" customWidth="1"/>
    <col min="14084" max="14084" width="11.109375" customWidth="1"/>
    <col min="14336" max="14336" width="2" bestFit="1" customWidth="1"/>
    <col min="14337" max="14337" width="46.33203125" customWidth="1"/>
    <col min="14339" max="14339" width="11.44140625" customWidth="1"/>
    <col min="14340" max="14340" width="11.109375" customWidth="1"/>
    <col min="14592" max="14592" width="2" bestFit="1" customWidth="1"/>
    <col min="14593" max="14593" width="46.33203125" customWidth="1"/>
    <col min="14595" max="14595" width="11.44140625" customWidth="1"/>
    <col min="14596" max="14596" width="11.109375" customWidth="1"/>
    <col min="14848" max="14848" width="2" bestFit="1" customWidth="1"/>
    <col min="14849" max="14849" width="46.33203125" customWidth="1"/>
    <col min="14851" max="14851" width="11.44140625" customWidth="1"/>
    <col min="14852" max="14852" width="11.109375" customWidth="1"/>
    <col min="15104" max="15104" width="2" bestFit="1" customWidth="1"/>
    <col min="15105" max="15105" width="46.33203125" customWidth="1"/>
    <col min="15107" max="15107" width="11.44140625" customWidth="1"/>
    <col min="15108" max="15108" width="11.109375" customWidth="1"/>
    <col min="15360" max="15360" width="2" bestFit="1" customWidth="1"/>
    <col min="15361" max="15361" width="46.33203125" customWidth="1"/>
    <col min="15363" max="15363" width="11.44140625" customWidth="1"/>
    <col min="15364" max="15364" width="11.109375" customWidth="1"/>
    <col min="15616" max="15616" width="2" bestFit="1" customWidth="1"/>
    <col min="15617" max="15617" width="46.33203125" customWidth="1"/>
    <col min="15619" max="15619" width="11.44140625" customWidth="1"/>
    <col min="15620" max="15620" width="11.109375" customWidth="1"/>
    <col min="15872" max="15872" width="2" bestFit="1" customWidth="1"/>
    <col min="15873" max="15873" width="46.33203125" customWidth="1"/>
    <col min="15875" max="15875" width="11.44140625" customWidth="1"/>
    <col min="15876" max="15876" width="11.109375" customWidth="1"/>
    <col min="16128" max="16128" width="2" bestFit="1" customWidth="1"/>
    <col min="16129" max="16129" width="46.33203125" customWidth="1"/>
    <col min="16131" max="16131" width="11.44140625" customWidth="1"/>
    <col min="16132" max="16132" width="11.109375" customWidth="1"/>
  </cols>
  <sheetData>
    <row r="1" spans="1:2" x14ac:dyDescent="0.3">
      <c r="A1" s="25" t="s">
        <v>48</v>
      </c>
      <c r="B1" s="25"/>
    </row>
    <row r="2" spans="1:2" x14ac:dyDescent="0.3">
      <c r="A2" s="6" t="s">
        <v>165</v>
      </c>
      <c r="B2" s="1">
        <v>0.12</v>
      </c>
    </row>
    <row r="3" spans="1:2" x14ac:dyDescent="0.3">
      <c r="A3" s="6" t="s">
        <v>50</v>
      </c>
      <c r="B3" s="1">
        <v>12</v>
      </c>
    </row>
    <row r="4" spans="1:2" x14ac:dyDescent="0.3">
      <c r="A4" s="6" t="s">
        <v>166</v>
      </c>
      <c r="B4" s="31">
        <f>B2/B3</f>
        <v>0.01</v>
      </c>
    </row>
    <row r="5" spans="1:2" x14ac:dyDescent="0.3">
      <c r="A5" s="6" t="s">
        <v>167</v>
      </c>
      <c r="B5" s="2">
        <f>(1+B4)^B3-1</f>
        <v>0.12682503013196977</v>
      </c>
    </row>
    <row r="6" spans="1:2" x14ac:dyDescent="0.3">
      <c r="A6"/>
    </row>
    <row r="7" spans="1:2" x14ac:dyDescent="0.3">
      <c r="A7" s="90" t="s">
        <v>164</v>
      </c>
    </row>
    <row r="8" spans="1:2" x14ac:dyDescent="0.3">
      <c r="A8" s="1" t="s">
        <v>168</v>
      </c>
      <c r="B8" s="1">
        <v>-1000</v>
      </c>
    </row>
    <row r="9" spans="1:2" x14ac:dyDescent="0.3">
      <c r="A9" s="1" t="str">
        <f>"FV APR &amp; n = "&amp;B3</f>
        <v>FV APR &amp; n = 12</v>
      </c>
      <c r="B9" s="86">
        <f>FV(B4,B3,,B8)</f>
        <v>1126.8250301319697</v>
      </c>
    </row>
    <row r="10" spans="1:2" x14ac:dyDescent="0.3">
      <c r="A10" s="1" t="str">
        <f>"FV EAR &amp; n = 1"</f>
        <v>FV EAR &amp; n = 1</v>
      </c>
      <c r="B10" s="86">
        <f>FV(B5,1,,B8)</f>
        <v>1126.8250301319697</v>
      </c>
    </row>
    <row r="11" spans="1:2" x14ac:dyDescent="0.3">
      <c r="A11"/>
    </row>
    <row r="12" spans="1:2" x14ac:dyDescent="0.3">
      <c r="A12"/>
    </row>
    <row r="13" spans="1:2" x14ac:dyDescent="0.3">
      <c r="A13"/>
    </row>
    <row r="14" spans="1:2" x14ac:dyDescent="0.3">
      <c r="A14"/>
    </row>
    <row r="15" spans="1:2" x14ac:dyDescent="0.3">
      <c r="A15"/>
    </row>
    <row r="16" spans="1:2" ht="3" customHeight="1" x14ac:dyDescent="0.3">
      <c r="A16"/>
    </row>
    <row r="17" spans="1:1" x14ac:dyDescent="0.3">
      <c r="A17"/>
    </row>
    <row r="18" spans="1:1" x14ac:dyDescent="0.3">
      <c r="A18"/>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FF"/>
  </sheetPr>
  <dimension ref="A1:B10"/>
  <sheetViews>
    <sheetView zoomScale="130" zoomScaleNormal="130" workbookViewId="0"/>
  </sheetViews>
  <sheetFormatPr defaultRowHeight="14.4" x14ac:dyDescent="0.3"/>
  <cols>
    <col min="1" max="1" width="18.5546875" customWidth="1"/>
    <col min="2" max="2" width="19.33203125" customWidth="1"/>
    <col min="257" max="258" width="18.5546875" customWidth="1"/>
    <col min="513" max="514" width="18.5546875" customWidth="1"/>
    <col min="769" max="770" width="18.5546875" customWidth="1"/>
    <col min="1025" max="1026" width="18.5546875" customWidth="1"/>
    <col min="1281" max="1282" width="18.5546875" customWidth="1"/>
    <col min="1537" max="1538" width="18.5546875" customWidth="1"/>
    <col min="1793" max="1794" width="18.5546875" customWidth="1"/>
    <col min="2049" max="2050" width="18.5546875" customWidth="1"/>
    <col min="2305" max="2306" width="18.5546875" customWidth="1"/>
    <col min="2561" max="2562" width="18.5546875" customWidth="1"/>
    <col min="2817" max="2818" width="18.5546875" customWidth="1"/>
    <col min="3073" max="3074" width="18.5546875" customWidth="1"/>
    <col min="3329" max="3330" width="18.5546875" customWidth="1"/>
    <col min="3585" max="3586" width="18.5546875" customWidth="1"/>
    <col min="3841" max="3842" width="18.5546875" customWidth="1"/>
    <col min="4097" max="4098" width="18.5546875" customWidth="1"/>
    <col min="4353" max="4354" width="18.5546875" customWidth="1"/>
    <col min="4609" max="4610" width="18.5546875" customWidth="1"/>
    <col min="4865" max="4866" width="18.5546875" customWidth="1"/>
    <col min="5121" max="5122" width="18.5546875" customWidth="1"/>
    <col min="5377" max="5378" width="18.5546875" customWidth="1"/>
    <col min="5633" max="5634" width="18.5546875" customWidth="1"/>
    <col min="5889" max="5890" width="18.5546875" customWidth="1"/>
    <col min="6145" max="6146" width="18.5546875" customWidth="1"/>
    <col min="6401" max="6402" width="18.5546875" customWidth="1"/>
    <col min="6657" max="6658" width="18.5546875" customWidth="1"/>
    <col min="6913" max="6914" width="18.5546875" customWidth="1"/>
    <col min="7169" max="7170" width="18.5546875" customWidth="1"/>
    <col min="7425" max="7426" width="18.5546875" customWidth="1"/>
    <col min="7681" max="7682" width="18.5546875" customWidth="1"/>
    <col min="7937" max="7938" width="18.5546875" customWidth="1"/>
    <col min="8193" max="8194" width="18.5546875" customWidth="1"/>
    <col min="8449" max="8450" width="18.5546875" customWidth="1"/>
    <col min="8705" max="8706" width="18.5546875" customWidth="1"/>
    <col min="8961" max="8962" width="18.5546875" customWidth="1"/>
    <col min="9217" max="9218" width="18.5546875" customWidth="1"/>
    <col min="9473" max="9474" width="18.5546875" customWidth="1"/>
    <col min="9729" max="9730" width="18.5546875" customWidth="1"/>
    <col min="9985" max="9986" width="18.5546875" customWidth="1"/>
    <col min="10241" max="10242" width="18.5546875" customWidth="1"/>
    <col min="10497" max="10498" width="18.5546875" customWidth="1"/>
    <col min="10753" max="10754" width="18.5546875" customWidth="1"/>
    <col min="11009" max="11010" width="18.5546875" customWidth="1"/>
    <col min="11265" max="11266" width="18.5546875" customWidth="1"/>
    <col min="11521" max="11522" width="18.5546875" customWidth="1"/>
    <col min="11777" max="11778" width="18.5546875" customWidth="1"/>
    <col min="12033" max="12034" width="18.5546875" customWidth="1"/>
    <col min="12289" max="12290" width="18.5546875" customWidth="1"/>
    <col min="12545" max="12546" width="18.5546875" customWidth="1"/>
    <col min="12801" max="12802" width="18.5546875" customWidth="1"/>
    <col min="13057" max="13058" width="18.5546875" customWidth="1"/>
    <col min="13313" max="13314" width="18.5546875" customWidth="1"/>
    <col min="13569" max="13570" width="18.5546875" customWidth="1"/>
    <col min="13825" max="13826" width="18.5546875" customWidth="1"/>
    <col min="14081" max="14082" width="18.5546875" customWidth="1"/>
    <col min="14337" max="14338" width="18.5546875" customWidth="1"/>
    <col min="14593" max="14594" width="18.5546875" customWidth="1"/>
    <col min="14849" max="14850" width="18.5546875" customWidth="1"/>
    <col min="15105" max="15106" width="18.5546875" customWidth="1"/>
    <col min="15361" max="15362" width="18.5546875" customWidth="1"/>
    <col min="15617" max="15618" width="18.5546875" customWidth="1"/>
    <col min="15873" max="15874" width="18.5546875" customWidth="1"/>
    <col min="16129" max="16130" width="18.5546875" customWidth="1"/>
  </cols>
  <sheetData>
    <row r="1" spans="1:2" ht="57.6" x14ac:dyDescent="0.3">
      <c r="A1" s="25" t="str">
        <f>"Example 17: Which APR yeilds more interest: "&amp;TEXT(B2,"0.00%")&amp;" compounded "&amp;B3&amp;" times a year, or, "&amp;TEXT(B4,"0.00%")&amp;" compounded "&amp;B5&amp;" times a year?"</f>
        <v>Example 17: Which APR yeilds more interest: 11.00% compounded 4 times a year, or, 10.75% compounded 365 times a year?</v>
      </c>
      <c r="B1" s="25"/>
    </row>
    <row r="2" spans="1:2" ht="15.6" x14ac:dyDescent="0.35">
      <c r="A2" s="6" t="s">
        <v>58</v>
      </c>
      <c r="B2" s="34">
        <v>0.11</v>
      </c>
    </row>
    <row r="3" spans="1:2" ht="15.6" x14ac:dyDescent="0.35">
      <c r="A3" s="6" t="s">
        <v>59</v>
      </c>
      <c r="B3" s="1">
        <v>4</v>
      </c>
    </row>
    <row r="4" spans="1:2" ht="15.6" x14ac:dyDescent="0.35">
      <c r="A4" s="6" t="s">
        <v>60</v>
      </c>
      <c r="B4" s="34">
        <v>0.1075</v>
      </c>
    </row>
    <row r="5" spans="1:2" ht="15.6" x14ac:dyDescent="0.35">
      <c r="A5" s="6" t="s">
        <v>61</v>
      </c>
      <c r="B5" s="1">
        <v>365</v>
      </c>
    </row>
    <row r="6" spans="1:2" ht="15.6" x14ac:dyDescent="0.35">
      <c r="A6" s="6" t="s">
        <v>62</v>
      </c>
      <c r="B6" s="31"/>
    </row>
    <row r="7" spans="1:2" ht="15.6" x14ac:dyDescent="0.35">
      <c r="A7" s="6" t="s">
        <v>63</v>
      </c>
      <c r="B7" s="31"/>
    </row>
    <row r="9" spans="1:2" ht="15.6" x14ac:dyDescent="0.35">
      <c r="A9" s="6" t="s">
        <v>62</v>
      </c>
      <c r="B9" s="31"/>
    </row>
    <row r="10" spans="1:2" ht="15.6" x14ac:dyDescent="0.35">
      <c r="A10" s="6" t="s">
        <v>63</v>
      </c>
      <c r="B10" s="3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H10"/>
  <sheetViews>
    <sheetView zoomScale="130" zoomScaleNormal="130" workbookViewId="0"/>
  </sheetViews>
  <sheetFormatPr defaultRowHeight="14.4" x14ac:dyDescent="0.3"/>
  <cols>
    <col min="1" max="2" width="18.5546875" customWidth="1"/>
    <col min="257" max="258" width="18.5546875" customWidth="1"/>
    <col min="513" max="514" width="18.5546875" customWidth="1"/>
    <col min="769" max="770" width="18.5546875" customWidth="1"/>
    <col min="1025" max="1026" width="18.5546875" customWidth="1"/>
    <col min="1281" max="1282" width="18.5546875" customWidth="1"/>
    <col min="1537" max="1538" width="18.5546875" customWidth="1"/>
    <col min="1793" max="1794" width="18.5546875" customWidth="1"/>
    <col min="2049" max="2050" width="18.5546875" customWidth="1"/>
    <col min="2305" max="2306" width="18.5546875" customWidth="1"/>
    <col min="2561" max="2562" width="18.5546875" customWidth="1"/>
    <col min="2817" max="2818" width="18.5546875" customWidth="1"/>
    <col min="3073" max="3074" width="18.5546875" customWidth="1"/>
    <col min="3329" max="3330" width="18.5546875" customWidth="1"/>
    <col min="3585" max="3586" width="18.5546875" customWidth="1"/>
    <col min="3841" max="3842" width="18.5546875" customWidth="1"/>
    <col min="4097" max="4098" width="18.5546875" customWidth="1"/>
    <col min="4353" max="4354" width="18.5546875" customWidth="1"/>
    <col min="4609" max="4610" width="18.5546875" customWidth="1"/>
    <col min="4865" max="4866" width="18.5546875" customWidth="1"/>
    <col min="5121" max="5122" width="18.5546875" customWidth="1"/>
    <col min="5377" max="5378" width="18.5546875" customWidth="1"/>
    <col min="5633" max="5634" width="18.5546875" customWidth="1"/>
    <col min="5889" max="5890" width="18.5546875" customWidth="1"/>
    <col min="6145" max="6146" width="18.5546875" customWidth="1"/>
    <col min="6401" max="6402" width="18.5546875" customWidth="1"/>
    <col min="6657" max="6658" width="18.5546875" customWidth="1"/>
    <col min="6913" max="6914" width="18.5546875" customWidth="1"/>
    <col min="7169" max="7170" width="18.5546875" customWidth="1"/>
    <col min="7425" max="7426" width="18.5546875" customWidth="1"/>
    <col min="7681" max="7682" width="18.5546875" customWidth="1"/>
    <col min="7937" max="7938" width="18.5546875" customWidth="1"/>
    <col min="8193" max="8194" width="18.5546875" customWidth="1"/>
    <col min="8449" max="8450" width="18.5546875" customWidth="1"/>
    <col min="8705" max="8706" width="18.5546875" customWidth="1"/>
    <col min="8961" max="8962" width="18.5546875" customWidth="1"/>
    <col min="9217" max="9218" width="18.5546875" customWidth="1"/>
    <col min="9473" max="9474" width="18.5546875" customWidth="1"/>
    <col min="9729" max="9730" width="18.5546875" customWidth="1"/>
    <col min="9985" max="9986" width="18.5546875" customWidth="1"/>
    <col min="10241" max="10242" width="18.5546875" customWidth="1"/>
    <col min="10497" max="10498" width="18.5546875" customWidth="1"/>
    <col min="10753" max="10754" width="18.5546875" customWidth="1"/>
    <col min="11009" max="11010" width="18.5546875" customWidth="1"/>
    <col min="11265" max="11266" width="18.5546875" customWidth="1"/>
    <col min="11521" max="11522" width="18.5546875" customWidth="1"/>
    <col min="11777" max="11778" width="18.5546875" customWidth="1"/>
    <col min="12033" max="12034" width="18.5546875" customWidth="1"/>
    <col min="12289" max="12290" width="18.5546875" customWidth="1"/>
    <col min="12545" max="12546" width="18.5546875" customWidth="1"/>
    <col min="12801" max="12802" width="18.5546875" customWidth="1"/>
    <col min="13057" max="13058" width="18.5546875" customWidth="1"/>
    <col min="13313" max="13314" width="18.5546875" customWidth="1"/>
    <col min="13569" max="13570" width="18.5546875" customWidth="1"/>
    <col min="13825" max="13826" width="18.5546875" customWidth="1"/>
    <col min="14081" max="14082" width="18.5546875" customWidth="1"/>
    <col min="14337" max="14338" width="18.5546875" customWidth="1"/>
    <col min="14593" max="14594" width="18.5546875" customWidth="1"/>
    <col min="14849" max="14850" width="18.5546875" customWidth="1"/>
    <col min="15105" max="15106" width="18.5546875" customWidth="1"/>
    <col min="15361" max="15362" width="18.5546875" customWidth="1"/>
    <col min="15617" max="15618" width="18.5546875" customWidth="1"/>
    <col min="15873" max="15874" width="18.5546875" customWidth="1"/>
    <col min="16129" max="16130" width="18.5546875" customWidth="1"/>
  </cols>
  <sheetData>
    <row r="1" spans="1:8" ht="57.6" x14ac:dyDescent="0.3">
      <c r="A1" s="25" t="str">
        <f>"Example 17: Which APR yeilds more interest: "&amp;TEXT(B2,"0.00%")&amp;" compounded "&amp;B3&amp;" times a year, or, "&amp;TEXT(B4,"0.00%")&amp;" compounded "&amp;B5&amp;" times a year?"</f>
        <v>Example 17: Which APR yeilds more interest: 11.00% compounded 4 times a year, or, 10.75% compounded 365 times a year?</v>
      </c>
      <c r="B1" s="25"/>
    </row>
    <row r="2" spans="1:8" ht="15.6" x14ac:dyDescent="0.35">
      <c r="A2" s="6" t="s">
        <v>58</v>
      </c>
      <c r="B2" s="34">
        <v>0.11</v>
      </c>
    </row>
    <row r="3" spans="1:8" ht="15.6" x14ac:dyDescent="0.35">
      <c r="A3" s="6" t="s">
        <v>59</v>
      </c>
      <c r="B3" s="1">
        <v>4</v>
      </c>
    </row>
    <row r="4" spans="1:8" ht="15.6" x14ac:dyDescent="0.35">
      <c r="A4" s="6" t="s">
        <v>60</v>
      </c>
      <c r="B4" s="34">
        <v>0.1075</v>
      </c>
    </row>
    <row r="5" spans="1:8" ht="15.6" x14ac:dyDescent="0.35">
      <c r="A5" s="6" t="s">
        <v>61</v>
      </c>
      <c r="B5" s="1">
        <v>365</v>
      </c>
    </row>
    <row r="6" spans="1:8" ht="29.4" x14ac:dyDescent="0.35">
      <c r="A6" s="6" t="s">
        <v>62</v>
      </c>
      <c r="B6" s="31">
        <f>(1+B2/B3)^B3-1</f>
        <v>0.11462125941406276</v>
      </c>
      <c r="C6" s="35" t="s">
        <v>74</v>
      </c>
      <c r="D6" s="36"/>
      <c r="E6" s="36"/>
      <c r="F6" s="36"/>
      <c r="G6" s="36"/>
      <c r="H6" s="37"/>
    </row>
    <row r="7" spans="1:8" ht="15.6" x14ac:dyDescent="0.35">
      <c r="A7" s="6" t="s">
        <v>63</v>
      </c>
      <c r="B7" s="31">
        <f>(1+B4/B5)^B5-1</f>
        <v>0.11347323725207437</v>
      </c>
    </row>
    <row r="9" spans="1:8" ht="15.6" x14ac:dyDescent="0.35">
      <c r="A9" s="6" t="s">
        <v>62</v>
      </c>
      <c r="B9" s="31">
        <f>EFFECT(B2,B3)</f>
        <v>0.11462125941406276</v>
      </c>
    </row>
    <row r="10" spans="1:8" ht="15.6" x14ac:dyDescent="0.35">
      <c r="A10" s="6" t="s">
        <v>63</v>
      </c>
      <c r="B10" s="31">
        <f>EFFECT(B4,B5)</f>
        <v>0.11347323725207437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G13"/>
  <sheetViews>
    <sheetView zoomScale="130" zoomScaleNormal="130" workbookViewId="0"/>
  </sheetViews>
  <sheetFormatPr defaultRowHeight="14.4" x14ac:dyDescent="0.3"/>
  <cols>
    <col min="1" max="1" width="27.33203125" bestFit="1" customWidth="1"/>
    <col min="2" max="2" width="14.88671875" customWidth="1"/>
    <col min="257" max="257" width="27.33203125" bestFit="1" customWidth="1"/>
    <col min="258" max="258" width="10.6640625" bestFit="1" customWidth="1"/>
    <col min="513" max="513" width="27.33203125" bestFit="1" customWidth="1"/>
    <col min="514" max="514" width="10.6640625" bestFit="1" customWidth="1"/>
    <col min="769" max="769" width="27.33203125" bestFit="1" customWidth="1"/>
    <col min="770" max="770" width="10.6640625" bestFit="1" customWidth="1"/>
    <col min="1025" max="1025" width="27.33203125" bestFit="1" customWidth="1"/>
    <col min="1026" max="1026" width="10.6640625" bestFit="1" customWidth="1"/>
    <col min="1281" max="1281" width="27.33203125" bestFit="1" customWidth="1"/>
    <col min="1282" max="1282" width="10.6640625" bestFit="1" customWidth="1"/>
    <col min="1537" max="1537" width="27.33203125" bestFit="1" customWidth="1"/>
    <col min="1538" max="1538" width="10.6640625" bestFit="1" customWidth="1"/>
    <col min="1793" max="1793" width="27.33203125" bestFit="1" customWidth="1"/>
    <col min="1794" max="1794" width="10.6640625" bestFit="1" customWidth="1"/>
    <col min="2049" max="2049" width="27.33203125" bestFit="1" customWidth="1"/>
    <col min="2050" max="2050" width="10.6640625" bestFit="1" customWidth="1"/>
    <col min="2305" max="2305" width="27.33203125" bestFit="1" customWidth="1"/>
    <col min="2306" max="2306" width="10.6640625" bestFit="1" customWidth="1"/>
    <col min="2561" max="2561" width="27.33203125" bestFit="1" customWidth="1"/>
    <col min="2562" max="2562" width="10.6640625" bestFit="1" customWidth="1"/>
    <col min="2817" max="2817" width="27.33203125" bestFit="1" customWidth="1"/>
    <col min="2818" max="2818" width="10.6640625" bestFit="1" customWidth="1"/>
    <col min="3073" max="3073" width="27.33203125" bestFit="1" customWidth="1"/>
    <col min="3074" max="3074" width="10.6640625" bestFit="1" customWidth="1"/>
    <col min="3329" max="3329" width="27.33203125" bestFit="1" customWidth="1"/>
    <col min="3330" max="3330" width="10.6640625" bestFit="1" customWidth="1"/>
    <col min="3585" max="3585" width="27.33203125" bestFit="1" customWidth="1"/>
    <col min="3586" max="3586" width="10.6640625" bestFit="1" customWidth="1"/>
    <col min="3841" max="3841" width="27.33203125" bestFit="1" customWidth="1"/>
    <col min="3842" max="3842" width="10.6640625" bestFit="1" customWidth="1"/>
    <col min="4097" max="4097" width="27.33203125" bestFit="1" customWidth="1"/>
    <col min="4098" max="4098" width="10.6640625" bestFit="1" customWidth="1"/>
    <col min="4353" max="4353" width="27.33203125" bestFit="1" customWidth="1"/>
    <col min="4354" max="4354" width="10.6640625" bestFit="1" customWidth="1"/>
    <col min="4609" max="4609" width="27.33203125" bestFit="1" customWidth="1"/>
    <col min="4610" max="4610" width="10.6640625" bestFit="1" customWidth="1"/>
    <col min="4865" max="4865" width="27.33203125" bestFit="1" customWidth="1"/>
    <col min="4866" max="4866" width="10.6640625" bestFit="1" customWidth="1"/>
    <col min="5121" max="5121" width="27.33203125" bestFit="1" customWidth="1"/>
    <col min="5122" max="5122" width="10.6640625" bestFit="1" customWidth="1"/>
    <col min="5377" max="5377" width="27.33203125" bestFit="1" customWidth="1"/>
    <col min="5378" max="5378" width="10.6640625" bestFit="1" customWidth="1"/>
    <col min="5633" max="5633" width="27.33203125" bestFit="1" customWidth="1"/>
    <col min="5634" max="5634" width="10.6640625" bestFit="1" customWidth="1"/>
    <col min="5889" max="5889" width="27.33203125" bestFit="1" customWidth="1"/>
    <col min="5890" max="5890" width="10.6640625" bestFit="1" customWidth="1"/>
    <col min="6145" max="6145" width="27.33203125" bestFit="1" customWidth="1"/>
    <col min="6146" max="6146" width="10.6640625" bestFit="1" customWidth="1"/>
    <col min="6401" max="6401" width="27.33203125" bestFit="1" customWidth="1"/>
    <col min="6402" max="6402" width="10.6640625" bestFit="1" customWidth="1"/>
    <col min="6657" max="6657" width="27.33203125" bestFit="1" customWidth="1"/>
    <col min="6658" max="6658" width="10.6640625" bestFit="1" customWidth="1"/>
    <col min="6913" max="6913" width="27.33203125" bestFit="1" customWidth="1"/>
    <col min="6914" max="6914" width="10.6640625" bestFit="1" customWidth="1"/>
    <col min="7169" max="7169" width="27.33203125" bestFit="1" customWidth="1"/>
    <col min="7170" max="7170" width="10.6640625" bestFit="1" customWidth="1"/>
    <col min="7425" max="7425" width="27.33203125" bestFit="1" customWidth="1"/>
    <col min="7426" max="7426" width="10.6640625" bestFit="1" customWidth="1"/>
    <col min="7681" max="7681" width="27.33203125" bestFit="1" customWidth="1"/>
    <col min="7682" max="7682" width="10.6640625" bestFit="1" customWidth="1"/>
    <col min="7937" max="7937" width="27.33203125" bestFit="1" customWidth="1"/>
    <col min="7938" max="7938" width="10.6640625" bestFit="1" customWidth="1"/>
    <col min="8193" max="8193" width="27.33203125" bestFit="1" customWidth="1"/>
    <col min="8194" max="8194" width="10.6640625" bestFit="1" customWidth="1"/>
    <col min="8449" max="8449" width="27.33203125" bestFit="1" customWidth="1"/>
    <col min="8450" max="8450" width="10.6640625" bestFit="1" customWidth="1"/>
    <col min="8705" max="8705" width="27.33203125" bestFit="1" customWidth="1"/>
    <col min="8706" max="8706" width="10.6640625" bestFit="1" customWidth="1"/>
    <col min="8961" max="8961" width="27.33203125" bestFit="1" customWidth="1"/>
    <col min="8962" max="8962" width="10.6640625" bestFit="1" customWidth="1"/>
    <col min="9217" max="9217" width="27.33203125" bestFit="1" customWidth="1"/>
    <col min="9218" max="9218" width="10.6640625" bestFit="1" customWidth="1"/>
    <col min="9473" max="9473" width="27.33203125" bestFit="1" customWidth="1"/>
    <col min="9474" max="9474" width="10.6640625" bestFit="1" customWidth="1"/>
    <col min="9729" max="9729" width="27.33203125" bestFit="1" customWidth="1"/>
    <col min="9730" max="9730" width="10.6640625" bestFit="1" customWidth="1"/>
    <col min="9985" max="9985" width="27.33203125" bestFit="1" customWidth="1"/>
    <col min="9986" max="9986" width="10.6640625" bestFit="1" customWidth="1"/>
    <col min="10241" max="10241" width="27.33203125" bestFit="1" customWidth="1"/>
    <col min="10242" max="10242" width="10.6640625" bestFit="1" customWidth="1"/>
    <col min="10497" max="10497" width="27.33203125" bestFit="1" customWidth="1"/>
    <col min="10498" max="10498" width="10.6640625" bestFit="1" customWidth="1"/>
    <col min="10753" max="10753" width="27.33203125" bestFit="1" customWidth="1"/>
    <col min="10754" max="10754" width="10.6640625" bestFit="1" customWidth="1"/>
    <col min="11009" max="11009" width="27.33203125" bestFit="1" customWidth="1"/>
    <col min="11010" max="11010" width="10.6640625" bestFit="1" customWidth="1"/>
    <col min="11265" max="11265" width="27.33203125" bestFit="1" customWidth="1"/>
    <col min="11266" max="11266" width="10.6640625" bestFit="1" customWidth="1"/>
    <col min="11521" max="11521" width="27.33203125" bestFit="1" customWidth="1"/>
    <col min="11522" max="11522" width="10.6640625" bestFit="1" customWidth="1"/>
    <col min="11777" max="11777" width="27.33203125" bestFit="1" customWidth="1"/>
    <col min="11778" max="11778" width="10.6640625" bestFit="1" customWidth="1"/>
    <col min="12033" max="12033" width="27.33203125" bestFit="1" customWidth="1"/>
    <col min="12034" max="12034" width="10.6640625" bestFit="1" customWidth="1"/>
    <col min="12289" max="12289" width="27.33203125" bestFit="1" customWidth="1"/>
    <col min="12290" max="12290" width="10.6640625" bestFit="1" customWidth="1"/>
    <col min="12545" max="12545" width="27.33203125" bestFit="1" customWidth="1"/>
    <col min="12546" max="12546" width="10.6640625" bestFit="1" customWidth="1"/>
    <col min="12801" max="12801" width="27.33203125" bestFit="1" customWidth="1"/>
    <col min="12802" max="12802" width="10.6640625" bestFit="1" customWidth="1"/>
    <col min="13057" max="13057" width="27.33203125" bestFit="1" customWidth="1"/>
    <col min="13058" max="13058" width="10.6640625" bestFit="1" customWidth="1"/>
    <col min="13313" max="13313" width="27.33203125" bestFit="1" customWidth="1"/>
    <col min="13314" max="13314" width="10.6640625" bestFit="1" customWidth="1"/>
    <col min="13569" max="13569" width="27.33203125" bestFit="1" customWidth="1"/>
    <col min="13570" max="13570" width="10.6640625" bestFit="1" customWidth="1"/>
    <col min="13825" max="13825" width="27.33203125" bestFit="1" customWidth="1"/>
    <col min="13826" max="13826" width="10.6640625" bestFit="1" customWidth="1"/>
    <col min="14081" max="14081" width="27.33203125" bestFit="1" customWidth="1"/>
    <col min="14082" max="14082" width="10.6640625" bestFit="1" customWidth="1"/>
    <col min="14337" max="14337" width="27.33203125" bestFit="1" customWidth="1"/>
    <col min="14338" max="14338" width="10.6640625" bestFit="1" customWidth="1"/>
    <col min="14593" max="14593" width="27.33203125" bestFit="1" customWidth="1"/>
    <col min="14594" max="14594" width="10.6640625" bestFit="1" customWidth="1"/>
    <col min="14849" max="14849" width="27.33203125" bestFit="1" customWidth="1"/>
    <col min="14850" max="14850" width="10.6640625" bestFit="1" customWidth="1"/>
    <col min="15105" max="15105" width="27.33203125" bestFit="1" customWidth="1"/>
    <col min="15106" max="15106" width="10.6640625" bestFit="1" customWidth="1"/>
    <col min="15361" max="15361" width="27.33203125" bestFit="1" customWidth="1"/>
    <col min="15362" max="15362" width="10.6640625" bestFit="1" customWidth="1"/>
    <col min="15617" max="15617" width="27.33203125" bestFit="1" customWidth="1"/>
    <col min="15618" max="15618" width="10.6640625" bestFit="1" customWidth="1"/>
    <col min="15873" max="15873" width="27.33203125" bestFit="1" customWidth="1"/>
    <col min="15874" max="15874" width="10.6640625" bestFit="1" customWidth="1"/>
    <col min="16129" max="16129" width="27.33203125" bestFit="1" customWidth="1"/>
    <col min="16130" max="16130" width="10.6640625" bestFit="1" customWidth="1"/>
  </cols>
  <sheetData>
    <row r="1" spans="1:7" x14ac:dyDescent="0.3">
      <c r="A1" s="25" t="s">
        <v>170</v>
      </c>
      <c r="B1" s="25"/>
      <c r="C1" s="25"/>
      <c r="D1" s="25"/>
      <c r="E1" s="25"/>
      <c r="F1" s="25"/>
      <c r="G1" s="25"/>
    </row>
    <row r="2" spans="1:7" ht="28.8" x14ac:dyDescent="0.3">
      <c r="A2" s="25" t="str">
        <f>"Allow you to write a check that has a date "&amp;B4&amp;" days in the future for "&amp;DOLLAR(B5,0)&amp;" and will give you "&amp;DOLLAR(B6,0)&amp;" today (they cash check in "&amp;B4&amp;" days)."</f>
        <v>Allow you to write a check that has a date 15 days in the future for $225 and will give you $200 today (they cash check in 15 days).</v>
      </c>
      <c r="B2" s="25"/>
      <c r="C2" s="25"/>
      <c r="D2" s="25"/>
      <c r="E2" s="25"/>
      <c r="F2" s="25"/>
      <c r="G2" s="25"/>
    </row>
    <row r="3" spans="1:7" x14ac:dyDescent="0.3">
      <c r="A3" s="91" t="s">
        <v>64</v>
      </c>
      <c r="B3" s="91"/>
      <c r="C3" s="25"/>
      <c r="D3" s="25"/>
      <c r="E3" s="25"/>
      <c r="F3" s="25"/>
      <c r="G3" s="25"/>
    </row>
    <row r="4" spans="1:7" x14ac:dyDescent="0.3">
      <c r="A4" s="1" t="s">
        <v>65</v>
      </c>
      <c r="B4" s="1">
        <v>15</v>
      </c>
    </row>
    <row r="5" spans="1:7" x14ac:dyDescent="0.3">
      <c r="A5" s="1" t="s">
        <v>66</v>
      </c>
      <c r="B5" s="1">
        <v>225</v>
      </c>
      <c r="D5" t="s">
        <v>1</v>
      </c>
    </row>
    <row r="6" spans="1:7" x14ac:dyDescent="0.3">
      <c r="A6" s="1" t="s">
        <v>67</v>
      </c>
      <c r="B6" s="1">
        <v>200</v>
      </c>
      <c r="D6" t="s">
        <v>0</v>
      </c>
    </row>
    <row r="7" spans="1:7" x14ac:dyDescent="0.3">
      <c r="A7" s="1" t="str">
        <f>B4&amp;" day rate is ="</f>
        <v>15 day rate is =</v>
      </c>
      <c r="B7" s="31"/>
    </row>
    <row r="8" spans="1:7" x14ac:dyDescent="0.3">
      <c r="A8" s="1" t="s">
        <v>68</v>
      </c>
      <c r="B8" s="1">
        <v>365</v>
      </c>
    </row>
    <row r="9" spans="1:7" x14ac:dyDescent="0.3">
      <c r="A9" s="1" t="str">
        <f>"# of "&amp;B4&amp;" day periods in 1 year ="</f>
        <v># of 15 day periods in 1 year =</v>
      </c>
      <c r="B9" s="39"/>
    </row>
    <row r="10" spans="1:7" x14ac:dyDescent="0.3">
      <c r="A10" s="1" t="s">
        <v>69</v>
      </c>
      <c r="B10" s="40"/>
    </row>
    <row r="11" spans="1:7" x14ac:dyDescent="0.3">
      <c r="A11" s="1" t="s">
        <v>70</v>
      </c>
      <c r="B11" s="40"/>
      <c r="C11" t="s">
        <v>71</v>
      </c>
    </row>
    <row r="12" spans="1:7" x14ac:dyDescent="0.3">
      <c r="B12" s="41"/>
    </row>
    <row r="13" spans="1:7" x14ac:dyDescent="0.3">
      <c r="A13" s="1" t="s">
        <v>70</v>
      </c>
      <c r="B13" s="40"/>
      <c r="C13" t="s">
        <v>72</v>
      </c>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G13"/>
  <sheetViews>
    <sheetView zoomScaleNormal="100" workbookViewId="0"/>
  </sheetViews>
  <sheetFormatPr defaultRowHeight="14.4" x14ac:dyDescent="0.3"/>
  <cols>
    <col min="1" max="1" width="27.33203125" bestFit="1" customWidth="1"/>
    <col min="2" max="2" width="38.5546875" bestFit="1" customWidth="1"/>
    <col min="257" max="257" width="27.33203125" bestFit="1" customWidth="1"/>
    <col min="258" max="258" width="38.5546875" bestFit="1" customWidth="1"/>
    <col min="513" max="513" width="27.33203125" bestFit="1" customWidth="1"/>
    <col min="514" max="514" width="38.5546875" bestFit="1" customWidth="1"/>
    <col min="769" max="769" width="27.33203125" bestFit="1" customWidth="1"/>
    <col min="770" max="770" width="38.5546875" bestFit="1" customWidth="1"/>
    <col min="1025" max="1025" width="27.33203125" bestFit="1" customWidth="1"/>
    <col min="1026" max="1026" width="38.5546875" bestFit="1" customWidth="1"/>
    <col min="1281" max="1281" width="27.33203125" bestFit="1" customWidth="1"/>
    <col min="1282" max="1282" width="38.5546875" bestFit="1" customWidth="1"/>
    <col min="1537" max="1537" width="27.33203125" bestFit="1" customWidth="1"/>
    <col min="1538" max="1538" width="38.5546875" bestFit="1" customWidth="1"/>
    <col min="1793" max="1793" width="27.33203125" bestFit="1" customWidth="1"/>
    <col min="1794" max="1794" width="38.5546875" bestFit="1" customWidth="1"/>
    <col min="2049" max="2049" width="27.33203125" bestFit="1" customWidth="1"/>
    <col min="2050" max="2050" width="38.5546875" bestFit="1" customWidth="1"/>
    <col min="2305" max="2305" width="27.33203125" bestFit="1" customWidth="1"/>
    <col min="2306" max="2306" width="38.5546875" bestFit="1" customWidth="1"/>
    <col min="2561" max="2561" width="27.33203125" bestFit="1" customWidth="1"/>
    <col min="2562" max="2562" width="38.5546875" bestFit="1" customWidth="1"/>
    <col min="2817" max="2817" width="27.33203125" bestFit="1" customWidth="1"/>
    <col min="2818" max="2818" width="38.5546875" bestFit="1" customWidth="1"/>
    <col min="3073" max="3073" width="27.33203125" bestFit="1" customWidth="1"/>
    <col min="3074" max="3074" width="38.5546875" bestFit="1" customWidth="1"/>
    <col min="3329" max="3329" width="27.33203125" bestFit="1" customWidth="1"/>
    <col min="3330" max="3330" width="38.5546875" bestFit="1" customWidth="1"/>
    <col min="3585" max="3585" width="27.33203125" bestFit="1" customWidth="1"/>
    <col min="3586" max="3586" width="38.5546875" bestFit="1" customWidth="1"/>
    <col min="3841" max="3841" width="27.33203125" bestFit="1" customWidth="1"/>
    <col min="3842" max="3842" width="38.5546875" bestFit="1" customWidth="1"/>
    <col min="4097" max="4097" width="27.33203125" bestFit="1" customWidth="1"/>
    <col min="4098" max="4098" width="38.5546875" bestFit="1" customWidth="1"/>
    <col min="4353" max="4353" width="27.33203125" bestFit="1" customWidth="1"/>
    <col min="4354" max="4354" width="38.5546875" bestFit="1" customWidth="1"/>
    <col min="4609" max="4609" width="27.33203125" bestFit="1" customWidth="1"/>
    <col min="4610" max="4610" width="38.5546875" bestFit="1" customWidth="1"/>
    <col min="4865" max="4865" width="27.33203125" bestFit="1" customWidth="1"/>
    <col min="4866" max="4866" width="38.5546875" bestFit="1" customWidth="1"/>
    <col min="5121" max="5121" width="27.33203125" bestFit="1" customWidth="1"/>
    <col min="5122" max="5122" width="38.5546875" bestFit="1" customWidth="1"/>
    <col min="5377" max="5377" width="27.33203125" bestFit="1" customWidth="1"/>
    <col min="5378" max="5378" width="38.5546875" bestFit="1" customWidth="1"/>
    <col min="5633" max="5633" width="27.33203125" bestFit="1" customWidth="1"/>
    <col min="5634" max="5634" width="38.5546875" bestFit="1" customWidth="1"/>
    <col min="5889" max="5889" width="27.33203125" bestFit="1" customWidth="1"/>
    <col min="5890" max="5890" width="38.5546875" bestFit="1" customWidth="1"/>
    <col min="6145" max="6145" width="27.33203125" bestFit="1" customWidth="1"/>
    <col min="6146" max="6146" width="38.5546875" bestFit="1" customWidth="1"/>
    <col min="6401" max="6401" width="27.33203125" bestFit="1" customWidth="1"/>
    <col min="6402" max="6402" width="38.5546875" bestFit="1" customWidth="1"/>
    <col min="6657" max="6657" width="27.33203125" bestFit="1" customWidth="1"/>
    <col min="6658" max="6658" width="38.5546875" bestFit="1" customWidth="1"/>
    <col min="6913" max="6913" width="27.33203125" bestFit="1" customWidth="1"/>
    <col min="6914" max="6914" width="38.5546875" bestFit="1" customWidth="1"/>
    <col min="7169" max="7169" width="27.33203125" bestFit="1" customWidth="1"/>
    <col min="7170" max="7170" width="38.5546875" bestFit="1" customWidth="1"/>
    <col min="7425" max="7425" width="27.33203125" bestFit="1" customWidth="1"/>
    <col min="7426" max="7426" width="38.5546875" bestFit="1" customWidth="1"/>
    <col min="7681" max="7681" width="27.33203125" bestFit="1" customWidth="1"/>
    <col min="7682" max="7682" width="38.5546875" bestFit="1" customWidth="1"/>
    <col min="7937" max="7937" width="27.33203125" bestFit="1" customWidth="1"/>
    <col min="7938" max="7938" width="38.5546875" bestFit="1" customWidth="1"/>
    <col min="8193" max="8193" width="27.33203125" bestFit="1" customWidth="1"/>
    <col min="8194" max="8194" width="38.5546875" bestFit="1" customWidth="1"/>
    <col min="8449" max="8449" width="27.33203125" bestFit="1" customWidth="1"/>
    <col min="8450" max="8450" width="38.5546875" bestFit="1" customWidth="1"/>
    <col min="8705" max="8705" width="27.33203125" bestFit="1" customWidth="1"/>
    <col min="8706" max="8706" width="38.5546875" bestFit="1" customWidth="1"/>
    <col min="8961" max="8961" width="27.33203125" bestFit="1" customWidth="1"/>
    <col min="8962" max="8962" width="38.5546875" bestFit="1" customWidth="1"/>
    <col min="9217" max="9217" width="27.33203125" bestFit="1" customWidth="1"/>
    <col min="9218" max="9218" width="38.5546875" bestFit="1" customWidth="1"/>
    <col min="9473" max="9473" width="27.33203125" bestFit="1" customWidth="1"/>
    <col min="9474" max="9474" width="38.5546875" bestFit="1" customWidth="1"/>
    <col min="9729" max="9729" width="27.33203125" bestFit="1" customWidth="1"/>
    <col min="9730" max="9730" width="38.5546875" bestFit="1" customWidth="1"/>
    <col min="9985" max="9985" width="27.33203125" bestFit="1" customWidth="1"/>
    <col min="9986" max="9986" width="38.5546875" bestFit="1" customWidth="1"/>
    <col min="10241" max="10241" width="27.33203125" bestFit="1" customWidth="1"/>
    <col min="10242" max="10242" width="38.5546875" bestFit="1" customWidth="1"/>
    <col min="10497" max="10497" width="27.33203125" bestFit="1" customWidth="1"/>
    <col min="10498" max="10498" width="38.5546875" bestFit="1" customWidth="1"/>
    <col min="10753" max="10753" width="27.33203125" bestFit="1" customWidth="1"/>
    <col min="10754" max="10754" width="38.5546875" bestFit="1" customWidth="1"/>
    <col min="11009" max="11009" width="27.33203125" bestFit="1" customWidth="1"/>
    <col min="11010" max="11010" width="38.5546875" bestFit="1" customWidth="1"/>
    <col min="11265" max="11265" width="27.33203125" bestFit="1" customWidth="1"/>
    <col min="11266" max="11266" width="38.5546875" bestFit="1" customWidth="1"/>
    <col min="11521" max="11521" width="27.33203125" bestFit="1" customWidth="1"/>
    <col min="11522" max="11522" width="38.5546875" bestFit="1" customWidth="1"/>
    <col min="11777" max="11777" width="27.33203125" bestFit="1" customWidth="1"/>
    <col min="11778" max="11778" width="38.5546875" bestFit="1" customWidth="1"/>
    <col min="12033" max="12033" width="27.33203125" bestFit="1" customWidth="1"/>
    <col min="12034" max="12034" width="38.5546875" bestFit="1" customWidth="1"/>
    <col min="12289" max="12289" width="27.33203125" bestFit="1" customWidth="1"/>
    <col min="12290" max="12290" width="38.5546875" bestFit="1" customWidth="1"/>
    <col min="12545" max="12545" width="27.33203125" bestFit="1" customWidth="1"/>
    <col min="12546" max="12546" width="38.5546875" bestFit="1" customWidth="1"/>
    <col min="12801" max="12801" width="27.33203125" bestFit="1" customWidth="1"/>
    <col min="12802" max="12802" width="38.5546875" bestFit="1" customWidth="1"/>
    <col min="13057" max="13057" width="27.33203125" bestFit="1" customWidth="1"/>
    <col min="13058" max="13058" width="38.5546875" bestFit="1" customWidth="1"/>
    <col min="13313" max="13313" width="27.33203125" bestFit="1" customWidth="1"/>
    <col min="13314" max="13314" width="38.5546875" bestFit="1" customWidth="1"/>
    <col min="13569" max="13569" width="27.33203125" bestFit="1" customWidth="1"/>
    <col min="13570" max="13570" width="38.5546875" bestFit="1" customWidth="1"/>
    <col min="13825" max="13825" width="27.33203125" bestFit="1" customWidth="1"/>
    <col min="13826" max="13826" width="38.5546875" bestFit="1" customWidth="1"/>
    <col min="14081" max="14081" width="27.33203125" bestFit="1" customWidth="1"/>
    <col min="14082" max="14082" width="38.5546875" bestFit="1" customWidth="1"/>
    <col min="14337" max="14337" width="27.33203125" bestFit="1" customWidth="1"/>
    <col min="14338" max="14338" width="38.5546875" bestFit="1" customWidth="1"/>
    <col min="14593" max="14593" width="27.33203125" bestFit="1" customWidth="1"/>
    <col min="14594" max="14594" width="38.5546875" bestFit="1" customWidth="1"/>
    <col min="14849" max="14849" width="27.33203125" bestFit="1" customWidth="1"/>
    <col min="14850" max="14850" width="38.5546875" bestFit="1" customWidth="1"/>
    <col min="15105" max="15105" width="27.33203125" bestFit="1" customWidth="1"/>
    <col min="15106" max="15106" width="38.5546875" bestFit="1" customWidth="1"/>
    <col min="15361" max="15361" width="27.33203125" bestFit="1" customWidth="1"/>
    <col min="15362" max="15362" width="38.5546875" bestFit="1" customWidth="1"/>
    <col min="15617" max="15617" width="27.33203125" bestFit="1" customWidth="1"/>
    <col min="15618" max="15618" width="38.5546875" bestFit="1" customWidth="1"/>
    <col min="15873" max="15873" width="27.33203125" bestFit="1" customWidth="1"/>
    <col min="15874" max="15874" width="38.5546875" bestFit="1" customWidth="1"/>
    <col min="16129" max="16129" width="27.33203125" bestFit="1" customWidth="1"/>
    <col min="16130" max="16130" width="38.5546875" bestFit="1" customWidth="1"/>
  </cols>
  <sheetData>
    <row r="1" spans="1:7" x14ac:dyDescent="0.3">
      <c r="A1" s="25" t="s">
        <v>170</v>
      </c>
      <c r="B1" s="25"/>
      <c r="C1" s="25"/>
      <c r="D1" s="25"/>
      <c r="E1" s="25"/>
      <c r="F1" s="25"/>
      <c r="G1" s="25"/>
    </row>
    <row r="2" spans="1:7" x14ac:dyDescent="0.3">
      <c r="A2" s="25" t="str">
        <f>"Allow you to write a check that has a date "&amp;B4&amp;" days in the future for "&amp;DOLLAR(B5,0)&amp;" and will give you "&amp;DOLLAR(B6,0)&amp;" today (they cash check in "&amp;B4&amp;" days)."</f>
        <v>Allow you to write a check that has a date 15 days in the future for $225 and will give you $200 today (they cash check in 15 days).</v>
      </c>
      <c r="B2" s="25"/>
      <c r="C2" s="25"/>
      <c r="D2" s="25"/>
      <c r="E2" s="25"/>
      <c r="F2" s="25"/>
      <c r="G2" s="25"/>
    </row>
    <row r="3" spans="1:7" x14ac:dyDescent="0.3">
      <c r="A3" s="91" t="s">
        <v>64</v>
      </c>
      <c r="B3" s="91"/>
      <c r="C3" s="25"/>
      <c r="D3" s="25"/>
      <c r="E3" s="25"/>
      <c r="F3" s="25"/>
      <c r="G3" s="25"/>
    </row>
    <row r="4" spans="1:7" x14ac:dyDescent="0.3">
      <c r="A4" s="1" t="s">
        <v>65</v>
      </c>
      <c r="B4" s="1">
        <v>15</v>
      </c>
    </row>
    <row r="5" spans="1:7" x14ac:dyDescent="0.3">
      <c r="A5" s="1" t="s">
        <v>66</v>
      </c>
      <c r="B5" s="1">
        <v>225</v>
      </c>
      <c r="D5" t="s">
        <v>1</v>
      </c>
    </row>
    <row r="6" spans="1:7" x14ac:dyDescent="0.3">
      <c r="A6" s="1" t="s">
        <v>67</v>
      </c>
      <c r="B6" s="1">
        <v>200</v>
      </c>
      <c r="D6" t="s">
        <v>0</v>
      </c>
    </row>
    <row r="7" spans="1:7" x14ac:dyDescent="0.3">
      <c r="A7" s="1" t="str">
        <f>B4&amp;" day rate is ="</f>
        <v>15 day rate is =</v>
      </c>
      <c r="B7" s="31">
        <f>B5/B6-1</f>
        <v>0.125</v>
      </c>
    </row>
    <row r="8" spans="1:7" x14ac:dyDescent="0.3">
      <c r="A8" s="1" t="s">
        <v>68</v>
      </c>
      <c r="B8" s="1">
        <v>365</v>
      </c>
    </row>
    <row r="9" spans="1:7" x14ac:dyDescent="0.3">
      <c r="A9" s="1" t="str">
        <f>"# of "&amp;B4&amp;" day periods in 1 year ="</f>
        <v># of 15 day periods in 1 year =</v>
      </c>
      <c r="B9" s="39">
        <f>B8/B4</f>
        <v>24.333333333333332</v>
      </c>
    </row>
    <row r="10" spans="1:7" x14ac:dyDescent="0.3">
      <c r="A10" s="1" t="s">
        <v>69</v>
      </c>
      <c r="B10" s="40">
        <f>B7*B9</f>
        <v>3.0416666666666665</v>
      </c>
    </row>
    <row r="11" spans="1:7" x14ac:dyDescent="0.3">
      <c r="A11" s="1" t="s">
        <v>70</v>
      </c>
      <c r="B11" s="40">
        <f>(1+B7)^B9-1</f>
        <v>16.567557332586325</v>
      </c>
      <c r="C11" t="s">
        <v>71</v>
      </c>
    </row>
    <row r="12" spans="1:7" x14ac:dyDescent="0.3">
      <c r="B12" s="41"/>
    </row>
    <row r="13" spans="1:7" x14ac:dyDescent="0.3">
      <c r="A13" s="1" t="s">
        <v>70</v>
      </c>
      <c r="B13" s="40">
        <f>EFFECT(B10,B9)</f>
        <v>16.528030532112975</v>
      </c>
      <c r="C13" t="s">
        <v>72</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FF"/>
  </sheetPr>
  <dimension ref="A1:H5"/>
  <sheetViews>
    <sheetView zoomScaleNormal="100" workbookViewId="0"/>
  </sheetViews>
  <sheetFormatPr defaultRowHeight="14.4" x14ac:dyDescent="0.3"/>
  <cols>
    <col min="1" max="2" width="18.5546875" customWidth="1"/>
    <col min="257" max="258" width="18.5546875" customWidth="1"/>
    <col min="513" max="514" width="18.5546875" customWidth="1"/>
    <col min="769" max="770" width="18.5546875" customWidth="1"/>
    <col min="1025" max="1026" width="18.5546875" customWidth="1"/>
    <col min="1281" max="1282" width="18.5546875" customWidth="1"/>
    <col min="1537" max="1538" width="18.5546875" customWidth="1"/>
    <col min="1793" max="1794" width="18.5546875" customWidth="1"/>
    <col min="2049" max="2050" width="18.5546875" customWidth="1"/>
    <col min="2305" max="2306" width="18.5546875" customWidth="1"/>
    <col min="2561" max="2562" width="18.5546875" customWidth="1"/>
    <col min="2817" max="2818" width="18.5546875" customWidth="1"/>
    <col min="3073" max="3074" width="18.5546875" customWidth="1"/>
    <col min="3329" max="3330" width="18.5546875" customWidth="1"/>
    <col min="3585" max="3586" width="18.5546875" customWidth="1"/>
    <col min="3841" max="3842" width="18.5546875" customWidth="1"/>
    <col min="4097" max="4098" width="18.5546875" customWidth="1"/>
    <col min="4353" max="4354" width="18.5546875" customWidth="1"/>
    <col min="4609" max="4610" width="18.5546875" customWidth="1"/>
    <col min="4865" max="4866" width="18.5546875" customWidth="1"/>
    <col min="5121" max="5122" width="18.5546875" customWidth="1"/>
    <col min="5377" max="5378" width="18.5546875" customWidth="1"/>
    <col min="5633" max="5634" width="18.5546875" customWidth="1"/>
    <col min="5889" max="5890" width="18.5546875" customWidth="1"/>
    <col min="6145" max="6146" width="18.5546875" customWidth="1"/>
    <col min="6401" max="6402" width="18.5546875" customWidth="1"/>
    <col min="6657" max="6658" width="18.5546875" customWidth="1"/>
    <col min="6913" max="6914" width="18.5546875" customWidth="1"/>
    <col min="7169" max="7170" width="18.5546875" customWidth="1"/>
    <col min="7425" max="7426" width="18.5546875" customWidth="1"/>
    <col min="7681" max="7682" width="18.5546875" customWidth="1"/>
    <col min="7937" max="7938" width="18.5546875" customWidth="1"/>
    <col min="8193" max="8194" width="18.5546875" customWidth="1"/>
    <col min="8449" max="8450" width="18.5546875" customWidth="1"/>
    <col min="8705" max="8706" width="18.5546875" customWidth="1"/>
    <col min="8961" max="8962" width="18.5546875" customWidth="1"/>
    <col min="9217" max="9218" width="18.5546875" customWidth="1"/>
    <col min="9473" max="9474" width="18.5546875" customWidth="1"/>
    <col min="9729" max="9730" width="18.5546875" customWidth="1"/>
    <col min="9985" max="9986" width="18.5546875" customWidth="1"/>
    <col min="10241" max="10242" width="18.5546875" customWidth="1"/>
    <col min="10497" max="10498" width="18.5546875" customWidth="1"/>
    <col min="10753" max="10754" width="18.5546875" customWidth="1"/>
    <col min="11009" max="11010" width="18.5546875" customWidth="1"/>
    <col min="11265" max="11266" width="18.5546875" customWidth="1"/>
    <col min="11521" max="11522" width="18.5546875" customWidth="1"/>
    <col min="11777" max="11778" width="18.5546875" customWidth="1"/>
    <col min="12033" max="12034" width="18.5546875" customWidth="1"/>
    <col min="12289" max="12290" width="18.5546875" customWidth="1"/>
    <col min="12545" max="12546" width="18.5546875" customWidth="1"/>
    <col min="12801" max="12802" width="18.5546875" customWidth="1"/>
    <col min="13057" max="13058" width="18.5546875" customWidth="1"/>
    <col min="13313" max="13314" width="18.5546875" customWidth="1"/>
    <col min="13569" max="13570" width="18.5546875" customWidth="1"/>
    <col min="13825" max="13826" width="18.5546875" customWidth="1"/>
    <col min="14081" max="14082" width="18.5546875" customWidth="1"/>
    <col min="14337" max="14338" width="18.5546875" customWidth="1"/>
    <col min="14593" max="14594" width="18.5546875" customWidth="1"/>
    <col min="14849" max="14850" width="18.5546875" customWidth="1"/>
    <col min="15105" max="15106" width="18.5546875" customWidth="1"/>
    <col min="15361" max="15362" width="18.5546875" customWidth="1"/>
    <col min="15617" max="15618" width="18.5546875" customWidth="1"/>
    <col min="15873" max="15874" width="18.5546875" customWidth="1"/>
    <col min="16129" max="16130" width="18.5546875" customWidth="1"/>
  </cols>
  <sheetData>
    <row r="1" spans="1:8" ht="43.2" x14ac:dyDescent="0.3">
      <c r="A1" s="25" t="s">
        <v>73</v>
      </c>
      <c r="B1" s="25"/>
    </row>
    <row r="2" spans="1:8" x14ac:dyDescent="0.3">
      <c r="A2" s="1" t="s">
        <v>70</v>
      </c>
      <c r="B2" s="34">
        <v>0.14499999999999999</v>
      </c>
    </row>
    <row r="3" spans="1:8" ht="28.8" x14ac:dyDescent="0.3">
      <c r="A3" s="1" t="s">
        <v>38</v>
      </c>
      <c r="B3" s="1">
        <v>2</v>
      </c>
      <c r="C3" s="87" t="s">
        <v>169</v>
      </c>
      <c r="D3" s="87"/>
      <c r="E3" s="87"/>
      <c r="F3" s="87"/>
      <c r="G3" s="87"/>
      <c r="H3" s="87"/>
    </row>
    <row r="4" spans="1:8" x14ac:dyDescent="0.3">
      <c r="A4" s="1" t="s">
        <v>69</v>
      </c>
      <c r="B4" s="31"/>
    </row>
    <row r="5" spans="1:8" x14ac:dyDescent="0.3">
      <c r="A5" s="1" t="s">
        <v>69</v>
      </c>
      <c r="B5" s="31"/>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H5"/>
  <sheetViews>
    <sheetView zoomScale="115" zoomScaleNormal="115" workbookViewId="0"/>
  </sheetViews>
  <sheetFormatPr defaultRowHeight="14.4" x14ac:dyDescent="0.3"/>
  <cols>
    <col min="1" max="2" width="18.5546875" customWidth="1"/>
    <col min="257" max="258" width="18.5546875" customWidth="1"/>
    <col min="513" max="514" width="18.5546875" customWidth="1"/>
    <col min="769" max="770" width="18.5546875" customWidth="1"/>
    <col min="1025" max="1026" width="18.5546875" customWidth="1"/>
    <col min="1281" max="1282" width="18.5546875" customWidth="1"/>
    <col min="1537" max="1538" width="18.5546875" customWidth="1"/>
    <col min="1793" max="1794" width="18.5546875" customWidth="1"/>
    <col min="2049" max="2050" width="18.5546875" customWidth="1"/>
    <col min="2305" max="2306" width="18.5546875" customWidth="1"/>
    <col min="2561" max="2562" width="18.5546875" customWidth="1"/>
    <col min="2817" max="2818" width="18.5546875" customWidth="1"/>
    <col min="3073" max="3074" width="18.5546875" customWidth="1"/>
    <col min="3329" max="3330" width="18.5546875" customWidth="1"/>
    <col min="3585" max="3586" width="18.5546875" customWidth="1"/>
    <col min="3841" max="3842" width="18.5546875" customWidth="1"/>
    <col min="4097" max="4098" width="18.5546875" customWidth="1"/>
    <col min="4353" max="4354" width="18.5546875" customWidth="1"/>
    <col min="4609" max="4610" width="18.5546875" customWidth="1"/>
    <col min="4865" max="4866" width="18.5546875" customWidth="1"/>
    <col min="5121" max="5122" width="18.5546875" customWidth="1"/>
    <col min="5377" max="5378" width="18.5546875" customWidth="1"/>
    <col min="5633" max="5634" width="18.5546875" customWidth="1"/>
    <col min="5889" max="5890" width="18.5546875" customWidth="1"/>
    <col min="6145" max="6146" width="18.5546875" customWidth="1"/>
    <col min="6401" max="6402" width="18.5546875" customWidth="1"/>
    <col min="6657" max="6658" width="18.5546875" customWidth="1"/>
    <col min="6913" max="6914" width="18.5546875" customWidth="1"/>
    <col min="7169" max="7170" width="18.5546875" customWidth="1"/>
    <col min="7425" max="7426" width="18.5546875" customWidth="1"/>
    <col min="7681" max="7682" width="18.5546875" customWidth="1"/>
    <col min="7937" max="7938" width="18.5546875" customWidth="1"/>
    <col min="8193" max="8194" width="18.5546875" customWidth="1"/>
    <col min="8449" max="8450" width="18.5546875" customWidth="1"/>
    <col min="8705" max="8706" width="18.5546875" customWidth="1"/>
    <col min="8961" max="8962" width="18.5546875" customWidth="1"/>
    <col min="9217" max="9218" width="18.5546875" customWidth="1"/>
    <col min="9473" max="9474" width="18.5546875" customWidth="1"/>
    <col min="9729" max="9730" width="18.5546875" customWidth="1"/>
    <col min="9985" max="9986" width="18.5546875" customWidth="1"/>
    <col min="10241" max="10242" width="18.5546875" customWidth="1"/>
    <col min="10497" max="10498" width="18.5546875" customWidth="1"/>
    <col min="10753" max="10754" width="18.5546875" customWidth="1"/>
    <col min="11009" max="11010" width="18.5546875" customWidth="1"/>
    <col min="11265" max="11266" width="18.5546875" customWidth="1"/>
    <col min="11521" max="11522" width="18.5546875" customWidth="1"/>
    <col min="11777" max="11778" width="18.5546875" customWidth="1"/>
    <col min="12033" max="12034" width="18.5546875" customWidth="1"/>
    <col min="12289" max="12290" width="18.5546875" customWidth="1"/>
    <col min="12545" max="12546" width="18.5546875" customWidth="1"/>
    <col min="12801" max="12802" width="18.5546875" customWidth="1"/>
    <col min="13057" max="13058" width="18.5546875" customWidth="1"/>
    <col min="13313" max="13314" width="18.5546875" customWidth="1"/>
    <col min="13569" max="13570" width="18.5546875" customWidth="1"/>
    <col min="13825" max="13826" width="18.5546875" customWidth="1"/>
    <col min="14081" max="14082" width="18.5546875" customWidth="1"/>
    <col min="14337" max="14338" width="18.5546875" customWidth="1"/>
    <col min="14593" max="14594" width="18.5546875" customWidth="1"/>
    <col min="14849" max="14850" width="18.5546875" customWidth="1"/>
    <col min="15105" max="15106" width="18.5546875" customWidth="1"/>
    <col min="15361" max="15362" width="18.5546875" customWidth="1"/>
    <col min="15617" max="15618" width="18.5546875" customWidth="1"/>
    <col min="15873" max="15874" width="18.5546875" customWidth="1"/>
    <col min="16129" max="16130" width="18.5546875" customWidth="1"/>
  </cols>
  <sheetData>
    <row r="1" spans="1:8" ht="43.2" x14ac:dyDescent="0.3">
      <c r="A1" s="25" t="s">
        <v>73</v>
      </c>
      <c r="B1" s="25"/>
    </row>
    <row r="2" spans="1:8" x14ac:dyDescent="0.3">
      <c r="A2" s="1" t="s">
        <v>70</v>
      </c>
      <c r="B2" s="34">
        <v>0.14499999999999999</v>
      </c>
    </row>
    <row r="3" spans="1:8" ht="28.8" x14ac:dyDescent="0.3">
      <c r="A3" s="1" t="s">
        <v>38</v>
      </c>
      <c r="B3" s="1">
        <v>2</v>
      </c>
      <c r="C3" s="87" t="s">
        <v>169</v>
      </c>
      <c r="D3" s="87"/>
      <c r="E3" s="87"/>
      <c r="F3" s="87"/>
      <c r="G3" s="87"/>
      <c r="H3" s="87"/>
    </row>
    <row r="4" spans="1:8" x14ac:dyDescent="0.3">
      <c r="A4" s="1" t="s">
        <v>69</v>
      </c>
      <c r="B4" s="31">
        <f>((B2+1)^(1/B3)-1)*B3</f>
        <v>0.1400934559032696</v>
      </c>
    </row>
    <row r="5" spans="1:8" x14ac:dyDescent="0.3">
      <c r="A5" s="1" t="s">
        <v>69</v>
      </c>
      <c r="B5" s="31">
        <f>NOMINAL(B2,B3)</f>
        <v>0.1400934559032696</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FF"/>
  </sheetPr>
  <dimension ref="A1:K11"/>
  <sheetViews>
    <sheetView zoomScale="115" zoomScaleNormal="115" workbookViewId="0"/>
  </sheetViews>
  <sheetFormatPr defaultRowHeight="14.4" x14ac:dyDescent="0.3"/>
  <cols>
    <col min="1" max="1" width="2" bestFit="1" customWidth="1"/>
    <col min="2" max="2" width="27.109375" style="7" customWidth="1"/>
    <col min="3" max="3" width="8.109375" customWidth="1"/>
    <col min="4" max="4" width="3" bestFit="1" customWidth="1"/>
    <col min="5" max="5" width="18.6640625" bestFit="1" customWidth="1"/>
    <col min="6" max="6" width="7" bestFit="1" customWidth="1"/>
    <col min="7" max="7" width="2" bestFit="1" customWidth="1"/>
    <col min="8" max="9" width="7.6640625" customWidth="1"/>
    <col min="10" max="10" width="18.6640625" bestFit="1" customWidth="1"/>
    <col min="11" max="11" width="7.6640625" customWidth="1"/>
    <col min="257" max="257" width="2" bestFit="1" customWidth="1"/>
    <col min="258" max="258" width="27.109375" customWidth="1"/>
    <col min="259" max="259" width="8.109375" customWidth="1"/>
    <col min="260" max="260" width="3" bestFit="1" customWidth="1"/>
    <col min="261" max="261" width="18.6640625" bestFit="1" customWidth="1"/>
    <col min="262" max="262" width="7" bestFit="1" customWidth="1"/>
    <col min="263" max="263" width="2" bestFit="1" customWidth="1"/>
    <col min="264" max="265" width="7.6640625" customWidth="1"/>
    <col min="266" max="266" width="18.6640625" bestFit="1" customWidth="1"/>
    <col min="267" max="267" width="7.6640625" customWidth="1"/>
    <col min="513" max="513" width="2" bestFit="1" customWidth="1"/>
    <col min="514" max="514" width="27.109375" customWidth="1"/>
    <col min="515" max="515" width="8.109375" customWidth="1"/>
    <col min="516" max="516" width="3" bestFit="1" customWidth="1"/>
    <col min="517" max="517" width="18.6640625" bestFit="1" customWidth="1"/>
    <col min="518" max="518" width="7" bestFit="1" customWidth="1"/>
    <col min="519" max="519" width="2" bestFit="1" customWidth="1"/>
    <col min="520" max="521" width="7.6640625" customWidth="1"/>
    <col min="522" max="522" width="18.6640625" bestFit="1" customWidth="1"/>
    <col min="523" max="523" width="7.6640625" customWidth="1"/>
    <col min="769" max="769" width="2" bestFit="1" customWidth="1"/>
    <col min="770" max="770" width="27.109375" customWidth="1"/>
    <col min="771" max="771" width="8.109375" customWidth="1"/>
    <col min="772" max="772" width="3" bestFit="1" customWidth="1"/>
    <col min="773" max="773" width="18.6640625" bestFit="1" customWidth="1"/>
    <col min="774" max="774" width="7" bestFit="1" customWidth="1"/>
    <col min="775" max="775" width="2" bestFit="1" customWidth="1"/>
    <col min="776" max="777" width="7.6640625" customWidth="1"/>
    <col min="778" max="778" width="18.6640625" bestFit="1" customWidth="1"/>
    <col min="779" max="779" width="7.6640625" customWidth="1"/>
    <col min="1025" max="1025" width="2" bestFit="1" customWidth="1"/>
    <col min="1026" max="1026" width="27.109375" customWidth="1"/>
    <col min="1027" max="1027" width="8.109375" customWidth="1"/>
    <col min="1028" max="1028" width="3" bestFit="1" customWidth="1"/>
    <col min="1029" max="1029" width="18.6640625" bestFit="1" customWidth="1"/>
    <col min="1030" max="1030" width="7" bestFit="1" customWidth="1"/>
    <col min="1031" max="1031" width="2" bestFit="1" customWidth="1"/>
    <col min="1032" max="1033" width="7.6640625" customWidth="1"/>
    <col min="1034" max="1034" width="18.6640625" bestFit="1" customWidth="1"/>
    <col min="1035" max="1035" width="7.6640625" customWidth="1"/>
    <col min="1281" max="1281" width="2" bestFit="1" customWidth="1"/>
    <col min="1282" max="1282" width="27.109375" customWidth="1"/>
    <col min="1283" max="1283" width="8.109375" customWidth="1"/>
    <col min="1284" max="1284" width="3" bestFit="1" customWidth="1"/>
    <col min="1285" max="1285" width="18.6640625" bestFit="1" customWidth="1"/>
    <col min="1286" max="1286" width="7" bestFit="1" customWidth="1"/>
    <col min="1287" max="1287" width="2" bestFit="1" customWidth="1"/>
    <col min="1288" max="1289" width="7.6640625" customWidth="1"/>
    <col min="1290" max="1290" width="18.6640625" bestFit="1" customWidth="1"/>
    <col min="1291" max="1291" width="7.6640625" customWidth="1"/>
    <col min="1537" max="1537" width="2" bestFit="1" customWidth="1"/>
    <col min="1538" max="1538" width="27.109375" customWidth="1"/>
    <col min="1539" max="1539" width="8.109375" customWidth="1"/>
    <col min="1540" max="1540" width="3" bestFit="1" customWidth="1"/>
    <col min="1541" max="1541" width="18.6640625" bestFit="1" customWidth="1"/>
    <col min="1542" max="1542" width="7" bestFit="1" customWidth="1"/>
    <col min="1543" max="1543" width="2" bestFit="1" customWidth="1"/>
    <col min="1544" max="1545" width="7.6640625" customWidth="1"/>
    <col min="1546" max="1546" width="18.6640625" bestFit="1" customWidth="1"/>
    <col min="1547" max="1547" width="7.6640625" customWidth="1"/>
    <col min="1793" max="1793" width="2" bestFit="1" customWidth="1"/>
    <col min="1794" max="1794" width="27.109375" customWidth="1"/>
    <col min="1795" max="1795" width="8.109375" customWidth="1"/>
    <col min="1796" max="1796" width="3" bestFit="1" customWidth="1"/>
    <col min="1797" max="1797" width="18.6640625" bestFit="1" customWidth="1"/>
    <col min="1798" max="1798" width="7" bestFit="1" customWidth="1"/>
    <col min="1799" max="1799" width="2" bestFit="1" customWidth="1"/>
    <col min="1800" max="1801" width="7.6640625" customWidth="1"/>
    <col min="1802" max="1802" width="18.6640625" bestFit="1" customWidth="1"/>
    <col min="1803" max="1803" width="7.6640625" customWidth="1"/>
    <col min="2049" max="2049" width="2" bestFit="1" customWidth="1"/>
    <col min="2050" max="2050" width="27.109375" customWidth="1"/>
    <col min="2051" max="2051" width="8.109375" customWidth="1"/>
    <col min="2052" max="2052" width="3" bestFit="1" customWidth="1"/>
    <col min="2053" max="2053" width="18.6640625" bestFit="1" customWidth="1"/>
    <col min="2054" max="2054" width="7" bestFit="1" customWidth="1"/>
    <col min="2055" max="2055" width="2" bestFit="1" customWidth="1"/>
    <col min="2056" max="2057" width="7.6640625" customWidth="1"/>
    <col min="2058" max="2058" width="18.6640625" bestFit="1" customWidth="1"/>
    <col min="2059" max="2059" width="7.6640625" customWidth="1"/>
    <col min="2305" max="2305" width="2" bestFit="1" customWidth="1"/>
    <col min="2306" max="2306" width="27.109375" customWidth="1"/>
    <col min="2307" max="2307" width="8.109375" customWidth="1"/>
    <col min="2308" max="2308" width="3" bestFit="1" customWidth="1"/>
    <col min="2309" max="2309" width="18.6640625" bestFit="1" customWidth="1"/>
    <col min="2310" max="2310" width="7" bestFit="1" customWidth="1"/>
    <col min="2311" max="2311" width="2" bestFit="1" customWidth="1"/>
    <col min="2312" max="2313" width="7.6640625" customWidth="1"/>
    <col min="2314" max="2314" width="18.6640625" bestFit="1" customWidth="1"/>
    <col min="2315" max="2315" width="7.6640625" customWidth="1"/>
    <col min="2561" max="2561" width="2" bestFit="1" customWidth="1"/>
    <col min="2562" max="2562" width="27.109375" customWidth="1"/>
    <col min="2563" max="2563" width="8.109375" customWidth="1"/>
    <col min="2564" max="2564" width="3" bestFit="1" customWidth="1"/>
    <col min="2565" max="2565" width="18.6640625" bestFit="1" customWidth="1"/>
    <col min="2566" max="2566" width="7" bestFit="1" customWidth="1"/>
    <col min="2567" max="2567" width="2" bestFit="1" customWidth="1"/>
    <col min="2568" max="2569" width="7.6640625" customWidth="1"/>
    <col min="2570" max="2570" width="18.6640625" bestFit="1" customWidth="1"/>
    <col min="2571" max="2571" width="7.6640625" customWidth="1"/>
    <col min="2817" max="2817" width="2" bestFit="1" customWidth="1"/>
    <col min="2818" max="2818" width="27.109375" customWidth="1"/>
    <col min="2819" max="2819" width="8.109375" customWidth="1"/>
    <col min="2820" max="2820" width="3" bestFit="1" customWidth="1"/>
    <col min="2821" max="2821" width="18.6640625" bestFit="1" customWidth="1"/>
    <col min="2822" max="2822" width="7" bestFit="1" customWidth="1"/>
    <col min="2823" max="2823" width="2" bestFit="1" customWidth="1"/>
    <col min="2824" max="2825" width="7.6640625" customWidth="1"/>
    <col min="2826" max="2826" width="18.6640625" bestFit="1" customWidth="1"/>
    <col min="2827" max="2827" width="7.6640625" customWidth="1"/>
    <col min="3073" max="3073" width="2" bestFit="1" customWidth="1"/>
    <col min="3074" max="3074" width="27.109375" customWidth="1"/>
    <col min="3075" max="3075" width="8.109375" customWidth="1"/>
    <col min="3076" max="3076" width="3" bestFit="1" customWidth="1"/>
    <col min="3077" max="3077" width="18.6640625" bestFit="1" customWidth="1"/>
    <col min="3078" max="3078" width="7" bestFit="1" customWidth="1"/>
    <col min="3079" max="3079" width="2" bestFit="1" customWidth="1"/>
    <col min="3080" max="3081" width="7.6640625" customWidth="1"/>
    <col min="3082" max="3082" width="18.6640625" bestFit="1" customWidth="1"/>
    <col min="3083" max="3083" width="7.6640625" customWidth="1"/>
    <col min="3329" max="3329" width="2" bestFit="1" customWidth="1"/>
    <col min="3330" max="3330" width="27.109375" customWidth="1"/>
    <col min="3331" max="3331" width="8.109375" customWidth="1"/>
    <col min="3332" max="3332" width="3" bestFit="1" customWidth="1"/>
    <col min="3333" max="3333" width="18.6640625" bestFit="1" customWidth="1"/>
    <col min="3334" max="3334" width="7" bestFit="1" customWidth="1"/>
    <col min="3335" max="3335" width="2" bestFit="1" customWidth="1"/>
    <col min="3336" max="3337" width="7.6640625" customWidth="1"/>
    <col min="3338" max="3338" width="18.6640625" bestFit="1" customWidth="1"/>
    <col min="3339" max="3339" width="7.6640625" customWidth="1"/>
    <col min="3585" max="3585" width="2" bestFit="1" customWidth="1"/>
    <col min="3586" max="3586" width="27.109375" customWidth="1"/>
    <col min="3587" max="3587" width="8.109375" customWidth="1"/>
    <col min="3588" max="3588" width="3" bestFit="1" customWidth="1"/>
    <col min="3589" max="3589" width="18.6640625" bestFit="1" customWidth="1"/>
    <col min="3590" max="3590" width="7" bestFit="1" customWidth="1"/>
    <col min="3591" max="3591" width="2" bestFit="1" customWidth="1"/>
    <col min="3592" max="3593" width="7.6640625" customWidth="1"/>
    <col min="3594" max="3594" width="18.6640625" bestFit="1" customWidth="1"/>
    <col min="3595" max="3595" width="7.6640625" customWidth="1"/>
    <col min="3841" max="3841" width="2" bestFit="1" customWidth="1"/>
    <col min="3842" max="3842" width="27.109375" customWidth="1"/>
    <col min="3843" max="3843" width="8.109375" customWidth="1"/>
    <col min="3844" max="3844" width="3" bestFit="1" customWidth="1"/>
    <col min="3845" max="3845" width="18.6640625" bestFit="1" customWidth="1"/>
    <col min="3846" max="3846" width="7" bestFit="1" customWidth="1"/>
    <col min="3847" max="3847" width="2" bestFit="1" customWidth="1"/>
    <col min="3848" max="3849" width="7.6640625" customWidth="1"/>
    <col min="3850" max="3850" width="18.6640625" bestFit="1" customWidth="1"/>
    <col min="3851" max="3851" width="7.6640625" customWidth="1"/>
    <col min="4097" max="4097" width="2" bestFit="1" customWidth="1"/>
    <col min="4098" max="4098" width="27.109375" customWidth="1"/>
    <col min="4099" max="4099" width="8.109375" customWidth="1"/>
    <col min="4100" max="4100" width="3" bestFit="1" customWidth="1"/>
    <col min="4101" max="4101" width="18.6640625" bestFit="1" customWidth="1"/>
    <col min="4102" max="4102" width="7" bestFit="1" customWidth="1"/>
    <col min="4103" max="4103" width="2" bestFit="1" customWidth="1"/>
    <col min="4104" max="4105" width="7.6640625" customWidth="1"/>
    <col min="4106" max="4106" width="18.6640625" bestFit="1" customWidth="1"/>
    <col min="4107" max="4107" width="7.6640625" customWidth="1"/>
    <col min="4353" max="4353" width="2" bestFit="1" customWidth="1"/>
    <col min="4354" max="4354" width="27.109375" customWidth="1"/>
    <col min="4355" max="4355" width="8.109375" customWidth="1"/>
    <col min="4356" max="4356" width="3" bestFit="1" customWidth="1"/>
    <col min="4357" max="4357" width="18.6640625" bestFit="1" customWidth="1"/>
    <col min="4358" max="4358" width="7" bestFit="1" customWidth="1"/>
    <col min="4359" max="4359" width="2" bestFit="1" customWidth="1"/>
    <col min="4360" max="4361" width="7.6640625" customWidth="1"/>
    <col min="4362" max="4362" width="18.6640625" bestFit="1" customWidth="1"/>
    <col min="4363" max="4363" width="7.6640625" customWidth="1"/>
    <col min="4609" max="4609" width="2" bestFit="1" customWidth="1"/>
    <col min="4610" max="4610" width="27.109375" customWidth="1"/>
    <col min="4611" max="4611" width="8.109375" customWidth="1"/>
    <col min="4612" max="4612" width="3" bestFit="1" customWidth="1"/>
    <col min="4613" max="4613" width="18.6640625" bestFit="1" customWidth="1"/>
    <col min="4614" max="4614" width="7" bestFit="1" customWidth="1"/>
    <col min="4615" max="4615" width="2" bestFit="1" customWidth="1"/>
    <col min="4616" max="4617" width="7.6640625" customWidth="1"/>
    <col min="4618" max="4618" width="18.6640625" bestFit="1" customWidth="1"/>
    <col min="4619" max="4619" width="7.6640625" customWidth="1"/>
    <col min="4865" max="4865" width="2" bestFit="1" customWidth="1"/>
    <col min="4866" max="4866" width="27.109375" customWidth="1"/>
    <col min="4867" max="4867" width="8.109375" customWidth="1"/>
    <col min="4868" max="4868" width="3" bestFit="1" customWidth="1"/>
    <col min="4869" max="4869" width="18.6640625" bestFit="1" customWidth="1"/>
    <col min="4870" max="4870" width="7" bestFit="1" customWidth="1"/>
    <col min="4871" max="4871" width="2" bestFit="1" customWidth="1"/>
    <col min="4872" max="4873" width="7.6640625" customWidth="1"/>
    <col min="4874" max="4874" width="18.6640625" bestFit="1" customWidth="1"/>
    <col min="4875" max="4875" width="7.6640625" customWidth="1"/>
    <col min="5121" max="5121" width="2" bestFit="1" customWidth="1"/>
    <col min="5122" max="5122" width="27.109375" customWidth="1"/>
    <col min="5123" max="5123" width="8.109375" customWidth="1"/>
    <col min="5124" max="5124" width="3" bestFit="1" customWidth="1"/>
    <col min="5125" max="5125" width="18.6640625" bestFit="1" customWidth="1"/>
    <col min="5126" max="5126" width="7" bestFit="1" customWidth="1"/>
    <col min="5127" max="5127" width="2" bestFit="1" customWidth="1"/>
    <col min="5128" max="5129" width="7.6640625" customWidth="1"/>
    <col min="5130" max="5130" width="18.6640625" bestFit="1" customWidth="1"/>
    <col min="5131" max="5131" width="7.6640625" customWidth="1"/>
    <col min="5377" max="5377" width="2" bestFit="1" customWidth="1"/>
    <col min="5378" max="5378" width="27.109375" customWidth="1"/>
    <col min="5379" max="5379" width="8.109375" customWidth="1"/>
    <col min="5380" max="5380" width="3" bestFit="1" customWidth="1"/>
    <col min="5381" max="5381" width="18.6640625" bestFit="1" customWidth="1"/>
    <col min="5382" max="5382" width="7" bestFit="1" customWidth="1"/>
    <col min="5383" max="5383" width="2" bestFit="1" customWidth="1"/>
    <col min="5384" max="5385" width="7.6640625" customWidth="1"/>
    <col min="5386" max="5386" width="18.6640625" bestFit="1" customWidth="1"/>
    <col min="5387" max="5387" width="7.6640625" customWidth="1"/>
    <col min="5633" max="5633" width="2" bestFit="1" customWidth="1"/>
    <col min="5634" max="5634" width="27.109375" customWidth="1"/>
    <col min="5635" max="5635" width="8.109375" customWidth="1"/>
    <col min="5636" max="5636" width="3" bestFit="1" customWidth="1"/>
    <col min="5637" max="5637" width="18.6640625" bestFit="1" customWidth="1"/>
    <col min="5638" max="5638" width="7" bestFit="1" customWidth="1"/>
    <col min="5639" max="5639" width="2" bestFit="1" customWidth="1"/>
    <col min="5640" max="5641" width="7.6640625" customWidth="1"/>
    <col min="5642" max="5642" width="18.6640625" bestFit="1" customWidth="1"/>
    <col min="5643" max="5643" width="7.6640625" customWidth="1"/>
    <col min="5889" max="5889" width="2" bestFit="1" customWidth="1"/>
    <col min="5890" max="5890" width="27.109375" customWidth="1"/>
    <col min="5891" max="5891" width="8.109375" customWidth="1"/>
    <col min="5892" max="5892" width="3" bestFit="1" customWidth="1"/>
    <col min="5893" max="5893" width="18.6640625" bestFit="1" customWidth="1"/>
    <col min="5894" max="5894" width="7" bestFit="1" customWidth="1"/>
    <col min="5895" max="5895" width="2" bestFit="1" customWidth="1"/>
    <col min="5896" max="5897" width="7.6640625" customWidth="1"/>
    <col min="5898" max="5898" width="18.6640625" bestFit="1" customWidth="1"/>
    <col min="5899" max="5899" width="7.6640625" customWidth="1"/>
    <col min="6145" max="6145" width="2" bestFit="1" customWidth="1"/>
    <col min="6146" max="6146" width="27.109375" customWidth="1"/>
    <col min="6147" max="6147" width="8.109375" customWidth="1"/>
    <col min="6148" max="6148" width="3" bestFit="1" customWidth="1"/>
    <col min="6149" max="6149" width="18.6640625" bestFit="1" customWidth="1"/>
    <col min="6150" max="6150" width="7" bestFit="1" customWidth="1"/>
    <col min="6151" max="6151" width="2" bestFit="1" customWidth="1"/>
    <col min="6152" max="6153" width="7.6640625" customWidth="1"/>
    <col min="6154" max="6154" width="18.6640625" bestFit="1" customWidth="1"/>
    <col min="6155" max="6155" width="7.6640625" customWidth="1"/>
    <col min="6401" max="6401" width="2" bestFit="1" customWidth="1"/>
    <col min="6402" max="6402" width="27.109375" customWidth="1"/>
    <col min="6403" max="6403" width="8.109375" customWidth="1"/>
    <col min="6404" max="6404" width="3" bestFit="1" customWidth="1"/>
    <col min="6405" max="6405" width="18.6640625" bestFit="1" customWidth="1"/>
    <col min="6406" max="6406" width="7" bestFit="1" customWidth="1"/>
    <col min="6407" max="6407" width="2" bestFit="1" customWidth="1"/>
    <col min="6408" max="6409" width="7.6640625" customWidth="1"/>
    <col min="6410" max="6410" width="18.6640625" bestFit="1" customWidth="1"/>
    <col min="6411" max="6411" width="7.6640625" customWidth="1"/>
    <col min="6657" max="6657" width="2" bestFit="1" customWidth="1"/>
    <col min="6658" max="6658" width="27.109375" customWidth="1"/>
    <col min="6659" max="6659" width="8.109375" customWidth="1"/>
    <col min="6660" max="6660" width="3" bestFit="1" customWidth="1"/>
    <col min="6661" max="6661" width="18.6640625" bestFit="1" customWidth="1"/>
    <col min="6662" max="6662" width="7" bestFit="1" customWidth="1"/>
    <col min="6663" max="6663" width="2" bestFit="1" customWidth="1"/>
    <col min="6664" max="6665" width="7.6640625" customWidth="1"/>
    <col min="6666" max="6666" width="18.6640625" bestFit="1" customWidth="1"/>
    <col min="6667" max="6667" width="7.6640625" customWidth="1"/>
    <col min="6913" max="6913" width="2" bestFit="1" customWidth="1"/>
    <col min="6914" max="6914" width="27.109375" customWidth="1"/>
    <col min="6915" max="6915" width="8.109375" customWidth="1"/>
    <col min="6916" max="6916" width="3" bestFit="1" customWidth="1"/>
    <col min="6917" max="6917" width="18.6640625" bestFit="1" customWidth="1"/>
    <col min="6918" max="6918" width="7" bestFit="1" customWidth="1"/>
    <col min="6919" max="6919" width="2" bestFit="1" customWidth="1"/>
    <col min="6920" max="6921" width="7.6640625" customWidth="1"/>
    <col min="6922" max="6922" width="18.6640625" bestFit="1" customWidth="1"/>
    <col min="6923" max="6923" width="7.6640625" customWidth="1"/>
    <col min="7169" max="7169" width="2" bestFit="1" customWidth="1"/>
    <col min="7170" max="7170" width="27.109375" customWidth="1"/>
    <col min="7171" max="7171" width="8.109375" customWidth="1"/>
    <col min="7172" max="7172" width="3" bestFit="1" customWidth="1"/>
    <col min="7173" max="7173" width="18.6640625" bestFit="1" customWidth="1"/>
    <col min="7174" max="7174" width="7" bestFit="1" customWidth="1"/>
    <col min="7175" max="7175" width="2" bestFit="1" customWidth="1"/>
    <col min="7176" max="7177" width="7.6640625" customWidth="1"/>
    <col min="7178" max="7178" width="18.6640625" bestFit="1" customWidth="1"/>
    <col min="7179" max="7179" width="7.6640625" customWidth="1"/>
    <col min="7425" max="7425" width="2" bestFit="1" customWidth="1"/>
    <col min="7426" max="7426" width="27.109375" customWidth="1"/>
    <col min="7427" max="7427" width="8.109375" customWidth="1"/>
    <col min="7428" max="7428" width="3" bestFit="1" customWidth="1"/>
    <col min="7429" max="7429" width="18.6640625" bestFit="1" customWidth="1"/>
    <col min="7430" max="7430" width="7" bestFit="1" customWidth="1"/>
    <col min="7431" max="7431" width="2" bestFit="1" customWidth="1"/>
    <col min="7432" max="7433" width="7.6640625" customWidth="1"/>
    <col min="7434" max="7434" width="18.6640625" bestFit="1" customWidth="1"/>
    <col min="7435" max="7435" width="7.6640625" customWidth="1"/>
    <col min="7681" max="7681" width="2" bestFit="1" customWidth="1"/>
    <col min="7682" max="7682" width="27.109375" customWidth="1"/>
    <col min="7683" max="7683" width="8.109375" customWidth="1"/>
    <col min="7684" max="7684" width="3" bestFit="1" customWidth="1"/>
    <col min="7685" max="7685" width="18.6640625" bestFit="1" customWidth="1"/>
    <col min="7686" max="7686" width="7" bestFit="1" customWidth="1"/>
    <col min="7687" max="7687" width="2" bestFit="1" customWidth="1"/>
    <col min="7688" max="7689" width="7.6640625" customWidth="1"/>
    <col min="7690" max="7690" width="18.6640625" bestFit="1" customWidth="1"/>
    <col min="7691" max="7691" width="7.6640625" customWidth="1"/>
    <col min="7937" max="7937" width="2" bestFit="1" customWidth="1"/>
    <col min="7938" max="7938" width="27.109375" customWidth="1"/>
    <col min="7939" max="7939" width="8.109375" customWidth="1"/>
    <col min="7940" max="7940" width="3" bestFit="1" customWidth="1"/>
    <col min="7941" max="7941" width="18.6640625" bestFit="1" customWidth="1"/>
    <col min="7942" max="7942" width="7" bestFit="1" customWidth="1"/>
    <col min="7943" max="7943" width="2" bestFit="1" customWidth="1"/>
    <col min="7944" max="7945" width="7.6640625" customWidth="1"/>
    <col min="7946" max="7946" width="18.6640625" bestFit="1" customWidth="1"/>
    <col min="7947" max="7947" width="7.6640625" customWidth="1"/>
    <col min="8193" max="8193" width="2" bestFit="1" customWidth="1"/>
    <col min="8194" max="8194" width="27.109375" customWidth="1"/>
    <col min="8195" max="8195" width="8.109375" customWidth="1"/>
    <col min="8196" max="8196" width="3" bestFit="1" customWidth="1"/>
    <col min="8197" max="8197" width="18.6640625" bestFit="1" customWidth="1"/>
    <col min="8198" max="8198" width="7" bestFit="1" customWidth="1"/>
    <col min="8199" max="8199" width="2" bestFit="1" customWidth="1"/>
    <col min="8200" max="8201" width="7.6640625" customWidth="1"/>
    <col min="8202" max="8202" width="18.6640625" bestFit="1" customWidth="1"/>
    <col min="8203" max="8203" width="7.6640625" customWidth="1"/>
    <col min="8449" max="8449" width="2" bestFit="1" customWidth="1"/>
    <col min="8450" max="8450" width="27.109375" customWidth="1"/>
    <col min="8451" max="8451" width="8.109375" customWidth="1"/>
    <col min="8452" max="8452" width="3" bestFit="1" customWidth="1"/>
    <col min="8453" max="8453" width="18.6640625" bestFit="1" customWidth="1"/>
    <col min="8454" max="8454" width="7" bestFit="1" customWidth="1"/>
    <col min="8455" max="8455" width="2" bestFit="1" customWidth="1"/>
    <col min="8456" max="8457" width="7.6640625" customWidth="1"/>
    <col min="8458" max="8458" width="18.6640625" bestFit="1" customWidth="1"/>
    <col min="8459" max="8459" width="7.6640625" customWidth="1"/>
    <col min="8705" max="8705" width="2" bestFit="1" customWidth="1"/>
    <col min="8706" max="8706" width="27.109375" customWidth="1"/>
    <col min="8707" max="8707" width="8.109375" customWidth="1"/>
    <col min="8708" max="8708" width="3" bestFit="1" customWidth="1"/>
    <col min="8709" max="8709" width="18.6640625" bestFit="1" customWidth="1"/>
    <col min="8710" max="8710" width="7" bestFit="1" customWidth="1"/>
    <col min="8711" max="8711" width="2" bestFit="1" customWidth="1"/>
    <col min="8712" max="8713" width="7.6640625" customWidth="1"/>
    <col min="8714" max="8714" width="18.6640625" bestFit="1" customWidth="1"/>
    <col min="8715" max="8715" width="7.6640625" customWidth="1"/>
    <col min="8961" max="8961" width="2" bestFit="1" customWidth="1"/>
    <col min="8962" max="8962" width="27.109375" customWidth="1"/>
    <col min="8963" max="8963" width="8.109375" customWidth="1"/>
    <col min="8964" max="8964" width="3" bestFit="1" customWidth="1"/>
    <col min="8965" max="8965" width="18.6640625" bestFit="1" customWidth="1"/>
    <col min="8966" max="8966" width="7" bestFit="1" customWidth="1"/>
    <col min="8967" max="8967" width="2" bestFit="1" customWidth="1"/>
    <col min="8968" max="8969" width="7.6640625" customWidth="1"/>
    <col min="8970" max="8970" width="18.6640625" bestFit="1" customWidth="1"/>
    <col min="8971" max="8971" width="7.6640625" customWidth="1"/>
    <col min="9217" max="9217" width="2" bestFit="1" customWidth="1"/>
    <col min="9218" max="9218" width="27.109375" customWidth="1"/>
    <col min="9219" max="9219" width="8.109375" customWidth="1"/>
    <col min="9220" max="9220" width="3" bestFit="1" customWidth="1"/>
    <col min="9221" max="9221" width="18.6640625" bestFit="1" customWidth="1"/>
    <col min="9222" max="9222" width="7" bestFit="1" customWidth="1"/>
    <col min="9223" max="9223" width="2" bestFit="1" customWidth="1"/>
    <col min="9224" max="9225" width="7.6640625" customWidth="1"/>
    <col min="9226" max="9226" width="18.6640625" bestFit="1" customWidth="1"/>
    <col min="9227" max="9227" width="7.6640625" customWidth="1"/>
    <col min="9473" max="9473" width="2" bestFit="1" customWidth="1"/>
    <col min="9474" max="9474" width="27.109375" customWidth="1"/>
    <col min="9475" max="9475" width="8.109375" customWidth="1"/>
    <col min="9476" max="9476" width="3" bestFit="1" customWidth="1"/>
    <col min="9477" max="9477" width="18.6640625" bestFit="1" customWidth="1"/>
    <col min="9478" max="9478" width="7" bestFit="1" customWidth="1"/>
    <col min="9479" max="9479" width="2" bestFit="1" customWidth="1"/>
    <col min="9480" max="9481" width="7.6640625" customWidth="1"/>
    <col min="9482" max="9482" width="18.6640625" bestFit="1" customWidth="1"/>
    <col min="9483" max="9483" width="7.6640625" customWidth="1"/>
    <col min="9729" max="9729" width="2" bestFit="1" customWidth="1"/>
    <col min="9730" max="9730" width="27.109375" customWidth="1"/>
    <col min="9731" max="9731" width="8.109375" customWidth="1"/>
    <col min="9732" max="9732" width="3" bestFit="1" customWidth="1"/>
    <col min="9733" max="9733" width="18.6640625" bestFit="1" customWidth="1"/>
    <col min="9734" max="9734" width="7" bestFit="1" customWidth="1"/>
    <col min="9735" max="9735" width="2" bestFit="1" customWidth="1"/>
    <col min="9736" max="9737" width="7.6640625" customWidth="1"/>
    <col min="9738" max="9738" width="18.6640625" bestFit="1" customWidth="1"/>
    <col min="9739" max="9739" width="7.6640625" customWidth="1"/>
    <col min="9985" max="9985" width="2" bestFit="1" customWidth="1"/>
    <col min="9986" max="9986" width="27.109375" customWidth="1"/>
    <col min="9987" max="9987" width="8.109375" customWidth="1"/>
    <col min="9988" max="9988" width="3" bestFit="1" customWidth="1"/>
    <col min="9989" max="9989" width="18.6640625" bestFit="1" customWidth="1"/>
    <col min="9990" max="9990" width="7" bestFit="1" customWidth="1"/>
    <col min="9991" max="9991" width="2" bestFit="1" customWidth="1"/>
    <col min="9992" max="9993" width="7.6640625" customWidth="1"/>
    <col min="9994" max="9994" width="18.6640625" bestFit="1" customWidth="1"/>
    <col min="9995" max="9995" width="7.6640625" customWidth="1"/>
    <col min="10241" max="10241" width="2" bestFit="1" customWidth="1"/>
    <col min="10242" max="10242" width="27.109375" customWidth="1"/>
    <col min="10243" max="10243" width="8.109375" customWidth="1"/>
    <col min="10244" max="10244" width="3" bestFit="1" customWidth="1"/>
    <col min="10245" max="10245" width="18.6640625" bestFit="1" customWidth="1"/>
    <col min="10246" max="10246" width="7" bestFit="1" customWidth="1"/>
    <col min="10247" max="10247" width="2" bestFit="1" customWidth="1"/>
    <col min="10248" max="10249" width="7.6640625" customWidth="1"/>
    <col min="10250" max="10250" width="18.6640625" bestFit="1" customWidth="1"/>
    <col min="10251" max="10251" width="7.6640625" customWidth="1"/>
    <col min="10497" max="10497" width="2" bestFit="1" customWidth="1"/>
    <col min="10498" max="10498" width="27.109375" customWidth="1"/>
    <col min="10499" max="10499" width="8.109375" customWidth="1"/>
    <col min="10500" max="10500" width="3" bestFit="1" customWidth="1"/>
    <col min="10501" max="10501" width="18.6640625" bestFit="1" customWidth="1"/>
    <col min="10502" max="10502" width="7" bestFit="1" customWidth="1"/>
    <col min="10503" max="10503" width="2" bestFit="1" customWidth="1"/>
    <col min="10504" max="10505" width="7.6640625" customWidth="1"/>
    <col min="10506" max="10506" width="18.6640625" bestFit="1" customWidth="1"/>
    <col min="10507" max="10507" width="7.6640625" customWidth="1"/>
    <col min="10753" max="10753" width="2" bestFit="1" customWidth="1"/>
    <col min="10754" max="10754" width="27.109375" customWidth="1"/>
    <col min="10755" max="10755" width="8.109375" customWidth="1"/>
    <col min="10756" max="10756" width="3" bestFit="1" customWidth="1"/>
    <col min="10757" max="10757" width="18.6640625" bestFit="1" customWidth="1"/>
    <col min="10758" max="10758" width="7" bestFit="1" customWidth="1"/>
    <col min="10759" max="10759" width="2" bestFit="1" customWidth="1"/>
    <col min="10760" max="10761" width="7.6640625" customWidth="1"/>
    <col min="10762" max="10762" width="18.6640625" bestFit="1" customWidth="1"/>
    <col min="10763" max="10763" width="7.6640625" customWidth="1"/>
    <col min="11009" max="11009" width="2" bestFit="1" customWidth="1"/>
    <col min="11010" max="11010" width="27.109375" customWidth="1"/>
    <col min="11011" max="11011" width="8.109375" customWidth="1"/>
    <col min="11012" max="11012" width="3" bestFit="1" customWidth="1"/>
    <col min="11013" max="11013" width="18.6640625" bestFit="1" customWidth="1"/>
    <col min="11014" max="11014" width="7" bestFit="1" customWidth="1"/>
    <col min="11015" max="11015" width="2" bestFit="1" customWidth="1"/>
    <col min="11016" max="11017" width="7.6640625" customWidth="1"/>
    <col min="11018" max="11018" width="18.6640625" bestFit="1" customWidth="1"/>
    <col min="11019" max="11019" width="7.6640625" customWidth="1"/>
    <col min="11265" max="11265" width="2" bestFit="1" customWidth="1"/>
    <col min="11266" max="11266" width="27.109375" customWidth="1"/>
    <col min="11267" max="11267" width="8.109375" customWidth="1"/>
    <col min="11268" max="11268" width="3" bestFit="1" customWidth="1"/>
    <col min="11269" max="11269" width="18.6640625" bestFit="1" customWidth="1"/>
    <col min="11270" max="11270" width="7" bestFit="1" customWidth="1"/>
    <col min="11271" max="11271" width="2" bestFit="1" customWidth="1"/>
    <col min="11272" max="11273" width="7.6640625" customWidth="1"/>
    <col min="11274" max="11274" width="18.6640625" bestFit="1" customWidth="1"/>
    <col min="11275" max="11275" width="7.6640625" customWidth="1"/>
    <col min="11521" max="11521" width="2" bestFit="1" customWidth="1"/>
    <col min="11522" max="11522" width="27.109375" customWidth="1"/>
    <col min="11523" max="11523" width="8.109375" customWidth="1"/>
    <col min="11524" max="11524" width="3" bestFit="1" customWidth="1"/>
    <col min="11525" max="11525" width="18.6640625" bestFit="1" customWidth="1"/>
    <col min="11526" max="11526" width="7" bestFit="1" customWidth="1"/>
    <col min="11527" max="11527" width="2" bestFit="1" customWidth="1"/>
    <col min="11528" max="11529" width="7.6640625" customWidth="1"/>
    <col min="11530" max="11530" width="18.6640625" bestFit="1" customWidth="1"/>
    <col min="11531" max="11531" width="7.6640625" customWidth="1"/>
    <col min="11777" max="11777" width="2" bestFit="1" customWidth="1"/>
    <col min="11778" max="11778" width="27.109375" customWidth="1"/>
    <col min="11779" max="11779" width="8.109375" customWidth="1"/>
    <col min="11780" max="11780" width="3" bestFit="1" customWidth="1"/>
    <col min="11781" max="11781" width="18.6640625" bestFit="1" customWidth="1"/>
    <col min="11782" max="11782" width="7" bestFit="1" customWidth="1"/>
    <col min="11783" max="11783" width="2" bestFit="1" customWidth="1"/>
    <col min="11784" max="11785" width="7.6640625" customWidth="1"/>
    <col min="11786" max="11786" width="18.6640625" bestFit="1" customWidth="1"/>
    <col min="11787" max="11787" width="7.6640625" customWidth="1"/>
    <col min="12033" max="12033" width="2" bestFit="1" customWidth="1"/>
    <col min="12034" max="12034" width="27.109375" customWidth="1"/>
    <col min="12035" max="12035" width="8.109375" customWidth="1"/>
    <col min="12036" max="12036" width="3" bestFit="1" customWidth="1"/>
    <col min="12037" max="12037" width="18.6640625" bestFit="1" customWidth="1"/>
    <col min="12038" max="12038" width="7" bestFit="1" customWidth="1"/>
    <col min="12039" max="12039" width="2" bestFit="1" customWidth="1"/>
    <col min="12040" max="12041" width="7.6640625" customWidth="1"/>
    <col min="12042" max="12042" width="18.6640625" bestFit="1" customWidth="1"/>
    <col min="12043" max="12043" width="7.6640625" customWidth="1"/>
    <col min="12289" max="12289" width="2" bestFit="1" customWidth="1"/>
    <col min="12290" max="12290" width="27.109375" customWidth="1"/>
    <col min="12291" max="12291" width="8.109375" customWidth="1"/>
    <col min="12292" max="12292" width="3" bestFit="1" customWidth="1"/>
    <col min="12293" max="12293" width="18.6640625" bestFit="1" customWidth="1"/>
    <col min="12294" max="12294" width="7" bestFit="1" customWidth="1"/>
    <col min="12295" max="12295" width="2" bestFit="1" customWidth="1"/>
    <col min="12296" max="12297" width="7.6640625" customWidth="1"/>
    <col min="12298" max="12298" width="18.6640625" bestFit="1" customWidth="1"/>
    <col min="12299" max="12299" width="7.6640625" customWidth="1"/>
    <col min="12545" max="12545" width="2" bestFit="1" customWidth="1"/>
    <col min="12546" max="12546" width="27.109375" customWidth="1"/>
    <col min="12547" max="12547" width="8.109375" customWidth="1"/>
    <col min="12548" max="12548" width="3" bestFit="1" customWidth="1"/>
    <col min="12549" max="12549" width="18.6640625" bestFit="1" customWidth="1"/>
    <col min="12550" max="12550" width="7" bestFit="1" customWidth="1"/>
    <col min="12551" max="12551" width="2" bestFit="1" customWidth="1"/>
    <col min="12552" max="12553" width="7.6640625" customWidth="1"/>
    <col min="12554" max="12554" width="18.6640625" bestFit="1" customWidth="1"/>
    <col min="12555" max="12555" width="7.6640625" customWidth="1"/>
    <col min="12801" max="12801" width="2" bestFit="1" customWidth="1"/>
    <col min="12802" max="12802" width="27.109375" customWidth="1"/>
    <col min="12803" max="12803" width="8.109375" customWidth="1"/>
    <col min="12804" max="12804" width="3" bestFit="1" customWidth="1"/>
    <col min="12805" max="12805" width="18.6640625" bestFit="1" customWidth="1"/>
    <col min="12806" max="12806" width="7" bestFit="1" customWidth="1"/>
    <col min="12807" max="12807" width="2" bestFit="1" customWidth="1"/>
    <col min="12808" max="12809" width="7.6640625" customWidth="1"/>
    <col min="12810" max="12810" width="18.6640625" bestFit="1" customWidth="1"/>
    <col min="12811" max="12811" width="7.6640625" customWidth="1"/>
    <col min="13057" max="13057" width="2" bestFit="1" customWidth="1"/>
    <col min="13058" max="13058" width="27.109375" customWidth="1"/>
    <col min="13059" max="13059" width="8.109375" customWidth="1"/>
    <col min="13060" max="13060" width="3" bestFit="1" customWidth="1"/>
    <col min="13061" max="13061" width="18.6640625" bestFit="1" customWidth="1"/>
    <col min="13062" max="13062" width="7" bestFit="1" customWidth="1"/>
    <col min="13063" max="13063" width="2" bestFit="1" customWidth="1"/>
    <col min="13064" max="13065" width="7.6640625" customWidth="1"/>
    <col min="13066" max="13066" width="18.6640625" bestFit="1" customWidth="1"/>
    <col min="13067" max="13067" width="7.6640625" customWidth="1"/>
    <col min="13313" max="13313" width="2" bestFit="1" customWidth="1"/>
    <col min="13314" max="13314" width="27.109375" customWidth="1"/>
    <col min="13315" max="13315" width="8.109375" customWidth="1"/>
    <col min="13316" max="13316" width="3" bestFit="1" customWidth="1"/>
    <col min="13317" max="13317" width="18.6640625" bestFit="1" customWidth="1"/>
    <col min="13318" max="13318" width="7" bestFit="1" customWidth="1"/>
    <col min="13319" max="13319" width="2" bestFit="1" customWidth="1"/>
    <col min="13320" max="13321" width="7.6640625" customWidth="1"/>
    <col min="13322" max="13322" width="18.6640625" bestFit="1" customWidth="1"/>
    <col min="13323" max="13323" width="7.6640625" customWidth="1"/>
    <col min="13569" max="13569" width="2" bestFit="1" customWidth="1"/>
    <col min="13570" max="13570" width="27.109375" customWidth="1"/>
    <col min="13571" max="13571" width="8.109375" customWidth="1"/>
    <col min="13572" max="13572" width="3" bestFit="1" customWidth="1"/>
    <col min="13573" max="13573" width="18.6640625" bestFit="1" customWidth="1"/>
    <col min="13574" max="13574" width="7" bestFit="1" customWidth="1"/>
    <col min="13575" max="13575" width="2" bestFit="1" customWidth="1"/>
    <col min="13576" max="13577" width="7.6640625" customWidth="1"/>
    <col min="13578" max="13578" width="18.6640625" bestFit="1" customWidth="1"/>
    <col min="13579" max="13579" width="7.6640625" customWidth="1"/>
    <col min="13825" max="13825" width="2" bestFit="1" customWidth="1"/>
    <col min="13826" max="13826" width="27.109375" customWidth="1"/>
    <col min="13827" max="13827" width="8.109375" customWidth="1"/>
    <col min="13828" max="13828" width="3" bestFit="1" customWidth="1"/>
    <col min="13829" max="13829" width="18.6640625" bestFit="1" customWidth="1"/>
    <col min="13830" max="13830" width="7" bestFit="1" customWidth="1"/>
    <col min="13831" max="13831" width="2" bestFit="1" customWidth="1"/>
    <col min="13832" max="13833" width="7.6640625" customWidth="1"/>
    <col min="13834" max="13834" width="18.6640625" bestFit="1" customWidth="1"/>
    <col min="13835" max="13835" width="7.6640625" customWidth="1"/>
    <col min="14081" max="14081" width="2" bestFit="1" customWidth="1"/>
    <col min="14082" max="14082" width="27.109375" customWidth="1"/>
    <col min="14083" max="14083" width="8.109375" customWidth="1"/>
    <col min="14084" max="14084" width="3" bestFit="1" customWidth="1"/>
    <col min="14085" max="14085" width="18.6640625" bestFit="1" customWidth="1"/>
    <col min="14086" max="14086" width="7" bestFit="1" customWidth="1"/>
    <col min="14087" max="14087" width="2" bestFit="1" customWidth="1"/>
    <col min="14088" max="14089" width="7.6640625" customWidth="1"/>
    <col min="14090" max="14090" width="18.6640625" bestFit="1" customWidth="1"/>
    <col min="14091" max="14091" width="7.6640625" customWidth="1"/>
    <col min="14337" max="14337" width="2" bestFit="1" customWidth="1"/>
    <col min="14338" max="14338" width="27.109375" customWidth="1"/>
    <col min="14339" max="14339" width="8.109375" customWidth="1"/>
    <col min="14340" max="14340" width="3" bestFit="1" customWidth="1"/>
    <col min="14341" max="14341" width="18.6640625" bestFit="1" customWidth="1"/>
    <col min="14342" max="14342" width="7" bestFit="1" customWidth="1"/>
    <col min="14343" max="14343" width="2" bestFit="1" customWidth="1"/>
    <col min="14344" max="14345" width="7.6640625" customWidth="1"/>
    <col min="14346" max="14346" width="18.6640625" bestFit="1" customWidth="1"/>
    <col min="14347" max="14347" width="7.6640625" customWidth="1"/>
    <col min="14593" max="14593" width="2" bestFit="1" customWidth="1"/>
    <col min="14594" max="14594" width="27.109375" customWidth="1"/>
    <col min="14595" max="14595" width="8.109375" customWidth="1"/>
    <col min="14596" max="14596" width="3" bestFit="1" customWidth="1"/>
    <col min="14597" max="14597" width="18.6640625" bestFit="1" customWidth="1"/>
    <col min="14598" max="14598" width="7" bestFit="1" customWidth="1"/>
    <col min="14599" max="14599" width="2" bestFit="1" customWidth="1"/>
    <col min="14600" max="14601" width="7.6640625" customWidth="1"/>
    <col min="14602" max="14602" width="18.6640625" bestFit="1" customWidth="1"/>
    <col min="14603" max="14603" width="7.6640625" customWidth="1"/>
    <col min="14849" max="14849" width="2" bestFit="1" customWidth="1"/>
    <col min="14850" max="14850" width="27.109375" customWidth="1"/>
    <col min="14851" max="14851" width="8.109375" customWidth="1"/>
    <col min="14852" max="14852" width="3" bestFit="1" customWidth="1"/>
    <col min="14853" max="14853" width="18.6640625" bestFit="1" customWidth="1"/>
    <col min="14854" max="14854" width="7" bestFit="1" customWidth="1"/>
    <col min="14855" max="14855" width="2" bestFit="1" customWidth="1"/>
    <col min="14856" max="14857" width="7.6640625" customWidth="1"/>
    <col min="14858" max="14858" width="18.6640625" bestFit="1" customWidth="1"/>
    <col min="14859" max="14859" width="7.6640625" customWidth="1"/>
    <col min="15105" max="15105" width="2" bestFit="1" customWidth="1"/>
    <col min="15106" max="15106" width="27.109375" customWidth="1"/>
    <col min="15107" max="15107" width="8.109375" customWidth="1"/>
    <col min="15108" max="15108" width="3" bestFit="1" customWidth="1"/>
    <col min="15109" max="15109" width="18.6640625" bestFit="1" customWidth="1"/>
    <col min="15110" max="15110" width="7" bestFit="1" customWidth="1"/>
    <col min="15111" max="15111" width="2" bestFit="1" customWidth="1"/>
    <col min="15112" max="15113" width="7.6640625" customWidth="1"/>
    <col min="15114" max="15114" width="18.6640625" bestFit="1" customWidth="1"/>
    <col min="15115" max="15115" width="7.6640625" customWidth="1"/>
    <col min="15361" max="15361" width="2" bestFit="1" customWidth="1"/>
    <col min="15362" max="15362" width="27.109375" customWidth="1"/>
    <col min="15363" max="15363" width="8.109375" customWidth="1"/>
    <col min="15364" max="15364" width="3" bestFit="1" customWidth="1"/>
    <col min="15365" max="15365" width="18.6640625" bestFit="1" customWidth="1"/>
    <col min="15366" max="15366" width="7" bestFit="1" customWidth="1"/>
    <col min="15367" max="15367" width="2" bestFit="1" customWidth="1"/>
    <col min="15368" max="15369" width="7.6640625" customWidth="1"/>
    <col min="15370" max="15370" width="18.6640625" bestFit="1" customWidth="1"/>
    <col min="15371" max="15371" width="7.6640625" customWidth="1"/>
    <col min="15617" max="15617" width="2" bestFit="1" customWidth="1"/>
    <col min="15618" max="15618" width="27.109375" customWidth="1"/>
    <col min="15619" max="15619" width="8.109375" customWidth="1"/>
    <col min="15620" max="15620" width="3" bestFit="1" customWidth="1"/>
    <col min="15621" max="15621" width="18.6640625" bestFit="1" customWidth="1"/>
    <col min="15622" max="15622" width="7" bestFit="1" customWidth="1"/>
    <col min="15623" max="15623" width="2" bestFit="1" customWidth="1"/>
    <col min="15624" max="15625" width="7.6640625" customWidth="1"/>
    <col min="15626" max="15626" width="18.6640625" bestFit="1" customWidth="1"/>
    <col min="15627" max="15627" width="7.6640625" customWidth="1"/>
    <col min="15873" max="15873" width="2" bestFit="1" customWidth="1"/>
    <col min="15874" max="15874" width="27.109375" customWidth="1"/>
    <col min="15875" max="15875" width="8.109375" customWidth="1"/>
    <col min="15876" max="15876" width="3" bestFit="1" customWidth="1"/>
    <col min="15877" max="15877" width="18.6640625" bestFit="1" customWidth="1"/>
    <col min="15878" max="15878" width="7" bestFit="1" customWidth="1"/>
    <col min="15879" max="15879" width="2" bestFit="1" customWidth="1"/>
    <col min="15880" max="15881" width="7.6640625" customWidth="1"/>
    <col min="15882" max="15882" width="18.6640625" bestFit="1" customWidth="1"/>
    <col min="15883" max="15883" width="7.6640625" customWidth="1"/>
    <col min="16129" max="16129" width="2" bestFit="1" customWidth="1"/>
    <col min="16130" max="16130" width="27.109375" customWidth="1"/>
    <col min="16131" max="16131" width="8.109375" customWidth="1"/>
    <col min="16132" max="16132" width="3" bestFit="1" customWidth="1"/>
    <col min="16133" max="16133" width="18.6640625" bestFit="1" customWidth="1"/>
    <col min="16134" max="16134" width="7" bestFit="1" customWidth="1"/>
    <col min="16135" max="16135" width="2" bestFit="1" customWidth="1"/>
    <col min="16136" max="16137" width="7.6640625" customWidth="1"/>
    <col min="16138" max="16138" width="18.6640625" bestFit="1" customWidth="1"/>
    <col min="16139" max="16139" width="7.6640625" customWidth="1"/>
  </cols>
  <sheetData>
    <row r="1" spans="1:11" ht="43.2" x14ac:dyDescent="0.3">
      <c r="B1" s="25" t="str">
        <f>"If you deposit "&amp;DOLLAR(C5)&amp;" at the end of each year for the next "&amp;C4&amp;" years and you can earn "&amp;TEXT(C2,"0.00%")&amp;" compounded "&amp;C3&amp;" time a year, what is the Future Value?"</f>
        <v>If you deposit $50.00 at the end of each year for the next 3 years and you can earn 12.00% compounded 1 time a year, what is the Future Value?</v>
      </c>
      <c r="C1" s="25"/>
      <c r="D1" s="25"/>
      <c r="E1" s="25"/>
      <c r="G1" s="42">
        <v>1</v>
      </c>
      <c r="H1" s="92" t="s">
        <v>75</v>
      </c>
      <c r="I1" s="25"/>
      <c r="J1" s="25"/>
      <c r="K1" s="25"/>
    </row>
    <row r="2" spans="1:11" x14ac:dyDescent="0.3">
      <c r="B2" s="6" t="s">
        <v>56</v>
      </c>
      <c r="C2" s="1">
        <v>0.12</v>
      </c>
      <c r="H2" s="1">
        <v>0</v>
      </c>
      <c r="I2" s="1"/>
      <c r="J2" s="1"/>
      <c r="K2" s="1"/>
    </row>
    <row r="3" spans="1:11" x14ac:dyDescent="0.3">
      <c r="B3" s="6" t="s">
        <v>38</v>
      </c>
      <c r="C3" s="1">
        <v>1</v>
      </c>
      <c r="G3">
        <v>3</v>
      </c>
      <c r="H3" s="1">
        <v>1</v>
      </c>
      <c r="I3" s="1">
        <f>$C$5</f>
        <v>50</v>
      </c>
      <c r="J3" s="1" t="str">
        <f>"*(1+"&amp;$C$2&amp;"/"&amp;$C$3&amp;")^("&amp;$C$3&amp;"*"&amp;ROWS(I3:$I$5)-1&amp;")) ="</f>
        <v>*(1+0.12/1)^(1*2)) =</v>
      </c>
      <c r="K3" s="31">
        <f>I3*(1+$C$2/$C$3)^(G3-1)</f>
        <v>62.720000000000006</v>
      </c>
    </row>
    <row r="4" spans="1:11" x14ac:dyDescent="0.3">
      <c r="B4" s="6" t="s">
        <v>76</v>
      </c>
      <c r="C4" s="1">
        <v>3</v>
      </c>
      <c r="G4">
        <v>2</v>
      </c>
      <c r="H4" s="1">
        <v>2</v>
      </c>
      <c r="I4" s="1">
        <f>$C$5</f>
        <v>50</v>
      </c>
      <c r="J4" s="1" t="str">
        <f>"*(1+"&amp;$C$2&amp;"/"&amp;$C$3&amp;")^("&amp;$C$3&amp;"*"&amp;ROWS(I4:$I$5)-1&amp;")) ="</f>
        <v>*(1+0.12/1)^(1*1)) =</v>
      </c>
      <c r="K4" s="31">
        <f t="shared" ref="K4:K5" si="0">I4*(1+$C$2/$C$3)^(G4-1)</f>
        <v>56.000000000000007</v>
      </c>
    </row>
    <row r="5" spans="1:11" ht="29.4" thickBot="1" x14ac:dyDescent="0.35">
      <c r="B5" s="6" t="s">
        <v>77</v>
      </c>
      <c r="C5" s="1">
        <v>50</v>
      </c>
      <c r="G5">
        <v>1</v>
      </c>
      <c r="H5" s="1">
        <v>3</v>
      </c>
      <c r="I5" s="1">
        <f>$C$5</f>
        <v>50</v>
      </c>
      <c r="J5" s="1" t="str">
        <f>"*(1+"&amp;$C$2&amp;"/"&amp;$C$3&amp;")^("&amp;$C$3&amp;"*"&amp;ROWS(I5:$I$5)-1&amp;")) ="</f>
        <v>*(1+0.12/1)^(1*0)) =</v>
      </c>
      <c r="K5" s="31">
        <f t="shared" si="0"/>
        <v>50</v>
      </c>
    </row>
    <row r="6" spans="1:11" ht="45.75" thickBot="1" x14ac:dyDescent="0.3">
      <c r="B6" s="6" t="s">
        <v>155</v>
      </c>
      <c r="C6" s="1"/>
      <c r="H6" s="7"/>
      <c r="K6" s="23">
        <f>SUM(K3:K5)</f>
        <v>168.72000000000003</v>
      </c>
    </row>
    <row r="7" spans="1:11" ht="15" thickTop="1" x14ac:dyDescent="0.3">
      <c r="H7" s="7"/>
    </row>
    <row r="8" spans="1:11" ht="28.8" x14ac:dyDescent="0.3">
      <c r="A8" s="42">
        <v>2</v>
      </c>
      <c r="B8" s="6" t="s">
        <v>217</v>
      </c>
      <c r="C8" s="31"/>
    </row>
    <row r="9" spans="1:11" ht="15" x14ac:dyDescent="0.25">
      <c r="A9" s="42">
        <v>3</v>
      </c>
      <c r="B9" s="6" t="s">
        <v>156</v>
      </c>
      <c r="C9" s="22"/>
    </row>
    <row r="11" spans="1:11" ht="43.2" x14ac:dyDescent="0.3">
      <c r="B11" s="6" t="s">
        <v>218</v>
      </c>
      <c r="C11" s="1">
        <f>((1+C2/C3)^(C3*C4)-1)/(C2/C3)</f>
        <v>3.3744000000000036</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K11"/>
  <sheetViews>
    <sheetView workbookViewId="0"/>
  </sheetViews>
  <sheetFormatPr defaultRowHeight="14.4" x14ac:dyDescent="0.3"/>
  <cols>
    <col min="1" max="1" width="2" bestFit="1" customWidth="1"/>
    <col min="2" max="2" width="27.109375" style="7" customWidth="1"/>
    <col min="3" max="3" width="8.109375" customWidth="1"/>
    <col min="4" max="4" width="3" bestFit="1" customWidth="1"/>
    <col min="5" max="5" width="18.6640625" bestFit="1" customWidth="1"/>
    <col min="6" max="6" width="7" bestFit="1" customWidth="1"/>
    <col min="7" max="7" width="2" bestFit="1" customWidth="1"/>
    <col min="8" max="9" width="7.6640625" customWidth="1"/>
    <col min="10" max="10" width="18.6640625" bestFit="1" customWidth="1"/>
    <col min="11" max="11" width="7.6640625" customWidth="1"/>
    <col min="257" max="257" width="2" bestFit="1" customWidth="1"/>
    <col min="258" max="258" width="27.109375" customWidth="1"/>
    <col min="259" max="259" width="8.109375" customWidth="1"/>
    <col min="260" max="260" width="3" bestFit="1" customWidth="1"/>
    <col min="261" max="261" width="18.6640625" bestFit="1" customWidth="1"/>
    <col min="262" max="262" width="7" bestFit="1" customWidth="1"/>
    <col min="263" max="263" width="2" bestFit="1" customWidth="1"/>
    <col min="264" max="265" width="7.6640625" customWidth="1"/>
    <col min="266" max="266" width="18.6640625" bestFit="1" customWidth="1"/>
    <col min="267" max="267" width="7.6640625" customWidth="1"/>
    <col min="513" max="513" width="2" bestFit="1" customWidth="1"/>
    <col min="514" max="514" width="27.109375" customWidth="1"/>
    <col min="515" max="515" width="8.109375" customWidth="1"/>
    <col min="516" max="516" width="3" bestFit="1" customWidth="1"/>
    <col min="517" max="517" width="18.6640625" bestFit="1" customWidth="1"/>
    <col min="518" max="518" width="7" bestFit="1" customWidth="1"/>
    <col min="519" max="519" width="2" bestFit="1" customWidth="1"/>
    <col min="520" max="521" width="7.6640625" customWidth="1"/>
    <col min="522" max="522" width="18.6640625" bestFit="1" customWidth="1"/>
    <col min="523" max="523" width="7.6640625" customWidth="1"/>
    <col min="769" max="769" width="2" bestFit="1" customWidth="1"/>
    <col min="770" max="770" width="27.109375" customWidth="1"/>
    <col min="771" max="771" width="8.109375" customWidth="1"/>
    <col min="772" max="772" width="3" bestFit="1" customWidth="1"/>
    <col min="773" max="773" width="18.6640625" bestFit="1" customWidth="1"/>
    <col min="774" max="774" width="7" bestFit="1" customWidth="1"/>
    <col min="775" max="775" width="2" bestFit="1" customWidth="1"/>
    <col min="776" max="777" width="7.6640625" customWidth="1"/>
    <col min="778" max="778" width="18.6640625" bestFit="1" customWidth="1"/>
    <col min="779" max="779" width="7.6640625" customWidth="1"/>
    <col min="1025" max="1025" width="2" bestFit="1" customWidth="1"/>
    <col min="1026" max="1026" width="27.109375" customWidth="1"/>
    <col min="1027" max="1027" width="8.109375" customWidth="1"/>
    <col min="1028" max="1028" width="3" bestFit="1" customWidth="1"/>
    <col min="1029" max="1029" width="18.6640625" bestFit="1" customWidth="1"/>
    <col min="1030" max="1030" width="7" bestFit="1" customWidth="1"/>
    <col min="1031" max="1031" width="2" bestFit="1" customWidth="1"/>
    <col min="1032" max="1033" width="7.6640625" customWidth="1"/>
    <col min="1034" max="1034" width="18.6640625" bestFit="1" customWidth="1"/>
    <col min="1035" max="1035" width="7.6640625" customWidth="1"/>
    <col min="1281" max="1281" width="2" bestFit="1" customWidth="1"/>
    <col min="1282" max="1282" width="27.109375" customWidth="1"/>
    <col min="1283" max="1283" width="8.109375" customWidth="1"/>
    <col min="1284" max="1284" width="3" bestFit="1" customWidth="1"/>
    <col min="1285" max="1285" width="18.6640625" bestFit="1" customWidth="1"/>
    <col min="1286" max="1286" width="7" bestFit="1" customWidth="1"/>
    <col min="1287" max="1287" width="2" bestFit="1" customWidth="1"/>
    <col min="1288" max="1289" width="7.6640625" customWidth="1"/>
    <col min="1290" max="1290" width="18.6640625" bestFit="1" customWidth="1"/>
    <col min="1291" max="1291" width="7.6640625" customWidth="1"/>
    <col min="1537" max="1537" width="2" bestFit="1" customWidth="1"/>
    <col min="1538" max="1538" width="27.109375" customWidth="1"/>
    <col min="1539" max="1539" width="8.109375" customWidth="1"/>
    <col min="1540" max="1540" width="3" bestFit="1" customWidth="1"/>
    <col min="1541" max="1541" width="18.6640625" bestFit="1" customWidth="1"/>
    <col min="1542" max="1542" width="7" bestFit="1" customWidth="1"/>
    <col min="1543" max="1543" width="2" bestFit="1" customWidth="1"/>
    <col min="1544" max="1545" width="7.6640625" customWidth="1"/>
    <col min="1546" max="1546" width="18.6640625" bestFit="1" customWidth="1"/>
    <col min="1547" max="1547" width="7.6640625" customWidth="1"/>
    <col min="1793" max="1793" width="2" bestFit="1" customWidth="1"/>
    <col min="1794" max="1794" width="27.109375" customWidth="1"/>
    <col min="1795" max="1795" width="8.109375" customWidth="1"/>
    <col min="1796" max="1796" width="3" bestFit="1" customWidth="1"/>
    <col min="1797" max="1797" width="18.6640625" bestFit="1" customWidth="1"/>
    <col min="1798" max="1798" width="7" bestFit="1" customWidth="1"/>
    <col min="1799" max="1799" width="2" bestFit="1" customWidth="1"/>
    <col min="1800" max="1801" width="7.6640625" customWidth="1"/>
    <col min="1802" max="1802" width="18.6640625" bestFit="1" customWidth="1"/>
    <col min="1803" max="1803" width="7.6640625" customWidth="1"/>
    <col min="2049" max="2049" width="2" bestFit="1" customWidth="1"/>
    <col min="2050" max="2050" width="27.109375" customWidth="1"/>
    <col min="2051" max="2051" width="8.109375" customWidth="1"/>
    <col min="2052" max="2052" width="3" bestFit="1" customWidth="1"/>
    <col min="2053" max="2053" width="18.6640625" bestFit="1" customWidth="1"/>
    <col min="2054" max="2054" width="7" bestFit="1" customWidth="1"/>
    <col min="2055" max="2055" width="2" bestFit="1" customWidth="1"/>
    <col min="2056" max="2057" width="7.6640625" customWidth="1"/>
    <col min="2058" max="2058" width="18.6640625" bestFit="1" customWidth="1"/>
    <col min="2059" max="2059" width="7.6640625" customWidth="1"/>
    <col min="2305" max="2305" width="2" bestFit="1" customWidth="1"/>
    <col min="2306" max="2306" width="27.109375" customWidth="1"/>
    <col min="2307" max="2307" width="8.109375" customWidth="1"/>
    <col min="2308" max="2308" width="3" bestFit="1" customWidth="1"/>
    <col min="2309" max="2309" width="18.6640625" bestFit="1" customWidth="1"/>
    <col min="2310" max="2310" width="7" bestFit="1" customWidth="1"/>
    <col min="2311" max="2311" width="2" bestFit="1" customWidth="1"/>
    <col min="2312" max="2313" width="7.6640625" customWidth="1"/>
    <col min="2314" max="2314" width="18.6640625" bestFit="1" customWidth="1"/>
    <col min="2315" max="2315" width="7.6640625" customWidth="1"/>
    <col min="2561" max="2561" width="2" bestFit="1" customWidth="1"/>
    <col min="2562" max="2562" width="27.109375" customWidth="1"/>
    <col min="2563" max="2563" width="8.109375" customWidth="1"/>
    <col min="2564" max="2564" width="3" bestFit="1" customWidth="1"/>
    <col min="2565" max="2565" width="18.6640625" bestFit="1" customWidth="1"/>
    <col min="2566" max="2566" width="7" bestFit="1" customWidth="1"/>
    <col min="2567" max="2567" width="2" bestFit="1" customWidth="1"/>
    <col min="2568" max="2569" width="7.6640625" customWidth="1"/>
    <col min="2570" max="2570" width="18.6640625" bestFit="1" customWidth="1"/>
    <col min="2571" max="2571" width="7.6640625" customWidth="1"/>
    <col min="2817" max="2817" width="2" bestFit="1" customWidth="1"/>
    <col min="2818" max="2818" width="27.109375" customWidth="1"/>
    <col min="2819" max="2819" width="8.109375" customWidth="1"/>
    <col min="2820" max="2820" width="3" bestFit="1" customWidth="1"/>
    <col min="2821" max="2821" width="18.6640625" bestFit="1" customWidth="1"/>
    <col min="2822" max="2822" width="7" bestFit="1" customWidth="1"/>
    <col min="2823" max="2823" width="2" bestFit="1" customWidth="1"/>
    <col min="2824" max="2825" width="7.6640625" customWidth="1"/>
    <col min="2826" max="2826" width="18.6640625" bestFit="1" customWidth="1"/>
    <col min="2827" max="2827" width="7.6640625" customWidth="1"/>
    <col min="3073" max="3073" width="2" bestFit="1" customWidth="1"/>
    <col min="3074" max="3074" width="27.109375" customWidth="1"/>
    <col min="3075" max="3075" width="8.109375" customWidth="1"/>
    <col min="3076" max="3076" width="3" bestFit="1" customWidth="1"/>
    <col min="3077" max="3077" width="18.6640625" bestFit="1" customWidth="1"/>
    <col min="3078" max="3078" width="7" bestFit="1" customWidth="1"/>
    <col min="3079" max="3079" width="2" bestFit="1" customWidth="1"/>
    <col min="3080" max="3081" width="7.6640625" customWidth="1"/>
    <col min="3082" max="3082" width="18.6640625" bestFit="1" customWidth="1"/>
    <col min="3083" max="3083" width="7.6640625" customWidth="1"/>
    <col min="3329" max="3329" width="2" bestFit="1" customWidth="1"/>
    <col min="3330" max="3330" width="27.109375" customWidth="1"/>
    <col min="3331" max="3331" width="8.109375" customWidth="1"/>
    <col min="3332" max="3332" width="3" bestFit="1" customWidth="1"/>
    <col min="3333" max="3333" width="18.6640625" bestFit="1" customWidth="1"/>
    <col min="3334" max="3334" width="7" bestFit="1" customWidth="1"/>
    <col min="3335" max="3335" width="2" bestFit="1" customWidth="1"/>
    <col min="3336" max="3337" width="7.6640625" customWidth="1"/>
    <col min="3338" max="3338" width="18.6640625" bestFit="1" customWidth="1"/>
    <col min="3339" max="3339" width="7.6640625" customWidth="1"/>
    <col min="3585" max="3585" width="2" bestFit="1" customWidth="1"/>
    <col min="3586" max="3586" width="27.109375" customWidth="1"/>
    <col min="3587" max="3587" width="8.109375" customWidth="1"/>
    <col min="3588" max="3588" width="3" bestFit="1" customWidth="1"/>
    <col min="3589" max="3589" width="18.6640625" bestFit="1" customWidth="1"/>
    <col min="3590" max="3590" width="7" bestFit="1" customWidth="1"/>
    <col min="3591" max="3591" width="2" bestFit="1" customWidth="1"/>
    <col min="3592" max="3593" width="7.6640625" customWidth="1"/>
    <col min="3594" max="3594" width="18.6640625" bestFit="1" customWidth="1"/>
    <col min="3595" max="3595" width="7.6640625" customWidth="1"/>
    <col min="3841" max="3841" width="2" bestFit="1" customWidth="1"/>
    <col min="3842" max="3842" width="27.109375" customWidth="1"/>
    <col min="3843" max="3843" width="8.109375" customWidth="1"/>
    <col min="3844" max="3844" width="3" bestFit="1" customWidth="1"/>
    <col min="3845" max="3845" width="18.6640625" bestFit="1" customWidth="1"/>
    <col min="3846" max="3846" width="7" bestFit="1" customWidth="1"/>
    <col min="3847" max="3847" width="2" bestFit="1" customWidth="1"/>
    <col min="3848" max="3849" width="7.6640625" customWidth="1"/>
    <col min="3850" max="3850" width="18.6640625" bestFit="1" customWidth="1"/>
    <col min="3851" max="3851" width="7.6640625" customWidth="1"/>
    <col min="4097" max="4097" width="2" bestFit="1" customWidth="1"/>
    <col min="4098" max="4098" width="27.109375" customWidth="1"/>
    <col min="4099" max="4099" width="8.109375" customWidth="1"/>
    <col min="4100" max="4100" width="3" bestFit="1" customWidth="1"/>
    <col min="4101" max="4101" width="18.6640625" bestFit="1" customWidth="1"/>
    <col min="4102" max="4102" width="7" bestFit="1" customWidth="1"/>
    <col min="4103" max="4103" width="2" bestFit="1" customWidth="1"/>
    <col min="4104" max="4105" width="7.6640625" customWidth="1"/>
    <col min="4106" max="4106" width="18.6640625" bestFit="1" customWidth="1"/>
    <col min="4107" max="4107" width="7.6640625" customWidth="1"/>
    <col min="4353" max="4353" width="2" bestFit="1" customWidth="1"/>
    <col min="4354" max="4354" width="27.109375" customWidth="1"/>
    <col min="4355" max="4355" width="8.109375" customWidth="1"/>
    <col min="4356" max="4356" width="3" bestFit="1" customWidth="1"/>
    <col min="4357" max="4357" width="18.6640625" bestFit="1" customWidth="1"/>
    <col min="4358" max="4358" width="7" bestFit="1" customWidth="1"/>
    <col min="4359" max="4359" width="2" bestFit="1" customWidth="1"/>
    <col min="4360" max="4361" width="7.6640625" customWidth="1"/>
    <col min="4362" max="4362" width="18.6640625" bestFit="1" customWidth="1"/>
    <col min="4363" max="4363" width="7.6640625" customWidth="1"/>
    <col min="4609" max="4609" width="2" bestFit="1" customWidth="1"/>
    <col min="4610" max="4610" width="27.109375" customWidth="1"/>
    <col min="4611" max="4611" width="8.109375" customWidth="1"/>
    <col min="4612" max="4612" width="3" bestFit="1" customWidth="1"/>
    <col min="4613" max="4613" width="18.6640625" bestFit="1" customWidth="1"/>
    <col min="4614" max="4614" width="7" bestFit="1" customWidth="1"/>
    <col min="4615" max="4615" width="2" bestFit="1" customWidth="1"/>
    <col min="4616" max="4617" width="7.6640625" customWidth="1"/>
    <col min="4618" max="4618" width="18.6640625" bestFit="1" customWidth="1"/>
    <col min="4619" max="4619" width="7.6640625" customWidth="1"/>
    <col min="4865" max="4865" width="2" bestFit="1" customWidth="1"/>
    <col min="4866" max="4866" width="27.109375" customWidth="1"/>
    <col min="4867" max="4867" width="8.109375" customWidth="1"/>
    <col min="4868" max="4868" width="3" bestFit="1" customWidth="1"/>
    <col min="4869" max="4869" width="18.6640625" bestFit="1" customWidth="1"/>
    <col min="4870" max="4870" width="7" bestFit="1" customWidth="1"/>
    <col min="4871" max="4871" width="2" bestFit="1" customWidth="1"/>
    <col min="4872" max="4873" width="7.6640625" customWidth="1"/>
    <col min="4874" max="4874" width="18.6640625" bestFit="1" customWidth="1"/>
    <col min="4875" max="4875" width="7.6640625" customWidth="1"/>
    <col min="5121" max="5121" width="2" bestFit="1" customWidth="1"/>
    <col min="5122" max="5122" width="27.109375" customWidth="1"/>
    <col min="5123" max="5123" width="8.109375" customWidth="1"/>
    <col min="5124" max="5124" width="3" bestFit="1" customWidth="1"/>
    <col min="5125" max="5125" width="18.6640625" bestFit="1" customWidth="1"/>
    <col min="5126" max="5126" width="7" bestFit="1" customWidth="1"/>
    <col min="5127" max="5127" width="2" bestFit="1" customWidth="1"/>
    <col min="5128" max="5129" width="7.6640625" customWidth="1"/>
    <col min="5130" max="5130" width="18.6640625" bestFit="1" customWidth="1"/>
    <col min="5131" max="5131" width="7.6640625" customWidth="1"/>
    <col min="5377" max="5377" width="2" bestFit="1" customWidth="1"/>
    <col min="5378" max="5378" width="27.109375" customWidth="1"/>
    <col min="5379" max="5379" width="8.109375" customWidth="1"/>
    <col min="5380" max="5380" width="3" bestFit="1" customWidth="1"/>
    <col min="5381" max="5381" width="18.6640625" bestFit="1" customWidth="1"/>
    <col min="5382" max="5382" width="7" bestFit="1" customWidth="1"/>
    <col min="5383" max="5383" width="2" bestFit="1" customWidth="1"/>
    <col min="5384" max="5385" width="7.6640625" customWidth="1"/>
    <col min="5386" max="5386" width="18.6640625" bestFit="1" customWidth="1"/>
    <col min="5387" max="5387" width="7.6640625" customWidth="1"/>
    <col min="5633" max="5633" width="2" bestFit="1" customWidth="1"/>
    <col min="5634" max="5634" width="27.109375" customWidth="1"/>
    <col min="5635" max="5635" width="8.109375" customWidth="1"/>
    <col min="5636" max="5636" width="3" bestFit="1" customWidth="1"/>
    <col min="5637" max="5637" width="18.6640625" bestFit="1" customWidth="1"/>
    <col min="5638" max="5638" width="7" bestFit="1" customWidth="1"/>
    <col min="5639" max="5639" width="2" bestFit="1" customWidth="1"/>
    <col min="5640" max="5641" width="7.6640625" customWidth="1"/>
    <col min="5642" max="5642" width="18.6640625" bestFit="1" customWidth="1"/>
    <col min="5643" max="5643" width="7.6640625" customWidth="1"/>
    <col min="5889" max="5889" width="2" bestFit="1" customWidth="1"/>
    <col min="5890" max="5890" width="27.109375" customWidth="1"/>
    <col min="5891" max="5891" width="8.109375" customWidth="1"/>
    <col min="5892" max="5892" width="3" bestFit="1" customWidth="1"/>
    <col min="5893" max="5893" width="18.6640625" bestFit="1" customWidth="1"/>
    <col min="5894" max="5894" width="7" bestFit="1" customWidth="1"/>
    <col min="5895" max="5895" width="2" bestFit="1" customWidth="1"/>
    <col min="5896" max="5897" width="7.6640625" customWidth="1"/>
    <col min="5898" max="5898" width="18.6640625" bestFit="1" customWidth="1"/>
    <col min="5899" max="5899" width="7.6640625" customWidth="1"/>
    <col min="6145" max="6145" width="2" bestFit="1" customWidth="1"/>
    <col min="6146" max="6146" width="27.109375" customWidth="1"/>
    <col min="6147" max="6147" width="8.109375" customWidth="1"/>
    <col min="6148" max="6148" width="3" bestFit="1" customWidth="1"/>
    <col min="6149" max="6149" width="18.6640625" bestFit="1" customWidth="1"/>
    <col min="6150" max="6150" width="7" bestFit="1" customWidth="1"/>
    <col min="6151" max="6151" width="2" bestFit="1" customWidth="1"/>
    <col min="6152" max="6153" width="7.6640625" customWidth="1"/>
    <col min="6154" max="6154" width="18.6640625" bestFit="1" customWidth="1"/>
    <col min="6155" max="6155" width="7.6640625" customWidth="1"/>
    <col min="6401" max="6401" width="2" bestFit="1" customWidth="1"/>
    <col min="6402" max="6402" width="27.109375" customWidth="1"/>
    <col min="6403" max="6403" width="8.109375" customWidth="1"/>
    <col min="6404" max="6404" width="3" bestFit="1" customWidth="1"/>
    <col min="6405" max="6405" width="18.6640625" bestFit="1" customWidth="1"/>
    <col min="6406" max="6406" width="7" bestFit="1" customWidth="1"/>
    <col min="6407" max="6407" width="2" bestFit="1" customWidth="1"/>
    <col min="6408" max="6409" width="7.6640625" customWidth="1"/>
    <col min="6410" max="6410" width="18.6640625" bestFit="1" customWidth="1"/>
    <col min="6411" max="6411" width="7.6640625" customWidth="1"/>
    <col min="6657" max="6657" width="2" bestFit="1" customWidth="1"/>
    <col min="6658" max="6658" width="27.109375" customWidth="1"/>
    <col min="6659" max="6659" width="8.109375" customWidth="1"/>
    <col min="6660" max="6660" width="3" bestFit="1" customWidth="1"/>
    <col min="6661" max="6661" width="18.6640625" bestFit="1" customWidth="1"/>
    <col min="6662" max="6662" width="7" bestFit="1" customWidth="1"/>
    <col min="6663" max="6663" width="2" bestFit="1" customWidth="1"/>
    <col min="6664" max="6665" width="7.6640625" customWidth="1"/>
    <col min="6666" max="6666" width="18.6640625" bestFit="1" customWidth="1"/>
    <col min="6667" max="6667" width="7.6640625" customWidth="1"/>
    <col min="6913" max="6913" width="2" bestFit="1" customWidth="1"/>
    <col min="6914" max="6914" width="27.109375" customWidth="1"/>
    <col min="6915" max="6915" width="8.109375" customWidth="1"/>
    <col min="6916" max="6916" width="3" bestFit="1" customWidth="1"/>
    <col min="6917" max="6917" width="18.6640625" bestFit="1" customWidth="1"/>
    <col min="6918" max="6918" width="7" bestFit="1" customWidth="1"/>
    <col min="6919" max="6919" width="2" bestFit="1" customWidth="1"/>
    <col min="6920" max="6921" width="7.6640625" customWidth="1"/>
    <col min="6922" max="6922" width="18.6640625" bestFit="1" customWidth="1"/>
    <col min="6923" max="6923" width="7.6640625" customWidth="1"/>
    <col min="7169" max="7169" width="2" bestFit="1" customWidth="1"/>
    <col min="7170" max="7170" width="27.109375" customWidth="1"/>
    <col min="7171" max="7171" width="8.109375" customWidth="1"/>
    <col min="7172" max="7172" width="3" bestFit="1" customWidth="1"/>
    <col min="7173" max="7173" width="18.6640625" bestFit="1" customWidth="1"/>
    <col min="7174" max="7174" width="7" bestFit="1" customWidth="1"/>
    <col min="7175" max="7175" width="2" bestFit="1" customWidth="1"/>
    <col min="7176" max="7177" width="7.6640625" customWidth="1"/>
    <col min="7178" max="7178" width="18.6640625" bestFit="1" customWidth="1"/>
    <col min="7179" max="7179" width="7.6640625" customWidth="1"/>
    <col min="7425" max="7425" width="2" bestFit="1" customWidth="1"/>
    <col min="7426" max="7426" width="27.109375" customWidth="1"/>
    <col min="7427" max="7427" width="8.109375" customWidth="1"/>
    <col min="7428" max="7428" width="3" bestFit="1" customWidth="1"/>
    <col min="7429" max="7429" width="18.6640625" bestFit="1" customWidth="1"/>
    <col min="7430" max="7430" width="7" bestFit="1" customWidth="1"/>
    <col min="7431" max="7431" width="2" bestFit="1" customWidth="1"/>
    <col min="7432" max="7433" width="7.6640625" customWidth="1"/>
    <col min="7434" max="7434" width="18.6640625" bestFit="1" customWidth="1"/>
    <col min="7435" max="7435" width="7.6640625" customWidth="1"/>
    <col min="7681" max="7681" width="2" bestFit="1" customWidth="1"/>
    <col min="7682" max="7682" width="27.109375" customWidth="1"/>
    <col min="7683" max="7683" width="8.109375" customWidth="1"/>
    <col min="7684" max="7684" width="3" bestFit="1" customWidth="1"/>
    <col min="7685" max="7685" width="18.6640625" bestFit="1" customWidth="1"/>
    <col min="7686" max="7686" width="7" bestFit="1" customWidth="1"/>
    <col min="7687" max="7687" width="2" bestFit="1" customWidth="1"/>
    <col min="7688" max="7689" width="7.6640625" customWidth="1"/>
    <col min="7690" max="7690" width="18.6640625" bestFit="1" customWidth="1"/>
    <col min="7691" max="7691" width="7.6640625" customWidth="1"/>
    <col min="7937" max="7937" width="2" bestFit="1" customWidth="1"/>
    <col min="7938" max="7938" width="27.109375" customWidth="1"/>
    <col min="7939" max="7939" width="8.109375" customWidth="1"/>
    <col min="7940" max="7940" width="3" bestFit="1" customWidth="1"/>
    <col min="7941" max="7941" width="18.6640625" bestFit="1" customWidth="1"/>
    <col min="7942" max="7942" width="7" bestFit="1" customWidth="1"/>
    <col min="7943" max="7943" width="2" bestFit="1" customWidth="1"/>
    <col min="7944" max="7945" width="7.6640625" customWidth="1"/>
    <col min="7946" max="7946" width="18.6640625" bestFit="1" customWidth="1"/>
    <col min="7947" max="7947" width="7.6640625" customWidth="1"/>
    <col min="8193" max="8193" width="2" bestFit="1" customWidth="1"/>
    <col min="8194" max="8194" width="27.109375" customWidth="1"/>
    <col min="8195" max="8195" width="8.109375" customWidth="1"/>
    <col min="8196" max="8196" width="3" bestFit="1" customWidth="1"/>
    <col min="8197" max="8197" width="18.6640625" bestFit="1" customWidth="1"/>
    <col min="8198" max="8198" width="7" bestFit="1" customWidth="1"/>
    <col min="8199" max="8199" width="2" bestFit="1" customWidth="1"/>
    <col min="8200" max="8201" width="7.6640625" customWidth="1"/>
    <col min="8202" max="8202" width="18.6640625" bestFit="1" customWidth="1"/>
    <col min="8203" max="8203" width="7.6640625" customWidth="1"/>
    <col min="8449" max="8449" width="2" bestFit="1" customWidth="1"/>
    <col min="8450" max="8450" width="27.109375" customWidth="1"/>
    <col min="8451" max="8451" width="8.109375" customWidth="1"/>
    <col min="8452" max="8452" width="3" bestFit="1" customWidth="1"/>
    <col min="8453" max="8453" width="18.6640625" bestFit="1" customWidth="1"/>
    <col min="8454" max="8454" width="7" bestFit="1" customWidth="1"/>
    <col min="8455" max="8455" width="2" bestFit="1" customWidth="1"/>
    <col min="8456" max="8457" width="7.6640625" customWidth="1"/>
    <col min="8458" max="8458" width="18.6640625" bestFit="1" customWidth="1"/>
    <col min="8459" max="8459" width="7.6640625" customWidth="1"/>
    <col min="8705" max="8705" width="2" bestFit="1" customWidth="1"/>
    <col min="8706" max="8706" width="27.109375" customWidth="1"/>
    <col min="8707" max="8707" width="8.109375" customWidth="1"/>
    <col min="8708" max="8708" width="3" bestFit="1" customWidth="1"/>
    <col min="8709" max="8709" width="18.6640625" bestFit="1" customWidth="1"/>
    <col min="8710" max="8710" width="7" bestFit="1" customWidth="1"/>
    <col min="8711" max="8711" width="2" bestFit="1" customWidth="1"/>
    <col min="8712" max="8713" width="7.6640625" customWidth="1"/>
    <col min="8714" max="8714" width="18.6640625" bestFit="1" customWidth="1"/>
    <col min="8715" max="8715" width="7.6640625" customWidth="1"/>
    <col min="8961" max="8961" width="2" bestFit="1" customWidth="1"/>
    <col min="8962" max="8962" width="27.109375" customWidth="1"/>
    <col min="8963" max="8963" width="8.109375" customWidth="1"/>
    <col min="8964" max="8964" width="3" bestFit="1" customWidth="1"/>
    <col min="8965" max="8965" width="18.6640625" bestFit="1" customWidth="1"/>
    <col min="8966" max="8966" width="7" bestFit="1" customWidth="1"/>
    <col min="8967" max="8967" width="2" bestFit="1" customWidth="1"/>
    <col min="8968" max="8969" width="7.6640625" customWidth="1"/>
    <col min="8970" max="8970" width="18.6640625" bestFit="1" customWidth="1"/>
    <col min="8971" max="8971" width="7.6640625" customWidth="1"/>
    <col min="9217" max="9217" width="2" bestFit="1" customWidth="1"/>
    <col min="9218" max="9218" width="27.109375" customWidth="1"/>
    <col min="9219" max="9219" width="8.109375" customWidth="1"/>
    <col min="9220" max="9220" width="3" bestFit="1" customWidth="1"/>
    <col min="9221" max="9221" width="18.6640625" bestFit="1" customWidth="1"/>
    <col min="9222" max="9222" width="7" bestFit="1" customWidth="1"/>
    <col min="9223" max="9223" width="2" bestFit="1" customWidth="1"/>
    <col min="9224" max="9225" width="7.6640625" customWidth="1"/>
    <col min="9226" max="9226" width="18.6640625" bestFit="1" customWidth="1"/>
    <col min="9227" max="9227" width="7.6640625" customWidth="1"/>
    <col min="9473" max="9473" width="2" bestFit="1" customWidth="1"/>
    <col min="9474" max="9474" width="27.109375" customWidth="1"/>
    <col min="9475" max="9475" width="8.109375" customWidth="1"/>
    <col min="9476" max="9476" width="3" bestFit="1" customWidth="1"/>
    <col min="9477" max="9477" width="18.6640625" bestFit="1" customWidth="1"/>
    <col min="9478" max="9478" width="7" bestFit="1" customWidth="1"/>
    <col min="9479" max="9479" width="2" bestFit="1" customWidth="1"/>
    <col min="9480" max="9481" width="7.6640625" customWidth="1"/>
    <col min="9482" max="9482" width="18.6640625" bestFit="1" customWidth="1"/>
    <col min="9483" max="9483" width="7.6640625" customWidth="1"/>
    <col min="9729" max="9729" width="2" bestFit="1" customWidth="1"/>
    <col min="9730" max="9730" width="27.109375" customWidth="1"/>
    <col min="9731" max="9731" width="8.109375" customWidth="1"/>
    <col min="9732" max="9732" width="3" bestFit="1" customWidth="1"/>
    <col min="9733" max="9733" width="18.6640625" bestFit="1" customWidth="1"/>
    <col min="9734" max="9734" width="7" bestFit="1" customWidth="1"/>
    <col min="9735" max="9735" width="2" bestFit="1" customWidth="1"/>
    <col min="9736" max="9737" width="7.6640625" customWidth="1"/>
    <col min="9738" max="9738" width="18.6640625" bestFit="1" customWidth="1"/>
    <col min="9739" max="9739" width="7.6640625" customWidth="1"/>
    <col min="9985" max="9985" width="2" bestFit="1" customWidth="1"/>
    <col min="9986" max="9986" width="27.109375" customWidth="1"/>
    <col min="9987" max="9987" width="8.109375" customWidth="1"/>
    <col min="9988" max="9988" width="3" bestFit="1" customWidth="1"/>
    <col min="9989" max="9989" width="18.6640625" bestFit="1" customWidth="1"/>
    <col min="9990" max="9990" width="7" bestFit="1" customWidth="1"/>
    <col min="9991" max="9991" width="2" bestFit="1" customWidth="1"/>
    <col min="9992" max="9993" width="7.6640625" customWidth="1"/>
    <col min="9994" max="9994" width="18.6640625" bestFit="1" customWidth="1"/>
    <col min="9995" max="9995" width="7.6640625" customWidth="1"/>
    <col min="10241" max="10241" width="2" bestFit="1" customWidth="1"/>
    <col min="10242" max="10242" width="27.109375" customWidth="1"/>
    <col min="10243" max="10243" width="8.109375" customWidth="1"/>
    <col min="10244" max="10244" width="3" bestFit="1" customWidth="1"/>
    <col min="10245" max="10245" width="18.6640625" bestFit="1" customWidth="1"/>
    <col min="10246" max="10246" width="7" bestFit="1" customWidth="1"/>
    <col min="10247" max="10247" width="2" bestFit="1" customWidth="1"/>
    <col min="10248" max="10249" width="7.6640625" customWidth="1"/>
    <col min="10250" max="10250" width="18.6640625" bestFit="1" customWidth="1"/>
    <col min="10251" max="10251" width="7.6640625" customWidth="1"/>
    <col min="10497" max="10497" width="2" bestFit="1" customWidth="1"/>
    <col min="10498" max="10498" width="27.109375" customWidth="1"/>
    <col min="10499" max="10499" width="8.109375" customWidth="1"/>
    <col min="10500" max="10500" width="3" bestFit="1" customWidth="1"/>
    <col min="10501" max="10501" width="18.6640625" bestFit="1" customWidth="1"/>
    <col min="10502" max="10502" width="7" bestFit="1" customWidth="1"/>
    <col min="10503" max="10503" width="2" bestFit="1" customWidth="1"/>
    <col min="10504" max="10505" width="7.6640625" customWidth="1"/>
    <col min="10506" max="10506" width="18.6640625" bestFit="1" customWidth="1"/>
    <col min="10507" max="10507" width="7.6640625" customWidth="1"/>
    <col min="10753" max="10753" width="2" bestFit="1" customWidth="1"/>
    <col min="10754" max="10754" width="27.109375" customWidth="1"/>
    <col min="10755" max="10755" width="8.109375" customWidth="1"/>
    <col min="10756" max="10756" width="3" bestFit="1" customWidth="1"/>
    <col min="10757" max="10757" width="18.6640625" bestFit="1" customWidth="1"/>
    <col min="10758" max="10758" width="7" bestFit="1" customWidth="1"/>
    <col min="10759" max="10759" width="2" bestFit="1" customWidth="1"/>
    <col min="10760" max="10761" width="7.6640625" customWidth="1"/>
    <col min="10762" max="10762" width="18.6640625" bestFit="1" customWidth="1"/>
    <col min="10763" max="10763" width="7.6640625" customWidth="1"/>
    <col min="11009" max="11009" width="2" bestFit="1" customWidth="1"/>
    <col min="11010" max="11010" width="27.109375" customWidth="1"/>
    <col min="11011" max="11011" width="8.109375" customWidth="1"/>
    <col min="11012" max="11012" width="3" bestFit="1" customWidth="1"/>
    <col min="11013" max="11013" width="18.6640625" bestFit="1" customWidth="1"/>
    <col min="11014" max="11014" width="7" bestFit="1" customWidth="1"/>
    <col min="11015" max="11015" width="2" bestFit="1" customWidth="1"/>
    <col min="11016" max="11017" width="7.6640625" customWidth="1"/>
    <col min="11018" max="11018" width="18.6640625" bestFit="1" customWidth="1"/>
    <col min="11019" max="11019" width="7.6640625" customWidth="1"/>
    <col min="11265" max="11265" width="2" bestFit="1" customWidth="1"/>
    <col min="11266" max="11266" width="27.109375" customWidth="1"/>
    <col min="11267" max="11267" width="8.109375" customWidth="1"/>
    <col min="11268" max="11268" width="3" bestFit="1" customWidth="1"/>
    <col min="11269" max="11269" width="18.6640625" bestFit="1" customWidth="1"/>
    <col min="11270" max="11270" width="7" bestFit="1" customWidth="1"/>
    <col min="11271" max="11271" width="2" bestFit="1" customWidth="1"/>
    <col min="11272" max="11273" width="7.6640625" customWidth="1"/>
    <col min="11274" max="11274" width="18.6640625" bestFit="1" customWidth="1"/>
    <col min="11275" max="11275" width="7.6640625" customWidth="1"/>
    <col min="11521" max="11521" width="2" bestFit="1" customWidth="1"/>
    <col min="11522" max="11522" width="27.109375" customWidth="1"/>
    <col min="11523" max="11523" width="8.109375" customWidth="1"/>
    <col min="11524" max="11524" width="3" bestFit="1" customWidth="1"/>
    <col min="11525" max="11525" width="18.6640625" bestFit="1" customWidth="1"/>
    <col min="11526" max="11526" width="7" bestFit="1" customWidth="1"/>
    <col min="11527" max="11527" width="2" bestFit="1" customWidth="1"/>
    <col min="11528" max="11529" width="7.6640625" customWidth="1"/>
    <col min="11530" max="11530" width="18.6640625" bestFit="1" customWidth="1"/>
    <col min="11531" max="11531" width="7.6640625" customWidth="1"/>
    <col min="11777" max="11777" width="2" bestFit="1" customWidth="1"/>
    <col min="11778" max="11778" width="27.109375" customWidth="1"/>
    <col min="11779" max="11779" width="8.109375" customWidth="1"/>
    <col min="11780" max="11780" width="3" bestFit="1" customWidth="1"/>
    <col min="11781" max="11781" width="18.6640625" bestFit="1" customWidth="1"/>
    <col min="11782" max="11782" width="7" bestFit="1" customWidth="1"/>
    <col min="11783" max="11783" width="2" bestFit="1" customWidth="1"/>
    <col min="11784" max="11785" width="7.6640625" customWidth="1"/>
    <col min="11786" max="11786" width="18.6640625" bestFit="1" customWidth="1"/>
    <col min="11787" max="11787" width="7.6640625" customWidth="1"/>
    <col min="12033" max="12033" width="2" bestFit="1" customWidth="1"/>
    <col min="12034" max="12034" width="27.109375" customWidth="1"/>
    <col min="12035" max="12035" width="8.109375" customWidth="1"/>
    <col min="12036" max="12036" width="3" bestFit="1" customWidth="1"/>
    <col min="12037" max="12037" width="18.6640625" bestFit="1" customWidth="1"/>
    <col min="12038" max="12038" width="7" bestFit="1" customWidth="1"/>
    <col min="12039" max="12039" width="2" bestFit="1" customWidth="1"/>
    <col min="12040" max="12041" width="7.6640625" customWidth="1"/>
    <col min="12042" max="12042" width="18.6640625" bestFit="1" customWidth="1"/>
    <col min="12043" max="12043" width="7.6640625" customWidth="1"/>
    <col min="12289" max="12289" width="2" bestFit="1" customWidth="1"/>
    <col min="12290" max="12290" width="27.109375" customWidth="1"/>
    <col min="12291" max="12291" width="8.109375" customWidth="1"/>
    <col min="12292" max="12292" width="3" bestFit="1" customWidth="1"/>
    <col min="12293" max="12293" width="18.6640625" bestFit="1" customWidth="1"/>
    <col min="12294" max="12294" width="7" bestFit="1" customWidth="1"/>
    <col min="12295" max="12295" width="2" bestFit="1" customWidth="1"/>
    <col min="12296" max="12297" width="7.6640625" customWidth="1"/>
    <col min="12298" max="12298" width="18.6640625" bestFit="1" customWidth="1"/>
    <col min="12299" max="12299" width="7.6640625" customWidth="1"/>
    <col min="12545" max="12545" width="2" bestFit="1" customWidth="1"/>
    <col min="12546" max="12546" width="27.109375" customWidth="1"/>
    <col min="12547" max="12547" width="8.109375" customWidth="1"/>
    <col min="12548" max="12548" width="3" bestFit="1" customWidth="1"/>
    <col min="12549" max="12549" width="18.6640625" bestFit="1" customWidth="1"/>
    <col min="12550" max="12550" width="7" bestFit="1" customWidth="1"/>
    <col min="12551" max="12551" width="2" bestFit="1" customWidth="1"/>
    <col min="12552" max="12553" width="7.6640625" customWidth="1"/>
    <col min="12554" max="12554" width="18.6640625" bestFit="1" customWidth="1"/>
    <col min="12555" max="12555" width="7.6640625" customWidth="1"/>
    <col min="12801" max="12801" width="2" bestFit="1" customWidth="1"/>
    <col min="12802" max="12802" width="27.109375" customWidth="1"/>
    <col min="12803" max="12803" width="8.109375" customWidth="1"/>
    <col min="12804" max="12804" width="3" bestFit="1" customWidth="1"/>
    <col min="12805" max="12805" width="18.6640625" bestFit="1" customWidth="1"/>
    <col min="12806" max="12806" width="7" bestFit="1" customWidth="1"/>
    <col min="12807" max="12807" width="2" bestFit="1" customWidth="1"/>
    <col min="12808" max="12809" width="7.6640625" customWidth="1"/>
    <col min="12810" max="12810" width="18.6640625" bestFit="1" customWidth="1"/>
    <col min="12811" max="12811" width="7.6640625" customWidth="1"/>
    <col min="13057" max="13057" width="2" bestFit="1" customWidth="1"/>
    <col min="13058" max="13058" width="27.109375" customWidth="1"/>
    <col min="13059" max="13059" width="8.109375" customWidth="1"/>
    <col min="13060" max="13060" width="3" bestFit="1" customWidth="1"/>
    <col min="13061" max="13061" width="18.6640625" bestFit="1" customWidth="1"/>
    <col min="13062" max="13062" width="7" bestFit="1" customWidth="1"/>
    <col min="13063" max="13063" width="2" bestFit="1" customWidth="1"/>
    <col min="13064" max="13065" width="7.6640625" customWidth="1"/>
    <col min="13066" max="13066" width="18.6640625" bestFit="1" customWidth="1"/>
    <col min="13067" max="13067" width="7.6640625" customWidth="1"/>
    <col min="13313" max="13313" width="2" bestFit="1" customWidth="1"/>
    <col min="13314" max="13314" width="27.109375" customWidth="1"/>
    <col min="13315" max="13315" width="8.109375" customWidth="1"/>
    <col min="13316" max="13316" width="3" bestFit="1" customWidth="1"/>
    <col min="13317" max="13317" width="18.6640625" bestFit="1" customWidth="1"/>
    <col min="13318" max="13318" width="7" bestFit="1" customWidth="1"/>
    <col min="13319" max="13319" width="2" bestFit="1" customWidth="1"/>
    <col min="13320" max="13321" width="7.6640625" customWidth="1"/>
    <col min="13322" max="13322" width="18.6640625" bestFit="1" customWidth="1"/>
    <col min="13323" max="13323" width="7.6640625" customWidth="1"/>
    <col min="13569" max="13569" width="2" bestFit="1" customWidth="1"/>
    <col min="13570" max="13570" width="27.109375" customWidth="1"/>
    <col min="13571" max="13571" width="8.109375" customWidth="1"/>
    <col min="13572" max="13572" width="3" bestFit="1" customWidth="1"/>
    <col min="13573" max="13573" width="18.6640625" bestFit="1" customWidth="1"/>
    <col min="13574" max="13574" width="7" bestFit="1" customWidth="1"/>
    <col min="13575" max="13575" width="2" bestFit="1" customWidth="1"/>
    <col min="13576" max="13577" width="7.6640625" customWidth="1"/>
    <col min="13578" max="13578" width="18.6640625" bestFit="1" customWidth="1"/>
    <col min="13579" max="13579" width="7.6640625" customWidth="1"/>
    <col min="13825" max="13825" width="2" bestFit="1" customWidth="1"/>
    <col min="13826" max="13826" width="27.109375" customWidth="1"/>
    <col min="13827" max="13827" width="8.109375" customWidth="1"/>
    <col min="13828" max="13828" width="3" bestFit="1" customWidth="1"/>
    <col min="13829" max="13829" width="18.6640625" bestFit="1" customWidth="1"/>
    <col min="13830" max="13830" width="7" bestFit="1" customWidth="1"/>
    <col min="13831" max="13831" width="2" bestFit="1" customWidth="1"/>
    <col min="13832" max="13833" width="7.6640625" customWidth="1"/>
    <col min="13834" max="13834" width="18.6640625" bestFit="1" customWidth="1"/>
    <col min="13835" max="13835" width="7.6640625" customWidth="1"/>
    <col min="14081" max="14081" width="2" bestFit="1" customWidth="1"/>
    <col min="14082" max="14082" width="27.109375" customWidth="1"/>
    <col min="14083" max="14083" width="8.109375" customWidth="1"/>
    <col min="14084" max="14084" width="3" bestFit="1" customWidth="1"/>
    <col min="14085" max="14085" width="18.6640625" bestFit="1" customWidth="1"/>
    <col min="14086" max="14086" width="7" bestFit="1" customWidth="1"/>
    <col min="14087" max="14087" width="2" bestFit="1" customWidth="1"/>
    <col min="14088" max="14089" width="7.6640625" customWidth="1"/>
    <col min="14090" max="14090" width="18.6640625" bestFit="1" customWidth="1"/>
    <col min="14091" max="14091" width="7.6640625" customWidth="1"/>
    <col min="14337" max="14337" width="2" bestFit="1" customWidth="1"/>
    <col min="14338" max="14338" width="27.109375" customWidth="1"/>
    <col min="14339" max="14339" width="8.109375" customWidth="1"/>
    <col min="14340" max="14340" width="3" bestFit="1" customWidth="1"/>
    <col min="14341" max="14341" width="18.6640625" bestFit="1" customWidth="1"/>
    <col min="14342" max="14342" width="7" bestFit="1" customWidth="1"/>
    <col min="14343" max="14343" width="2" bestFit="1" customWidth="1"/>
    <col min="14344" max="14345" width="7.6640625" customWidth="1"/>
    <col min="14346" max="14346" width="18.6640625" bestFit="1" customWidth="1"/>
    <col min="14347" max="14347" width="7.6640625" customWidth="1"/>
    <col min="14593" max="14593" width="2" bestFit="1" customWidth="1"/>
    <col min="14594" max="14594" width="27.109375" customWidth="1"/>
    <col min="14595" max="14595" width="8.109375" customWidth="1"/>
    <col min="14596" max="14596" width="3" bestFit="1" customWidth="1"/>
    <col min="14597" max="14597" width="18.6640625" bestFit="1" customWidth="1"/>
    <col min="14598" max="14598" width="7" bestFit="1" customWidth="1"/>
    <col min="14599" max="14599" width="2" bestFit="1" customWidth="1"/>
    <col min="14600" max="14601" width="7.6640625" customWidth="1"/>
    <col min="14602" max="14602" width="18.6640625" bestFit="1" customWidth="1"/>
    <col min="14603" max="14603" width="7.6640625" customWidth="1"/>
    <col min="14849" max="14849" width="2" bestFit="1" customWidth="1"/>
    <col min="14850" max="14850" width="27.109375" customWidth="1"/>
    <col min="14851" max="14851" width="8.109375" customWidth="1"/>
    <col min="14852" max="14852" width="3" bestFit="1" customWidth="1"/>
    <col min="14853" max="14853" width="18.6640625" bestFit="1" customWidth="1"/>
    <col min="14854" max="14854" width="7" bestFit="1" customWidth="1"/>
    <col min="14855" max="14855" width="2" bestFit="1" customWidth="1"/>
    <col min="14856" max="14857" width="7.6640625" customWidth="1"/>
    <col min="14858" max="14858" width="18.6640625" bestFit="1" customWidth="1"/>
    <col min="14859" max="14859" width="7.6640625" customWidth="1"/>
    <col min="15105" max="15105" width="2" bestFit="1" customWidth="1"/>
    <col min="15106" max="15106" width="27.109375" customWidth="1"/>
    <col min="15107" max="15107" width="8.109375" customWidth="1"/>
    <col min="15108" max="15108" width="3" bestFit="1" customWidth="1"/>
    <col min="15109" max="15109" width="18.6640625" bestFit="1" customWidth="1"/>
    <col min="15110" max="15110" width="7" bestFit="1" customWidth="1"/>
    <col min="15111" max="15111" width="2" bestFit="1" customWidth="1"/>
    <col min="15112" max="15113" width="7.6640625" customWidth="1"/>
    <col min="15114" max="15114" width="18.6640625" bestFit="1" customWidth="1"/>
    <col min="15115" max="15115" width="7.6640625" customWidth="1"/>
    <col min="15361" max="15361" width="2" bestFit="1" customWidth="1"/>
    <col min="15362" max="15362" width="27.109375" customWidth="1"/>
    <col min="15363" max="15363" width="8.109375" customWidth="1"/>
    <col min="15364" max="15364" width="3" bestFit="1" customWidth="1"/>
    <col min="15365" max="15365" width="18.6640625" bestFit="1" customWidth="1"/>
    <col min="15366" max="15366" width="7" bestFit="1" customWidth="1"/>
    <col min="15367" max="15367" width="2" bestFit="1" customWidth="1"/>
    <col min="15368" max="15369" width="7.6640625" customWidth="1"/>
    <col min="15370" max="15370" width="18.6640625" bestFit="1" customWidth="1"/>
    <col min="15371" max="15371" width="7.6640625" customWidth="1"/>
    <col min="15617" max="15617" width="2" bestFit="1" customWidth="1"/>
    <col min="15618" max="15618" width="27.109375" customWidth="1"/>
    <col min="15619" max="15619" width="8.109375" customWidth="1"/>
    <col min="15620" max="15620" width="3" bestFit="1" customWidth="1"/>
    <col min="15621" max="15621" width="18.6640625" bestFit="1" customWidth="1"/>
    <col min="15622" max="15622" width="7" bestFit="1" customWidth="1"/>
    <col min="15623" max="15623" width="2" bestFit="1" customWidth="1"/>
    <col min="15624" max="15625" width="7.6640625" customWidth="1"/>
    <col min="15626" max="15626" width="18.6640625" bestFit="1" customWidth="1"/>
    <col min="15627" max="15627" width="7.6640625" customWidth="1"/>
    <col min="15873" max="15873" width="2" bestFit="1" customWidth="1"/>
    <col min="15874" max="15874" width="27.109375" customWidth="1"/>
    <col min="15875" max="15875" width="8.109375" customWidth="1"/>
    <col min="15876" max="15876" width="3" bestFit="1" customWidth="1"/>
    <col min="15877" max="15877" width="18.6640625" bestFit="1" customWidth="1"/>
    <col min="15878" max="15878" width="7" bestFit="1" customWidth="1"/>
    <col min="15879" max="15879" width="2" bestFit="1" customWidth="1"/>
    <col min="15880" max="15881" width="7.6640625" customWidth="1"/>
    <col min="15882" max="15882" width="18.6640625" bestFit="1" customWidth="1"/>
    <col min="15883" max="15883" width="7.6640625" customWidth="1"/>
    <col min="16129" max="16129" width="2" bestFit="1" customWidth="1"/>
    <col min="16130" max="16130" width="27.109375" customWidth="1"/>
    <col min="16131" max="16131" width="8.109375" customWidth="1"/>
    <col min="16132" max="16132" width="3" bestFit="1" customWidth="1"/>
    <col min="16133" max="16133" width="18.6640625" bestFit="1" customWidth="1"/>
    <col min="16134" max="16134" width="7" bestFit="1" customWidth="1"/>
    <col min="16135" max="16135" width="2" bestFit="1" customWidth="1"/>
    <col min="16136" max="16137" width="7.6640625" customWidth="1"/>
    <col min="16138" max="16138" width="18.6640625" bestFit="1" customWidth="1"/>
    <col min="16139" max="16139" width="7.6640625" customWidth="1"/>
  </cols>
  <sheetData>
    <row r="1" spans="1:11" ht="43.2" x14ac:dyDescent="0.3">
      <c r="B1" s="25" t="str">
        <f>"If you deposit "&amp;DOLLAR(C5)&amp;" at the end of each year for the next "&amp;C4&amp;" years and you can earn "&amp;TEXT(C2,"0.00%")&amp;" compounded "&amp;C3&amp;" time a year, what is the Future Value?"</f>
        <v>If you deposit $50.00 at the end of each year for the next 3 years and you can earn 12.00% compounded 1 time a year, what is the Future Value?</v>
      </c>
      <c r="C1" s="25"/>
      <c r="D1" s="25"/>
      <c r="E1" s="25"/>
      <c r="G1" s="42">
        <v>1</v>
      </c>
      <c r="H1" s="92" t="s">
        <v>75</v>
      </c>
      <c r="I1" s="25"/>
      <c r="J1" s="25"/>
      <c r="K1" s="25"/>
    </row>
    <row r="2" spans="1:11" x14ac:dyDescent="0.3">
      <c r="B2" s="6" t="s">
        <v>56</v>
      </c>
      <c r="C2" s="1">
        <v>0.12</v>
      </c>
      <c r="H2" s="1">
        <v>0</v>
      </c>
      <c r="I2" s="1"/>
      <c r="J2" s="1"/>
      <c r="K2" s="1"/>
    </row>
    <row r="3" spans="1:11" x14ac:dyDescent="0.3">
      <c r="B3" s="6" t="s">
        <v>38</v>
      </c>
      <c r="C3" s="1">
        <v>1</v>
      </c>
      <c r="G3">
        <v>3</v>
      </c>
      <c r="H3" s="1">
        <v>1</v>
      </c>
      <c r="I3" s="1">
        <f>$C$5</f>
        <v>50</v>
      </c>
      <c r="J3" s="1" t="str">
        <f>"*(1+"&amp;$C$2&amp;"/"&amp;$C$3&amp;")^("&amp;$C$3&amp;"*"&amp;ROWS(I3:$I$5)-1&amp;")) ="</f>
        <v>*(1+0.12/1)^(1*2)) =</v>
      </c>
      <c r="K3" s="31">
        <f>I3*(1+$C$2/$C$3)^(G3-1)</f>
        <v>62.720000000000006</v>
      </c>
    </row>
    <row r="4" spans="1:11" x14ac:dyDescent="0.3">
      <c r="B4" s="6" t="s">
        <v>76</v>
      </c>
      <c r="C4" s="1">
        <v>3</v>
      </c>
      <c r="G4">
        <v>2</v>
      </c>
      <c r="H4" s="1">
        <v>2</v>
      </c>
      <c r="I4" s="1">
        <f>$C$5</f>
        <v>50</v>
      </c>
      <c r="J4" s="1" t="str">
        <f>"*(1+"&amp;$C$2&amp;"/"&amp;$C$3&amp;")^("&amp;$C$3&amp;"*"&amp;ROWS(I4:$I$5)-1&amp;")) ="</f>
        <v>*(1+0.12/1)^(1*1)) =</v>
      </c>
      <c r="K4" s="31">
        <f t="shared" ref="K4:K5" si="0">I4*(1+$C$2/$C$3)^(G4-1)</f>
        <v>56.000000000000007</v>
      </c>
    </row>
    <row r="5" spans="1:11" ht="29.4" thickBot="1" x14ac:dyDescent="0.35">
      <c r="B5" s="6" t="s">
        <v>77</v>
      </c>
      <c r="C5" s="1">
        <v>50</v>
      </c>
      <c r="G5">
        <v>1</v>
      </c>
      <c r="H5" s="1">
        <v>3</v>
      </c>
      <c r="I5" s="1">
        <f>$C$5</f>
        <v>50</v>
      </c>
      <c r="J5" s="1" t="str">
        <f>"*(1+"&amp;$C$2&amp;"/"&amp;$C$3&amp;")^("&amp;$C$3&amp;"*"&amp;ROWS(I5:$I$5)-1&amp;")) ="</f>
        <v>*(1+0.12/1)^(1*0)) =</v>
      </c>
      <c r="K5" s="31">
        <f t="shared" si="0"/>
        <v>50</v>
      </c>
    </row>
    <row r="6" spans="1:11" ht="29.4" thickBot="1" x14ac:dyDescent="0.35">
      <c r="B6" s="6" t="s">
        <v>155</v>
      </c>
      <c r="C6" s="1"/>
      <c r="H6" s="7"/>
      <c r="K6" s="23">
        <f>SUM(K3:K5)</f>
        <v>168.72000000000003</v>
      </c>
    </row>
    <row r="7" spans="1:11" ht="15" thickTop="1" x14ac:dyDescent="0.3">
      <c r="H7" s="7"/>
    </row>
    <row r="8" spans="1:11" ht="28.8" x14ac:dyDescent="0.3">
      <c r="A8" s="42">
        <v>2</v>
      </c>
      <c r="B8" s="6" t="s">
        <v>217</v>
      </c>
      <c r="C8" s="31">
        <f>C5*((1+C2)^C4-1)/C2</f>
        <v>168.72000000000017</v>
      </c>
    </row>
    <row r="9" spans="1:11" x14ac:dyDescent="0.3">
      <c r="A9" s="42">
        <v>3</v>
      </c>
      <c r="B9" s="6" t="s">
        <v>156</v>
      </c>
      <c r="C9" s="22">
        <f>FV(C2,C4,-C5)</f>
        <v>168.72000000000017</v>
      </c>
    </row>
    <row r="11" spans="1:11" ht="43.2" x14ac:dyDescent="0.3">
      <c r="B11" s="6" t="s">
        <v>218</v>
      </c>
      <c r="C11" s="1">
        <f>((1+C2/C3)^(C3*C4)-1)/(C2/C3)</f>
        <v>3.3744000000000036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00FF"/>
  </sheetPr>
  <dimension ref="A1:D11"/>
  <sheetViews>
    <sheetView zoomScale="160" zoomScaleNormal="160" workbookViewId="0"/>
  </sheetViews>
  <sheetFormatPr defaultRowHeight="14.4" x14ac:dyDescent="0.3"/>
  <cols>
    <col min="2" max="2" width="10.5546875" bestFit="1" customWidth="1"/>
    <col min="3" max="3" width="9.88671875" bestFit="1" customWidth="1"/>
  </cols>
  <sheetData>
    <row r="1" spans="1:4" x14ac:dyDescent="0.25">
      <c r="A1" s="85" t="s">
        <v>149</v>
      </c>
      <c r="B1" s="1">
        <v>0.05</v>
      </c>
    </row>
    <row r="2" spans="1:4" x14ac:dyDescent="0.25">
      <c r="A2" s="85" t="s">
        <v>150</v>
      </c>
      <c r="B2" s="1">
        <v>4</v>
      </c>
    </row>
    <row r="3" spans="1:4" x14ac:dyDescent="0.25">
      <c r="A3" s="85" t="s">
        <v>96</v>
      </c>
      <c r="B3" s="1">
        <v>-500</v>
      </c>
    </row>
    <row r="4" spans="1:4" x14ac:dyDescent="0.25">
      <c r="A4" s="85" t="s">
        <v>152</v>
      </c>
      <c r="B4" s="1">
        <v>1</v>
      </c>
      <c r="C4" s="1" t="s">
        <v>151</v>
      </c>
    </row>
    <row r="5" spans="1:4" x14ac:dyDescent="0.25">
      <c r="A5" s="85" t="s">
        <v>1</v>
      </c>
      <c r="B5" s="86"/>
      <c r="C5" s="86"/>
      <c r="D5" t="s">
        <v>154</v>
      </c>
    </row>
    <row r="7" spans="1:4" x14ac:dyDescent="0.25">
      <c r="A7" s="85" t="s">
        <v>149</v>
      </c>
      <c r="B7" s="1">
        <v>0.05</v>
      </c>
    </row>
    <row r="8" spans="1:4" x14ac:dyDescent="0.25">
      <c r="A8" s="85" t="s">
        <v>150</v>
      </c>
      <c r="B8" s="1">
        <v>4</v>
      </c>
    </row>
    <row r="9" spans="1:4" x14ac:dyDescent="0.25">
      <c r="A9" s="85" t="s">
        <v>96</v>
      </c>
      <c r="B9" s="1">
        <v>-500</v>
      </c>
    </row>
    <row r="10" spans="1:4" x14ac:dyDescent="0.25">
      <c r="A10" s="85" t="s">
        <v>152</v>
      </c>
      <c r="B10" s="1">
        <v>0</v>
      </c>
      <c r="C10" s="1" t="s">
        <v>153</v>
      </c>
    </row>
    <row r="11" spans="1:4" x14ac:dyDescent="0.25">
      <c r="A11" s="85" t="s">
        <v>1</v>
      </c>
      <c r="B11" s="86"/>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D11"/>
  <sheetViews>
    <sheetView zoomScale="145" zoomScaleNormal="145" workbookViewId="0"/>
  </sheetViews>
  <sheetFormatPr defaultRowHeight="14.4" x14ac:dyDescent="0.3"/>
  <cols>
    <col min="2" max="2" width="10.5546875" bestFit="1" customWidth="1"/>
    <col min="3" max="3" width="9.88671875" bestFit="1" customWidth="1"/>
  </cols>
  <sheetData>
    <row r="1" spans="1:4" x14ac:dyDescent="0.25">
      <c r="A1" s="85" t="s">
        <v>149</v>
      </c>
      <c r="B1" s="1">
        <v>0.05</v>
      </c>
    </row>
    <row r="2" spans="1:4" x14ac:dyDescent="0.25">
      <c r="A2" s="85" t="s">
        <v>150</v>
      </c>
      <c r="B2" s="1">
        <v>4</v>
      </c>
    </row>
    <row r="3" spans="1:4" x14ac:dyDescent="0.25">
      <c r="A3" s="85" t="s">
        <v>96</v>
      </c>
      <c r="B3" s="1">
        <v>-500</v>
      </c>
    </row>
    <row r="4" spans="1:4" x14ac:dyDescent="0.25">
      <c r="A4" s="85" t="s">
        <v>152</v>
      </c>
      <c r="B4" s="1">
        <v>1</v>
      </c>
      <c r="C4" s="1" t="s">
        <v>151</v>
      </c>
    </row>
    <row r="5" spans="1:4" x14ac:dyDescent="0.25">
      <c r="A5" s="85" t="s">
        <v>1</v>
      </c>
      <c r="B5" s="86">
        <f>FV(B1,B2,B3,,B4)</f>
        <v>2262.8156250000002</v>
      </c>
      <c r="C5" s="86">
        <f>B11*(1+B1)</f>
        <v>2262.8156250000002</v>
      </c>
      <c r="D5" t="s">
        <v>154</v>
      </c>
    </row>
    <row r="7" spans="1:4" x14ac:dyDescent="0.25">
      <c r="A7" s="85" t="s">
        <v>149</v>
      </c>
      <c r="B7" s="1">
        <v>0.05</v>
      </c>
    </row>
    <row r="8" spans="1:4" x14ac:dyDescent="0.25">
      <c r="A8" s="85" t="s">
        <v>150</v>
      </c>
      <c r="B8" s="1">
        <v>4</v>
      </c>
    </row>
    <row r="9" spans="1:4" x14ac:dyDescent="0.25">
      <c r="A9" s="85" t="s">
        <v>96</v>
      </c>
      <c r="B9" s="1">
        <v>-500</v>
      </c>
    </row>
    <row r="10" spans="1:4" x14ac:dyDescent="0.25">
      <c r="A10" s="85" t="s">
        <v>152</v>
      </c>
      <c r="B10" s="1">
        <v>0</v>
      </c>
      <c r="C10" s="1" t="s">
        <v>153</v>
      </c>
    </row>
    <row r="11" spans="1:4" x14ac:dyDescent="0.25">
      <c r="A11" s="85" t="s">
        <v>1</v>
      </c>
      <c r="B11" s="86">
        <f>FV(B7,B8,B9,,B10)</f>
        <v>2155.0625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00FF"/>
  </sheetPr>
  <dimension ref="A1:H14"/>
  <sheetViews>
    <sheetView zoomScale="115" zoomScaleNormal="115" workbookViewId="0"/>
  </sheetViews>
  <sheetFormatPr defaultRowHeight="14.4" x14ac:dyDescent="0.3"/>
  <cols>
    <col min="1" max="1" width="27.109375" customWidth="1"/>
    <col min="2" max="2" width="15" bestFit="1" customWidth="1"/>
    <col min="3" max="3" width="3" bestFit="1" customWidth="1"/>
    <col min="4" max="4" width="18.6640625" bestFit="1" customWidth="1"/>
    <col min="257" max="257" width="27.109375" customWidth="1"/>
    <col min="258" max="258" width="15" bestFit="1" customWidth="1"/>
    <col min="259" max="259" width="3" bestFit="1" customWidth="1"/>
    <col min="260" max="260" width="18.6640625" bestFit="1" customWidth="1"/>
    <col min="513" max="513" width="27.109375" customWidth="1"/>
    <col min="514" max="514" width="15" bestFit="1" customWidth="1"/>
    <col min="515" max="515" width="3" bestFit="1" customWidth="1"/>
    <col min="516" max="516" width="18.6640625" bestFit="1" customWidth="1"/>
    <col min="769" max="769" width="27.109375" customWidth="1"/>
    <col min="770" max="770" width="15" bestFit="1" customWidth="1"/>
    <col min="771" max="771" width="3" bestFit="1" customWidth="1"/>
    <col min="772" max="772" width="18.6640625" bestFit="1" customWidth="1"/>
    <col min="1025" max="1025" width="27.109375" customWidth="1"/>
    <col min="1026" max="1026" width="15" bestFit="1" customWidth="1"/>
    <col min="1027" max="1027" width="3" bestFit="1" customWidth="1"/>
    <col min="1028" max="1028" width="18.6640625" bestFit="1" customWidth="1"/>
    <col min="1281" max="1281" width="27.109375" customWidth="1"/>
    <col min="1282" max="1282" width="15" bestFit="1" customWidth="1"/>
    <col min="1283" max="1283" width="3" bestFit="1" customWidth="1"/>
    <col min="1284" max="1284" width="18.6640625" bestFit="1" customWidth="1"/>
    <col min="1537" max="1537" width="27.109375" customWidth="1"/>
    <col min="1538" max="1538" width="15" bestFit="1" customWidth="1"/>
    <col min="1539" max="1539" width="3" bestFit="1" customWidth="1"/>
    <col min="1540" max="1540" width="18.6640625" bestFit="1" customWidth="1"/>
    <col min="1793" max="1793" width="27.109375" customWidth="1"/>
    <col min="1794" max="1794" width="15" bestFit="1" customWidth="1"/>
    <col min="1795" max="1795" width="3" bestFit="1" customWidth="1"/>
    <col min="1796" max="1796" width="18.6640625" bestFit="1" customWidth="1"/>
    <col min="2049" max="2049" width="27.109375" customWidth="1"/>
    <col min="2050" max="2050" width="15" bestFit="1" customWidth="1"/>
    <col min="2051" max="2051" width="3" bestFit="1" customWidth="1"/>
    <col min="2052" max="2052" width="18.6640625" bestFit="1" customWidth="1"/>
    <col min="2305" max="2305" width="27.109375" customWidth="1"/>
    <col min="2306" max="2306" width="15" bestFit="1" customWidth="1"/>
    <col min="2307" max="2307" width="3" bestFit="1" customWidth="1"/>
    <col min="2308" max="2308" width="18.6640625" bestFit="1" customWidth="1"/>
    <col min="2561" max="2561" width="27.109375" customWidth="1"/>
    <col min="2562" max="2562" width="15" bestFit="1" customWidth="1"/>
    <col min="2563" max="2563" width="3" bestFit="1" customWidth="1"/>
    <col min="2564" max="2564" width="18.6640625" bestFit="1" customWidth="1"/>
    <col min="2817" max="2817" width="27.109375" customWidth="1"/>
    <col min="2818" max="2818" width="15" bestFit="1" customWidth="1"/>
    <col min="2819" max="2819" width="3" bestFit="1" customWidth="1"/>
    <col min="2820" max="2820" width="18.6640625" bestFit="1" customWidth="1"/>
    <col min="3073" max="3073" width="27.109375" customWidth="1"/>
    <col min="3074" max="3074" width="15" bestFit="1" customWidth="1"/>
    <col min="3075" max="3075" width="3" bestFit="1" customWidth="1"/>
    <col min="3076" max="3076" width="18.6640625" bestFit="1" customWidth="1"/>
    <col min="3329" max="3329" width="27.109375" customWidth="1"/>
    <col min="3330" max="3330" width="15" bestFit="1" customWidth="1"/>
    <col min="3331" max="3331" width="3" bestFit="1" customWidth="1"/>
    <col min="3332" max="3332" width="18.6640625" bestFit="1" customWidth="1"/>
    <col min="3585" max="3585" width="27.109375" customWidth="1"/>
    <col min="3586" max="3586" width="15" bestFit="1" customWidth="1"/>
    <col min="3587" max="3587" width="3" bestFit="1" customWidth="1"/>
    <col min="3588" max="3588" width="18.6640625" bestFit="1" customWidth="1"/>
    <col min="3841" max="3841" width="27.109375" customWidth="1"/>
    <col min="3842" max="3842" width="15" bestFit="1" customWidth="1"/>
    <col min="3843" max="3843" width="3" bestFit="1" customWidth="1"/>
    <col min="3844" max="3844" width="18.6640625" bestFit="1" customWidth="1"/>
    <col min="4097" max="4097" width="27.109375" customWidth="1"/>
    <col min="4098" max="4098" width="15" bestFit="1" customWidth="1"/>
    <col min="4099" max="4099" width="3" bestFit="1" customWidth="1"/>
    <col min="4100" max="4100" width="18.6640625" bestFit="1" customWidth="1"/>
    <col min="4353" max="4353" width="27.109375" customWidth="1"/>
    <col min="4354" max="4354" width="15" bestFit="1" customWidth="1"/>
    <col min="4355" max="4355" width="3" bestFit="1" customWidth="1"/>
    <col min="4356" max="4356" width="18.6640625" bestFit="1" customWidth="1"/>
    <col min="4609" max="4609" width="27.109375" customWidth="1"/>
    <col min="4610" max="4610" width="15" bestFit="1" customWidth="1"/>
    <col min="4611" max="4611" width="3" bestFit="1" customWidth="1"/>
    <col min="4612" max="4612" width="18.6640625" bestFit="1" customWidth="1"/>
    <col min="4865" max="4865" width="27.109375" customWidth="1"/>
    <col min="4866" max="4866" width="15" bestFit="1" customWidth="1"/>
    <col min="4867" max="4867" width="3" bestFit="1" customWidth="1"/>
    <col min="4868" max="4868" width="18.6640625" bestFit="1" customWidth="1"/>
    <col min="5121" max="5121" width="27.109375" customWidth="1"/>
    <col min="5122" max="5122" width="15" bestFit="1" customWidth="1"/>
    <col min="5123" max="5123" width="3" bestFit="1" customWidth="1"/>
    <col min="5124" max="5124" width="18.6640625" bestFit="1" customWidth="1"/>
    <col min="5377" max="5377" width="27.109375" customWidth="1"/>
    <col min="5378" max="5378" width="15" bestFit="1" customWidth="1"/>
    <col min="5379" max="5379" width="3" bestFit="1" customWidth="1"/>
    <col min="5380" max="5380" width="18.6640625" bestFit="1" customWidth="1"/>
    <col min="5633" max="5633" width="27.109375" customWidth="1"/>
    <col min="5634" max="5634" width="15" bestFit="1" customWidth="1"/>
    <col min="5635" max="5635" width="3" bestFit="1" customWidth="1"/>
    <col min="5636" max="5636" width="18.6640625" bestFit="1" customWidth="1"/>
    <col min="5889" max="5889" width="27.109375" customWidth="1"/>
    <col min="5890" max="5890" width="15" bestFit="1" customWidth="1"/>
    <col min="5891" max="5891" width="3" bestFit="1" customWidth="1"/>
    <col min="5892" max="5892" width="18.6640625" bestFit="1" customWidth="1"/>
    <col min="6145" max="6145" width="27.109375" customWidth="1"/>
    <col min="6146" max="6146" width="15" bestFit="1" customWidth="1"/>
    <col min="6147" max="6147" width="3" bestFit="1" customWidth="1"/>
    <col min="6148" max="6148" width="18.6640625" bestFit="1" customWidth="1"/>
    <col min="6401" max="6401" width="27.109375" customWidth="1"/>
    <col min="6402" max="6402" width="15" bestFit="1" customWidth="1"/>
    <col min="6403" max="6403" width="3" bestFit="1" customWidth="1"/>
    <col min="6404" max="6404" width="18.6640625" bestFit="1" customWidth="1"/>
    <col min="6657" max="6657" width="27.109375" customWidth="1"/>
    <col min="6658" max="6658" width="15" bestFit="1" customWidth="1"/>
    <col min="6659" max="6659" width="3" bestFit="1" customWidth="1"/>
    <col min="6660" max="6660" width="18.6640625" bestFit="1" customWidth="1"/>
    <col min="6913" max="6913" width="27.109375" customWidth="1"/>
    <col min="6914" max="6914" width="15" bestFit="1" customWidth="1"/>
    <col min="6915" max="6915" width="3" bestFit="1" customWidth="1"/>
    <col min="6916" max="6916" width="18.6640625" bestFit="1" customWidth="1"/>
    <col min="7169" max="7169" width="27.109375" customWidth="1"/>
    <col min="7170" max="7170" width="15" bestFit="1" customWidth="1"/>
    <col min="7171" max="7171" width="3" bestFit="1" customWidth="1"/>
    <col min="7172" max="7172" width="18.6640625" bestFit="1" customWidth="1"/>
    <col min="7425" max="7425" width="27.109375" customWidth="1"/>
    <col min="7426" max="7426" width="15" bestFit="1" customWidth="1"/>
    <col min="7427" max="7427" width="3" bestFit="1" customWidth="1"/>
    <col min="7428" max="7428" width="18.6640625" bestFit="1" customWidth="1"/>
    <col min="7681" max="7681" width="27.109375" customWidth="1"/>
    <col min="7682" max="7682" width="15" bestFit="1" customWidth="1"/>
    <col min="7683" max="7683" width="3" bestFit="1" customWidth="1"/>
    <col min="7684" max="7684" width="18.6640625" bestFit="1" customWidth="1"/>
    <col min="7937" max="7937" width="27.109375" customWidth="1"/>
    <col min="7938" max="7938" width="15" bestFit="1" customWidth="1"/>
    <col min="7939" max="7939" width="3" bestFit="1" customWidth="1"/>
    <col min="7940" max="7940" width="18.6640625" bestFit="1" customWidth="1"/>
    <col min="8193" max="8193" width="27.109375" customWidth="1"/>
    <col min="8194" max="8194" width="15" bestFit="1" customWidth="1"/>
    <col min="8195" max="8195" width="3" bestFit="1" customWidth="1"/>
    <col min="8196" max="8196" width="18.6640625" bestFit="1" customWidth="1"/>
    <col min="8449" max="8449" width="27.109375" customWidth="1"/>
    <col min="8450" max="8450" width="15" bestFit="1" customWidth="1"/>
    <col min="8451" max="8451" width="3" bestFit="1" customWidth="1"/>
    <col min="8452" max="8452" width="18.6640625" bestFit="1" customWidth="1"/>
    <col min="8705" max="8705" width="27.109375" customWidth="1"/>
    <col min="8706" max="8706" width="15" bestFit="1" customWidth="1"/>
    <col min="8707" max="8707" width="3" bestFit="1" customWidth="1"/>
    <col min="8708" max="8708" width="18.6640625" bestFit="1" customWidth="1"/>
    <col min="8961" max="8961" width="27.109375" customWidth="1"/>
    <col min="8962" max="8962" width="15" bestFit="1" customWidth="1"/>
    <col min="8963" max="8963" width="3" bestFit="1" customWidth="1"/>
    <col min="8964" max="8964" width="18.6640625" bestFit="1" customWidth="1"/>
    <col min="9217" max="9217" width="27.109375" customWidth="1"/>
    <col min="9218" max="9218" width="15" bestFit="1" customWidth="1"/>
    <col min="9219" max="9219" width="3" bestFit="1" customWidth="1"/>
    <col min="9220" max="9220" width="18.6640625" bestFit="1" customWidth="1"/>
    <col min="9473" max="9473" width="27.109375" customWidth="1"/>
    <col min="9474" max="9474" width="15" bestFit="1" customWidth="1"/>
    <col min="9475" max="9475" width="3" bestFit="1" customWidth="1"/>
    <col min="9476" max="9476" width="18.6640625" bestFit="1" customWidth="1"/>
    <col min="9729" max="9729" width="27.109375" customWidth="1"/>
    <col min="9730" max="9730" width="15" bestFit="1" customWidth="1"/>
    <col min="9731" max="9731" width="3" bestFit="1" customWidth="1"/>
    <col min="9732" max="9732" width="18.6640625" bestFit="1" customWidth="1"/>
    <col min="9985" max="9985" width="27.109375" customWidth="1"/>
    <col min="9986" max="9986" width="15" bestFit="1" customWidth="1"/>
    <col min="9987" max="9987" width="3" bestFit="1" customWidth="1"/>
    <col min="9988" max="9988" width="18.6640625" bestFit="1" customWidth="1"/>
    <col min="10241" max="10241" width="27.109375" customWidth="1"/>
    <col min="10242" max="10242" width="15" bestFit="1" customWidth="1"/>
    <col min="10243" max="10243" width="3" bestFit="1" customWidth="1"/>
    <col min="10244" max="10244" width="18.6640625" bestFit="1" customWidth="1"/>
    <col min="10497" max="10497" width="27.109375" customWidth="1"/>
    <col min="10498" max="10498" width="15" bestFit="1" customWidth="1"/>
    <col min="10499" max="10499" width="3" bestFit="1" customWidth="1"/>
    <col min="10500" max="10500" width="18.6640625" bestFit="1" customWidth="1"/>
    <col min="10753" max="10753" width="27.109375" customWidth="1"/>
    <col min="10754" max="10754" width="15" bestFit="1" customWidth="1"/>
    <col min="10755" max="10755" width="3" bestFit="1" customWidth="1"/>
    <col min="10756" max="10756" width="18.6640625" bestFit="1" customWidth="1"/>
    <col min="11009" max="11009" width="27.109375" customWidth="1"/>
    <col min="11010" max="11010" width="15" bestFit="1" customWidth="1"/>
    <col min="11011" max="11011" width="3" bestFit="1" customWidth="1"/>
    <col min="11012" max="11012" width="18.6640625" bestFit="1" customWidth="1"/>
    <col min="11265" max="11265" width="27.109375" customWidth="1"/>
    <col min="11266" max="11266" width="15" bestFit="1" customWidth="1"/>
    <col min="11267" max="11267" width="3" bestFit="1" customWidth="1"/>
    <col min="11268" max="11268" width="18.6640625" bestFit="1" customWidth="1"/>
    <col min="11521" max="11521" width="27.109375" customWidth="1"/>
    <col min="11522" max="11522" width="15" bestFit="1" customWidth="1"/>
    <col min="11523" max="11523" width="3" bestFit="1" customWidth="1"/>
    <col min="11524" max="11524" width="18.6640625" bestFit="1" customWidth="1"/>
    <col min="11777" max="11777" width="27.109375" customWidth="1"/>
    <col min="11778" max="11778" width="15" bestFit="1" customWidth="1"/>
    <col min="11779" max="11779" width="3" bestFit="1" customWidth="1"/>
    <col min="11780" max="11780" width="18.6640625" bestFit="1" customWidth="1"/>
    <col min="12033" max="12033" width="27.109375" customWidth="1"/>
    <col min="12034" max="12034" width="15" bestFit="1" customWidth="1"/>
    <col min="12035" max="12035" width="3" bestFit="1" customWidth="1"/>
    <col min="12036" max="12036" width="18.6640625" bestFit="1" customWidth="1"/>
    <col min="12289" max="12289" width="27.109375" customWidth="1"/>
    <col min="12290" max="12290" width="15" bestFit="1" customWidth="1"/>
    <col min="12291" max="12291" width="3" bestFit="1" customWidth="1"/>
    <col min="12292" max="12292" width="18.6640625" bestFit="1" customWidth="1"/>
    <col min="12545" max="12545" width="27.109375" customWidth="1"/>
    <col min="12546" max="12546" width="15" bestFit="1" customWidth="1"/>
    <col min="12547" max="12547" width="3" bestFit="1" customWidth="1"/>
    <col min="12548" max="12548" width="18.6640625" bestFit="1" customWidth="1"/>
    <col min="12801" max="12801" width="27.109375" customWidth="1"/>
    <col min="12802" max="12802" width="15" bestFit="1" customWidth="1"/>
    <col min="12803" max="12803" width="3" bestFit="1" customWidth="1"/>
    <col min="12804" max="12804" width="18.6640625" bestFit="1" customWidth="1"/>
    <col min="13057" max="13057" width="27.109375" customWidth="1"/>
    <col min="13058" max="13058" width="15" bestFit="1" customWidth="1"/>
    <col min="13059" max="13059" width="3" bestFit="1" customWidth="1"/>
    <col min="13060" max="13060" width="18.6640625" bestFit="1" customWidth="1"/>
    <col min="13313" max="13313" width="27.109375" customWidth="1"/>
    <col min="13314" max="13314" width="15" bestFit="1" customWidth="1"/>
    <col min="13315" max="13315" width="3" bestFit="1" customWidth="1"/>
    <col min="13316" max="13316" width="18.6640625" bestFit="1" customWidth="1"/>
    <col min="13569" max="13569" width="27.109375" customWidth="1"/>
    <col min="13570" max="13570" width="15" bestFit="1" customWidth="1"/>
    <col min="13571" max="13571" width="3" bestFit="1" customWidth="1"/>
    <col min="13572" max="13572" width="18.6640625" bestFit="1" customWidth="1"/>
    <col min="13825" max="13825" width="27.109375" customWidth="1"/>
    <col min="13826" max="13826" width="15" bestFit="1" customWidth="1"/>
    <col min="13827" max="13827" width="3" bestFit="1" customWidth="1"/>
    <col min="13828" max="13828" width="18.6640625" bestFit="1" customWidth="1"/>
    <col min="14081" max="14081" width="27.109375" customWidth="1"/>
    <col min="14082" max="14082" width="15" bestFit="1" customWidth="1"/>
    <col min="14083" max="14083" width="3" bestFit="1" customWidth="1"/>
    <col min="14084" max="14084" width="18.6640625" bestFit="1" customWidth="1"/>
    <col min="14337" max="14337" width="27.109375" customWidth="1"/>
    <col min="14338" max="14338" width="15" bestFit="1" customWidth="1"/>
    <col min="14339" max="14339" width="3" bestFit="1" customWidth="1"/>
    <col min="14340" max="14340" width="18.6640625" bestFit="1" customWidth="1"/>
    <col min="14593" max="14593" width="27.109375" customWidth="1"/>
    <col min="14594" max="14594" width="15" bestFit="1" customWidth="1"/>
    <col min="14595" max="14595" width="3" bestFit="1" customWidth="1"/>
    <col min="14596" max="14596" width="18.6640625" bestFit="1" customWidth="1"/>
    <col min="14849" max="14849" width="27.109375" customWidth="1"/>
    <col min="14850" max="14850" width="15" bestFit="1" customWidth="1"/>
    <col min="14851" max="14851" width="3" bestFit="1" customWidth="1"/>
    <col min="14852" max="14852" width="18.6640625" bestFit="1" customWidth="1"/>
    <col min="15105" max="15105" width="27.109375" customWidth="1"/>
    <col min="15106" max="15106" width="15" bestFit="1" customWidth="1"/>
    <col min="15107" max="15107" width="3" bestFit="1" customWidth="1"/>
    <col min="15108" max="15108" width="18.6640625" bestFit="1" customWidth="1"/>
    <col min="15361" max="15361" width="27.109375" customWidth="1"/>
    <col min="15362" max="15362" width="15" bestFit="1" customWidth="1"/>
    <col min="15363" max="15363" width="3" bestFit="1" customWidth="1"/>
    <col min="15364" max="15364" width="18.6640625" bestFit="1" customWidth="1"/>
    <col min="15617" max="15617" width="27.109375" customWidth="1"/>
    <col min="15618" max="15618" width="15" bestFit="1" customWidth="1"/>
    <col min="15619" max="15619" width="3" bestFit="1" customWidth="1"/>
    <col min="15620" max="15620" width="18.6640625" bestFit="1" customWidth="1"/>
    <col min="15873" max="15873" width="27.109375" customWidth="1"/>
    <col min="15874" max="15874" width="15" bestFit="1" customWidth="1"/>
    <col min="15875" max="15875" width="3" bestFit="1" customWidth="1"/>
    <col min="15876" max="15876" width="18.6640625" bestFit="1" customWidth="1"/>
    <col min="16129" max="16129" width="27.109375" customWidth="1"/>
    <col min="16130" max="16130" width="15" bestFit="1" customWidth="1"/>
    <col min="16131" max="16131" width="3" bestFit="1" customWidth="1"/>
    <col min="16132" max="16132" width="18.6640625" bestFit="1" customWidth="1"/>
  </cols>
  <sheetData>
    <row r="1" spans="1:8" ht="43.2" x14ac:dyDescent="0.3">
      <c r="A1" s="25" t="str">
        <f>"If your investment plan requires that you deposit "&amp;DOLLAR(B5)&amp;" at the end of each period for the next "&amp;B4&amp;" years and you can earn "&amp;TEXT(B2,"0.00%")&amp;" compounded "&amp;B3&amp;" time a year, what is the Future Value?"</f>
        <v>If your investment plan requires that you deposit $100.00 at the end of each period for the next 40 years and you can earn 12.00% compounded 12 time a year, what is the Future Value?</v>
      </c>
      <c r="B1" s="25"/>
      <c r="C1" s="25"/>
      <c r="D1" s="25"/>
    </row>
    <row r="2" spans="1:8" x14ac:dyDescent="0.3">
      <c r="A2" s="6" t="s">
        <v>56</v>
      </c>
      <c r="B2" s="1">
        <v>0.12</v>
      </c>
    </row>
    <row r="3" spans="1:8" x14ac:dyDescent="0.3">
      <c r="A3" s="6" t="s">
        <v>38</v>
      </c>
      <c r="B3" s="1">
        <v>12</v>
      </c>
    </row>
    <row r="4" spans="1:8" x14ac:dyDescent="0.3">
      <c r="A4" s="6" t="s">
        <v>76</v>
      </c>
      <c r="B4" s="1">
        <v>40</v>
      </c>
    </row>
    <row r="5" spans="1:8" ht="28.95" x14ac:dyDescent="0.3">
      <c r="A5" s="6" t="s">
        <v>77</v>
      </c>
      <c r="B5" s="1">
        <v>100</v>
      </c>
    </row>
    <row r="6" spans="1:8" ht="45" x14ac:dyDescent="0.25">
      <c r="A6" s="6" t="s">
        <v>155</v>
      </c>
      <c r="B6" s="1"/>
    </row>
    <row r="7" spans="1:8" x14ac:dyDescent="0.3">
      <c r="A7" s="7"/>
    </row>
    <row r="8" spans="1:8" ht="28.8" x14ac:dyDescent="0.3">
      <c r="A8" s="6" t="s">
        <v>217</v>
      </c>
      <c r="B8" s="44"/>
    </row>
    <row r="9" spans="1:8" ht="15" x14ac:dyDescent="0.25">
      <c r="A9" s="6" t="s">
        <v>156</v>
      </c>
      <c r="B9" s="22"/>
    </row>
    <row r="11" spans="1:8" x14ac:dyDescent="0.3">
      <c r="A11" s="6" t="s">
        <v>79</v>
      </c>
      <c r="B11" s="44"/>
    </row>
    <row r="12" spans="1:8" x14ac:dyDescent="0.3">
      <c r="A12" s="6" t="s">
        <v>80</v>
      </c>
      <c r="B12" s="22"/>
    </row>
    <row r="14" spans="1:8" x14ac:dyDescent="0.3">
      <c r="A14" t="s">
        <v>81</v>
      </c>
      <c r="B14" s="45" t="str">
        <f>IF(B9="","","If your investment plan requires that you deposit "&amp;DOLLAR(B5)&amp;" at the end of each period for the next "&amp;B4&amp;" years and you can earn "&amp;TEXT(B2,"0.00%")&amp;" compounded "&amp;B3&amp;" time a year, your Future Value would be "&amp;DOLLAR(FV(B2/B3,B3*B4,-B5,,B6))&amp;".")</f>
        <v/>
      </c>
      <c r="C14" s="46"/>
      <c r="D14" s="46"/>
      <c r="E14" s="46"/>
      <c r="F14" s="46"/>
      <c r="G14" s="46"/>
      <c r="H14" s="47"/>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14"/>
  <sheetViews>
    <sheetView zoomScaleNormal="100" workbookViewId="0"/>
  </sheetViews>
  <sheetFormatPr defaultRowHeight="14.4" x14ac:dyDescent="0.3"/>
  <cols>
    <col min="1" max="1" width="27.109375" customWidth="1"/>
    <col min="2" max="2" width="15" bestFit="1" customWidth="1"/>
    <col min="3" max="3" width="3" bestFit="1" customWidth="1"/>
    <col min="4" max="4" width="18.6640625" bestFit="1" customWidth="1"/>
    <col min="257" max="257" width="27.109375" customWidth="1"/>
    <col min="258" max="258" width="15" bestFit="1" customWidth="1"/>
    <col min="259" max="259" width="3" bestFit="1" customWidth="1"/>
    <col min="260" max="260" width="18.6640625" bestFit="1" customWidth="1"/>
    <col min="513" max="513" width="27.109375" customWidth="1"/>
    <col min="514" max="514" width="15" bestFit="1" customWidth="1"/>
    <col min="515" max="515" width="3" bestFit="1" customWidth="1"/>
    <col min="516" max="516" width="18.6640625" bestFit="1" customWidth="1"/>
    <col min="769" max="769" width="27.109375" customWidth="1"/>
    <col min="770" max="770" width="15" bestFit="1" customWidth="1"/>
    <col min="771" max="771" width="3" bestFit="1" customWidth="1"/>
    <col min="772" max="772" width="18.6640625" bestFit="1" customWidth="1"/>
    <col min="1025" max="1025" width="27.109375" customWidth="1"/>
    <col min="1026" max="1026" width="15" bestFit="1" customWidth="1"/>
    <col min="1027" max="1027" width="3" bestFit="1" customWidth="1"/>
    <col min="1028" max="1028" width="18.6640625" bestFit="1" customWidth="1"/>
    <col min="1281" max="1281" width="27.109375" customWidth="1"/>
    <col min="1282" max="1282" width="15" bestFit="1" customWidth="1"/>
    <col min="1283" max="1283" width="3" bestFit="1" customWidth="1"/>
    <col min="1284" max="1284" width="18.6640625" bestFit="1" customWidth="1"/>
    <col min="1537" max="1537" width="27.109375" customWidth="1"/>
    <col min="1538" max="1538" width="15" bestFit="1" customWidth="1"/>
    <col min="1539" max="1539" width="3" bestFit="1" customWidth="1"/>
    <col min="1540" max="1540" width="18.6640625" bestFit="1" customWidth="1"/>
    <col min="1793" max="1793" width="27.109375" customWidth="1"/>
    <col min="1794" max="1794" width="15" bestFit="1" customWidth="1"/>
    <col min="1795" max="1795" width="3" bestFit="1" customWidth="1"/>
    <col min="1796" max="1796" width="18.6640625" bestFit="1" customWidth="1"/>
    <col min="2049" max="2049" width="27.109375" customWidth="1"/>
    <col min="2050" max="2050" width="15" bestFit="1" customWidth="1"/>
    <col min="2051" max="2051" width="3" bestFit="1" customWidth="1"/>
    <col min="2052" max="2052" width="18.6640625" bestFit="1" customWidth="1"/>
    <col min="2305" max="2305" width="27.109375" customWidth="1"/>
    <col min="2306" max="2306" width="15" bestFit="1" customWidth="1"/>
    <col min="2307" max="2307" width="3" bestFit="1" customWidth="1"/>
    <col min="2308" max="2308" width="18.6640625" bestFit="1" customWidth="1"/>
    <col min="2561" max="2561" width="27.109375" customWidth="1"/>
    <col min="2562" max="2562" width="15" bestFit="1" customWidth="1"/>
    <col min="2563" max="2563" width="3" bestFit="1" customWidth="1"/>
    <col min="2564" max="2564" width="18.6640625" bestFit="1" customWidth="1"/>
    <col min="2817" max="2817" width="27.109375" customWidth="1"/>
    <col min="2818" max="2818" width="15" bestFit="1" customWidth="1"/>
    <col min="2819" max="2819" width="3" bestFit="1" customWidth="1"/>
    <col min="2820" max="2820" width="18.6640625" bestFit="1" customWidth="1"/>
    <col min="3073" max="3073" width="27.109375" customWidth="1"/>
    <col min="3074" max="3074" width="15" bestFit="1" customWidth="1"/>
    <col min="3075" max="3075" width="3" bestFit="1" customWidth="1"/>
    <col min="3076" max="3076" width="18.6640625" bestFit="1" customWidth="1"/>
    <col min="3329" max="3329" width="27.109375" customWidth="1"/>
    <col min="3330" max="3330" width="15" bestFit="1" customWidth="1"/>
    <col min="3331" max="3331" width="3" bestFit="1" customWidth="1"/>
    <col min="3332" max="3332" width="18.6640625" bestFit="1" customWidth="1"/>
    <col min="3585" max="3585" width="27.109375" customWidth="1"/>
    <col min="3586" max="3586" width="15" bestFit="1" customWidth="1"/>
    <col min="3587" max="3587" width="3" bestFit="1" customWidth="1"/>
    <col min="3588" max="3588" width="18.6640625" bestFit="1" customWidth="1"/>
    <col min="3841" max="3841" width="27.109375" customWidth="1"/>
    <col min="3842" max="3842" width="15" bestFit="1" customWidth="1"/>
    <col min="3843" max="3843" width="3" bestFit="1" customWidth="1"/>
    <col min="3844" max="3844" width="18.6640625" bestFit="1" customWidth="1"/>
    <col min="4097" max="4097" width="27.109375" customWidth="1"/>
    <col min="4098" max="4098" width="15" bestFit="1" customWidth="1"/>
    <col min="4099" max="4099" width="3" bestFit="1" customWidth="1"/>
    <col min="4100" max="4100" width="18.6640625" bestFit="1" customWidth="1"/>
    <col min="4353" max="4353" width="27.109375" customWidth="1"/>
    <col min="4354" max="4354" width="15" bestFit="1" customWidth="1"/>
    <col min="4355" max="4355" width="3" bestFit="1" customWidth="1"/>
    <col min="4356" max="4356" width="18.6640625" bestFit="1" customWidth="1"/>
    <col min="4609" max="4609" width="27.109375" customWidth="1"/>
    <col min="4610" max="4610" width="15" bestFit="1" customWidth="1"/>
    <col min="4611" max="4611" width="3" bestFit="1" customWidth="1"/>
    <col min="4612" max="4612" width="18.6640625" bestFit="1" customWidth="1"/>
    <col min="4865" max="4865" width="27.109375" customWidth="1"/>
    <col min="4866" max="4866" width="15" bestFit="1" customWidth="1"/>
    <col min="4867" max="4867" width="3" bestFit="1" customWidth="1"/>
    <col min="4868" max="4868" width="18.6640625" bestFit="1" customWidth="1"/>
    <col min="5121" max="5121" width="27.109375" customWidth="1"/>
    <col min="5122" max="5122" width="15" bestFit="1" customWidth="1"/>
    <col min="5123" max="5123" width="3" bestFit="1" customWidth="1"/>
    <col min="5124" max="5124" width="18.6640625" bestFit="1" customWidth="1"/>
    <col min="5377" max="5377" width="27.109375" customWidth="1"/>
    <col min="5378" max="5378" width="15" bestFit="1" customWidth="1"/>
    <col min="5379" max="5379" width="3" bestFit="1" customWidth="1"/>
    <col min="5380" max="5380" width="18.6640625" bestFit="1" customWidth="1"/>
    <col min="5633" max="5633" width="27.109375" customWidth="1"/>
    <col min="5634" max="5634" width="15" bestFit="1" customWidth="1"/>
    <col min="5635" max="5635" width="3" bestFit="1" customWidth="1"/>
    <col min="5636" max="5636" width="18.6640625" bestFit="1" customWidth="1"/>
    <col min="5889" max="5889" width="27.109375" customWidth="1"/>
    <col min="5890" max="5890" width="15" bestFit="1" customWidth="1"/>
    <col min="5891" max="5891" width="3" bestFit="1" customWidth="1"/>
    <col min="5892" max="5892" width="18.6640625" bestFit="1" customWidth="1"/>
    <col min="6145" max="6145" width="27.109375" customWidth="1"/>
    <col min="6146" max="6146" width="15" bestFit="1" customWidth="1"/>
    <col min="6147" max="6147" width="3" bestFit="1" customWidth="1"/>
    <col min="6148" max="6148" width="18.6640625" bestFit="1" customWidth="1"/>
    <col min="6401" max="6401" width="27.109375" customWidth="1"/>
    <col min="6402" max="6402" width="15" bestFit="1" customWidth="1"/>
    <col min="6403" max="6403" width="3" bestFit="1" customWidth="1"/>
    <col min="6404" max="6404" width="18.6640625" bestFit="1" customWidth="1"/>
    <col min="6657" max="6657" width="27.109375" customWidth="1"/>
    <col min="6658" max="6658" width="15" bestFit="1" customWidth="1"/>
    <col min="6659" max="6659" width="3" bestFit="1" customWidth="1"/>
    <col min="6660" max="6660" width="18.6640625" bestFit="1" customWidth="1"/>
    <col min="6913" max="6913" width="27.109375" customWidth="1"/>
    <col min="6914" max="6914" width="15" bestFit="1" customWidth="1"/>
    <col min="6915" max="6915" width="3" bestFit="1" customWidth="1"/>
    <col min="6916" max="6916" width="18.6640625" bestFit="1" customWidth="1"/>
    <col min="7169" max="7169" width="27.109375" customWidth="1"/>
    <col min="7170" max="7170" width="15" bestFit="1" customWidth="1"/>
    <col min="7171" max="7171" width="3" bestFit="1" customWidth="1"/>
    <col min="7172" max="7172" width="18.6640625" bestFit="1" customWidth="1"/>
    <col min="7425" max="7425" width="27.109375" customWidth="1"/>
    <col min="7426" max="7426" width="15" bestFit="1" customWidth="1"/>
    <col min="7427" max="7427" width="3" bestFit="1" customWidth="1"/>
    <col min="7428" max="7428" width="18.6640625" bestFit="1" customWidth="1"/>
    <col min="7681" max="7681" width="27.109375" customWidth="1"/>
    <col min="7682" max="7682" width="15" bestFit="1" customWidth="1"/>
    <col min="7683" max="7683" width="3" bestFit="1" customWidth="1"/>
    <col min="7684" max="7684" width="18.6640625" bestFit="1" customWidth="1"/>
    <col min="7937" max="7937" width="27.109375" customWidth="1"/>
    <col min="7938" max="7938" width="15" bestFit="1" customWidth="1"/>
    <col min="7939" max="7939" width="3" bestFit="1" customWidth="1"/>
    <col min="7940" max="7940" width="18.6640625" bestFit="1" customWidth="1"/>
    <col min="8193" max="8193" width="27.109375" customWidth="1"/>
    <col min="8194" max="8194" width="15" bestFit="1" customWidth="1"/>
    <col min="8195" max="8195" width="3" bestFit="1" customWidth="1"/>
    <col min="8196" max="8196" width="18.6640625" bestFit="1" customWidth="1"/>
    <col min="8449" max="8449" width="27.109375" customWidth="1"/>
    <col min="8450" max="8450" width="15" bestFit="1" customWidth="1"/>
    <col min="8451" max="8451" width="3" bestFit="1" customWidth="1"/>
    <col min="8452" max="8452" width="18.6640625" bestFit="1" customWidth="1"/>
    <col min="8705" max="8705" width="27.109375" customWidth="1"/>
    <col min="8706" max="8706" width="15" bestFit="1" customWidth="1"/>
    <col min="8707" max="8707" width="3" bestFit="1" customWidth="1"/>
    <col min="8708" max="8708" width="18.6640625" bestFit="1" customWidth="1"/>
    <col min="8961" max="8961" width="27.109375" customWidth="1"/>
    <col min="8962" max="8962" width="15" bestFit="1" customWidth="1"/>
    <col min="8963" max="8963" width="3" bestFit="1" customWidth="1"/>
    <col min="8964" max="8964" width="18.6640625" bestFit="1" customWidth="1"/>
    <col min="9217" max="9217" width="27.109375" customWidth="1"/>
    <col min="9218" max="9218" width="15" bestFit="1" customWidth="1"/>
    <col min="9219" max="9219" width="3" bestFit="1" customWidth="1"/>
    <col min="9220" max="9220" width="18.6640625" bestFit="1" customWidth="1"/>
    <col min="9473" max="9473" width="27.109375" customWidth="1"/>
    <col min="9474" max="9474" width="15" bestFit="1" customWidth="1"/>
    <col min="9475" max="9475" width="3" bestFit="1" customWidth="1"/>
    <col min="9476" max="9476" width="18.6640625" bestFit="1" customWidth="1"/>
    <col min="9729" max="9729" width="27.109375" customWidth="1"/>
    <col min="9730" max="9730" width="15" bestFit="1" customWidth="1"/>
    <col min="9731" max="9731" width="3" bestFit="1" customWidth="1"/>
    <col min="9732" max="9732" width="18.6640625" bestFit="1" customWidth="1"/>
    <col min="9985" max="9985" width="27.109375" customWidth="1"/>
    <col min="9986" max="9986" width="15" bestFit="1" customWidth="1"/>
    <col min="9987" max="9987" width="3" bestFit="1" customWidth="1"/>
    <col min="9988" max="9988" width="18.6640625" bestFit="1" customWidth="1"/>
    <col min="10241" max="10241" width="27.109375" customWidth="1"/>
    <col min="10242" max="10242" width="15" bestFit="1" customWidth="1"/>
    <col min="10243" max="10243" width="3" bestFit="1" customWidth="1"/>
    <col min="10244" max="10244" width="18.6640625" bestFit="1" customWidth="1"/>
    <col min="10497" max="10497" width="27.109375" customWidth="1"/>
    <col min="10498" max="10498" width="15" bestFit="1" customWidth="1"/>
    <col min="10499" max="10499" width="3" bestFit="1" customWidth="1"/>
    <col min="10500" max="10500" width="18.6640625" bestFit="1" customWidth="1"/>
    <col min="10753" max="10753" width="27.109375" customWidth="1"/>
    <col min="10754" max="10754" width="15" bestFit="1" customWidth="1"/>
    <col min="10755" max="10755" width="3" bestFit="1" customWidth="1"/>
    <col min="10756" max="10756" width="18.6640625" bestFit="1" customWidth="1"/>
    <col min="11009" max="11009" width="27.109375" customWidth="1"/>
    <col min="11010" max="11010" width="15" bestFit="1" customWidth="1"/>
    <col min="11011" max="11011" width="3" bestFit="1" customWidth="1"/>
    <col min="11012" max="11012" width="18.6640625" bestFit="1" customWidth="1"/>
    <col min="11265" max="11265" width="27.109375" customWidth="1"/>
    <col min="11266" max="11266" width="15" bestFit="1" customWidth="1"/>
    <col min="11267" max="11267" width="3" bestFit="1" customWidth="1"/>
    <col min="11268" max="11268" width="18.6640625" bestFit="1" customWidth="1"/>
    <col min="11521" max="11521" width="27.109375" customWidth="1"/>
    <col min="11522" max="11522" width="15" bestFit="1" customWidth="1"/>
    <col min="11523" max="11523" width="3" bestFit="1" customWidth="1"/>
    <col min="11524" max="11524" width="18.6640625" bestFit="1" customWidth="1"/>
    <col min="11777" max="11777" width="27.109375" customWidth="1"/>
    <col min="11778" max="11778" width="15" bestFit="1" customWidth="1"/>
    <col min="11779" max="11779" width="3" bestFit="1" customWidth="1"/>
    <col min="11780" max="11780" width="18.6640625" bestFit="1" customWidth="1"/>
    <col min="12033" max="12033" width="27.109375" customWidth="1"/>
    <col min="12034" max="12034" width="15" bestFit="1" customWidth="1"/>
    <col min="12035" max="12035" width="3" bestFit="1" customWidth="1"/>
    <col min="12036" max="12036" width="18.6640625" bestFit="1" customWidth="1"/>
    <col min="12289" max="12289" width="27.109375" customWidth="1"/>
    <col min="12290" max="12290" width="15" bestFit="1" customWidth="1"/>
    <col min="12291" max="12291" width="3" bestFit="1" customWidth="1"/>
    <col min="12292" max="12292" width="18.6640625" bestFit="1" customWidth="1"/>
    <col min="12545" max="12545" width="27.109375" customWidth="1"/>
    <col min="12546" max="12546" width="15" bestFit="1" customWidth="1"/>
    <col min="12547" max="12547" width="3" bestFit="1" customWidth="1"/>
    <col min="12548" max="12548" width="18.6640625" bestFit="1" customWidth="1"/>
    <col min="12801" max="12801" width="27.109375" customWidth="1"/>
    <col min="12802" max="12802" width="15" bestFit="1" customWidth="1"/>
    <col min="12803" max="12803" width="3" bestFit="1" customWidth="1"/>
    <col min="12804" max="12804" width="18.6640625" bestFit="1" customWidth="1"/>
    <col min="13057" max="13057" width="27.109375" customWidth="1"/>
    <col min="13058" max="13058" width="15" bestFit="1" customWidth="1"/>
    <col min="13059" max="13059" width="3" bestFit="1" customWidth="1"/>
    <col min="13060" max="13060" width="18.6640625" bestFit="1" customWidth="1"/>
    <col min="13313" max="13313" width="27.109375" customWidth="1"/>
    <col min="13314" max="13314" width="15" bestFit="1" customWidth="1"/>
    <col min="13315" max="13315" width="3" bestFit="1" customWidth="1"/>
    <col min="13316" max="13316" width="18.6640625" bestFit="1" customWidth="1"/>
    <col min="13569" max="13569" width="27.109375" customWidth="1"/>
    <col min="13570" max="13570" width="15" bestFit="1" customWidth="1"/>
    <col min="13571" max="13571" width="3" bestFit="1" customWidth="1"/>
    <col min="13572" max="13572" width="18.6640625" bestFit="1" customWidth="1"/>
    <col min="13825" max="13825" width="27.109375" customWidth="1"/>
    <col min="13826" max="13826" width="15" bestFit="1" customWidth="1"/>
    <col min="13827" max="13827" width="3" bestFit="1" customWidth="1"/>
    <col min="13828" max="13828" width="18.6640625" bestFit="1" customWidth="1"/>
    <col min="14081" max="14081" width="27.109375" customWidth="1"/>
    <col min="14082" max="14082" width="15" bestFit="1" customWidth="1"/>
    <col min="14083" max="14083" width="3" bestFit="1" customWidth="1"/>
    <col min="14084" max="14084" width="18.6640625" bestFit="1" customWidth="1"/>
    <col min="14337" max="14337" width="27.109375" customWidth="1"/>
    <col min="14338" max="14338" width="15" bestFit="1" customWidth="1"/>
    <col min="14339" max="14339" width="3" bestFit="1" customWidth="1"/>
    <col min="14340" max="14340" width="18.6640625" bestFit="1" customWidth="1"/>
    <col min="14593" max="14593" width="27.109375" customWidth="1"/>
    <col min="14594" max="14594" width="15" bestFit="1" customWidth="1"/>
    <col min="14595" max="14595" width="3" bestFit="1" customWidth="1"/>
    <col min="14596" max="14596" width="18.6640625" bestFit="1" customWidth="1"/>
    <col min="14849" max="14849" width="27.109375" customWidth="1"/>
    <col min="14850" max="14850" width="15" bestFit="1" customWidth="1"/>
    <col min="14851" max="14851" width="3" bestFit="1" customWidth="1"/>
    <col min="14852" max="14852" width="18.6640625" bestFit="1" customWidth="1"/>
    <col min="15105" max="15105" width="27.109375" customWidth="1"/>
    <col min="15106" max="15106" width="15" bestFit="1" customWidth="1"/>
    <col min="15107" max="15107" width="3" bestFit="1" customWidth="1"/>
    <col min="15108" max="15108" width="18.6640625" bestFit="1" customWidth="1"/>
    <col min="15361" max="15361" width="27.109375" customWidth="1"/>
    <col min="15362" max="15362" width="15" bestFit="1" customWidth="1"/>
    <col min="15363" max="15363" width="3" bestFit="1" customWidth="1"/>
    <col min="15364" max="15364" width="18.6640625" bestFit="1" customWidth="1"/>
    <col min="15617" max="15617" width="27.109375" customWidth="1"/>
    <col min="15618" max="15618" width="15" bestFit="1" customWidth="1"/>
    <col min="15619" max="15619" width="3" bestFit="1" customWidth="1"/>
    <col min="15620" max="15620" width="18.6640625" bestFit="1" customWidth="1"/>
    <col min="15873" max="15873" width="27.109375" customWidth="1"/>
    <col min="15874" max="15874" width="15" bestFit="1" customWidth="1"/>
    <col min="15875" max="15875" width="3" bestFit="1" customWidth="1"/>
    <col min="15876" max="15876" width="18.6640625" bestFit="1" customWidth="1"/>
    <col min="16129" max="16129" width="27.109375" customWidth="1"/>
    <col min="16130" max="16130" width="15" bestFit="1" customWidth="1"/>
    <col min="16131" max="16131" width="3" bestFit="1" customWidth="1"/>
    <col min="16132" max="16132" width="18.6640625" bestFit="1" customWidth="1"/>
  </cols>
  <sheetData>
    <row r="1" spans="1:8" ht="43.2" x14ac:dyDescent="0.3">
      <c r="A1" s="25" t="str">
        <f>"If your investment plan requires that you deposit "&amp;DOLLAR(B5)&amp;" at the end of each period for the next "&amp;B4&amp;" years and you can earn "&amp;TEXT(B2,"0.00%")&amp;" compounded "&amp;B3&amp;" time a year, what is the Future Value?"</f>
        <v>If your investment plan requires that you deposit $100.00 at the end of each period for the next 40 years and you can earn 12.00% compounded 12 time a year, what is the Future Value?</v>
      </c>
      <c r="B1" s="25"/>
      <c r="C1" s="25"/>
      <c r="D1" s="25"/>
    </row>
    <row r="2" spans="1:8" x14ac:dyDescent="0.3">
      <c r="A2" s="6" t="s">
        <v>56</v>
      </c>
      <c r="B2" s="1">
        <v>0.12</v>
      </c>
    </row>
    <row r="3" spans="1:8" x14ac:dyDescent="0.3">
      <c r="A3" s="6" t="s">
        <v>38</v>
      </c>
      <c r="B3" s="1">
        <v>12</v>
      </c>
    </row>
    <row r="4" spans="1:8" x14ac:dyDescent="0.3">
      <c r="A4" s="6" t="s">
        <v>76</v>
      </c>
      <c r="B4" s="1">
        <v>40</v>
      </c>
    </row>
    <row r="5" spans="1:8" ht="28.8" x14ac:dyDescent="0.3">
      <c r="A5" s="6" t="s">
        <v>77</v>
      </c>
      <c r="B5" s="1">
        <v>100</v>
      </c>
    </row>
    <row r="6" spans="1:8" ht="28.8" x14ac:dyDescent="0.3">
      <c r="A6" s="6" t="s">
        <v>155</v>
      </c>
      <c r="B6" s="1"/>
    </row>
    <row r="7" spans="1:8" x14ac:dyDescent="0.3">
      <c r="A7" s="7"/>
    </row>
    <row r="8" spans="1:8" ht="28.8" x14ac:dyDescent="0.3">
      <c r="A8" s="6" t="s">
        <v>217</v>
      </c>
      <c r="B8" s="44">
        <f>B5*((1+B2/B3)^(B3*B4)-1)/(B2/B3)</f>
        <v>1176477.2510251577</v>
      </c>
    </row>
    <row r="9" spans="1:8" x14ac:dyDescent="0.3">
      <c r="A9" s="6" t="s">
        <v>156</v>
      </c>
      <c r="B9" s="22">
        <f>FV(B2/B3,B4*B3,-B5)</f>
        <v>1176477.2510251577</v>
      </c>
    </row>
    <row r="11" spans="1:8" x14ac:dyDescent="0.3">
      <c r="A11" s="6" t="s">
        <v>79</v>
      </c>
      <c r="B11" s="44">
        <f>B5*B4*B3</f>
        <v>48000</v>
      </c>
    </row>
    <row r="12" spans="1:8" x14ac:dyDescent="0.3">
      <c r="A12" s="6" t="s">
        <v>80</v>
      </c>
      <c r="B12" s="22">
        <f>B9-B11</f>
        <v>1128477.2510251577</v>
      </c>
    </row>
    <row r="14" spans="1:8" ht="43.2" x14ac:dyDescent="0.3">
      <c r="A14" t="s">
        <v>81</v>
      </c>
      <c r="B14" s="45" t="str">
        <f>IF(B9="","","If your investment plan requires that you deposit "&amp;DOLLAR(B5)&amp;" at the end of each period for the next "&amp;B4&amp;" years and you can earn "&amp;TEXT(B2,"0.00%")&amp;" compounded "&amp;B3&amp;" time a year, your Future Value would be "&amp;DOLLAR(FV(B2/B3,B3*B4,-B5,,B6))&amp;".")</f>
        <v>If your investment plan requires that you deposit $100.00 at the end of each period for the next 40 years and you can earn 12.00% compounded 12 time a year, your Future Value would be $1,176,477.25.</v>
      </c>
      <c r="C14" s="46"/>
      <c r="D14" s="46"/>
      <c r="E14" s="46"/>
      <c r="F14" s="46"/>
      <c r="G14" s="46"/>
      <c r="H14" s="47"/>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00FF"/>
  </sheetPr>
  <dimension ref="A1:H15"/>
  <sheetViews>
    <sheetView zoomScaleNormal="100" workbookViewId="0"/>
  </sheetViews>
  <sheetFormatPr defaultRowHeight="14.4" x14ac:dyDescent="0.3"/>
  <cols>
    <col min="1" max="1" width="27.109375" customWidth="1"/>
    <col min="2" max="2" width="15" bestFit="1" customWidth="1"/>
    <col min="3" max="3" width="3" bestFit="1" customWidth="1"/>
    <col min="4" max="4" width="18.6640625" bestFit="1" customWidth="1"/>
    <col min="257" max="257" width="27.109375" customWidth="1"/>
    <col min="258" max="258" width="15" bestFit="1" customWidth="1"/>
    <col min="259" max="259" width="3" bestFit="1" customWidth="1"/>
    <col min="260" max="260" width="18.6640625" bestFit="1" customWidth="1"/>
    <col min="513" max="513" width="27.109375" customWidth="1"/>
    <col min="514" max="514" width="15" bestFit="1" customWidth="1"/>
    <col min="515" max="515" width="3" bestFit="1" customWidth="1"/>
    <col min="516" max="516" width="18.6640625" bestFit="1" customWidth="1"/>
    <col min="769" max="769" width="27.109375" customWidth="1"/>
    <col min="770" max="770" width="15" bestFit="1" customWidth="1"/>
    <col min="771" max="771" width="3" bestFit="1" customWidth="1"/>
    <col min="772" max="772" width="18.6640625" bestFit="1" customWidth="1"/>
    <col min="1025" max="1025" width="27.109375" customWidth="1"/>
    <col min="1026" max="1026" width="15" bestFit="1" customWidth="1"/>
    <col min="1027" max="1027" width="3" bestFit="1" customWidth="1"/>
    <col min="1028" max="1028" width="18.6640625" bestFit="1" customWidth="1"/>
    <col min="1281" max="1281" width="27.109375" customWidth="1"/>
    <col min="1282" max="1282" width="15" bestFit="1" customWidth="1"/>
    <col min="1283" max="1283" width="3" bestFit="1" customWidth="1"/>
    <col min="1284" max="1284" width="18.6640625" bestFit="1" customWidth="1"/>
    <col min="1537" max="1537" width="27.109375" customWidth="1"/>
    <col min="1538" max="1538" width="15" bestFit="1" customWidth="1"/>
    <col min="1539" max="1539" width="3" bestFit="1" customWidth="1"/>
    <col min="1540" max="1540" width="18.6640625" bestFit="1" customWidth="1"/>
    <col min="1793" max="1793" width="27.109375" customWidth="1"/>
    <col min="1794" max="1794" width="15" bestFit="1" customWidth="1"/>
    <col min="1795" max="1795" width="3" bestFit="1" customWidth="1"/>
    <col min="1796" max="1796" width="18.6640625" bestFit="1" customWidth="1"/>
    <col min="2049" max="2049" width="27.109375" customWidth="1"/>
    <col min="2050" max="2050" width="15" bestFit="1" customWidth="1"/>
    <col min="2051" max="2051" width="3" bestFit="1" customWidth="1"/>
    <col min="2052" max="2052" width="18.6640625" bestFit="1" customWidth="1"/>
    <col min="2305" max="2305" width="27.109375" customWidth="1"/>
    <col min="2306" max="2306" width="15" bestFit="1" customWidth="1"/>
    <col min="2307" max="2307" width="3" bestFit="1" customWidth="1"/>
    <col min="2308" max="2308" width="18.6640625" bestFit="1" customWidth="1"/>
    <col min="2561" max="2561" width="27.109375" customWidth="1"/>
    <col min="2562" max="2562" width="15" bestFit="1" customWidth="1"/>
    <col min="2563" max="2563" width="3" bestFit="1" customWidth="1"/>
    <col min="2564" max="2564" width="18.6640625" bestFit="1" customWidth="1"/>
    <col min="2817" max="2817" width="27.109375" customWidth="1"/>
    <col min="2818" max="2818" width="15" bestFit="1" customWidth="1"/>
    <col min="2819" max="2819" width="3" bestFit="1" customWidth="1"/>
    <col min="2820" max="2820" width="18.6640625" bestFit="1" customWidth="1"/>
    <col min="3073" max="3073" width="27.109375" customWidth="1"/>
    <col min="3074" max="3074" width="15" bestFit="1" customWidth="1"/>
    <col min="3075" max="3075" width="3" bestFit="1" customWidth="1"/>
    <col min="3076" max="3076" width="18.6640625" bestFit="1" customWidth="1"/>
    <col min="3329" max="3329" width="27.109375" customWidth="1"/>
    <col min="3330" max="3330" width="15" bestFit="1" customWidth="1"/>
    <col min="3331" max="3331" width="3" bestFit="1" customWidth="1"/>
    <col min="3332" max="3332" width="18.6640625" bestFit="1" customWidth="1"/>
    <col min="3585" max="3585" width="27.109375" customWidth="1"/>
    <col min="3586" max="3586" width="15" bestFit="1" customWidth="1"/>
    <col min="3587" max="3587" width="3" bestFit="1" customWidth="1"/>
    <col min="3588" max="3588" width="18.6640625" bestFit="1" customWidth="1"/>
    <col min="3841" max="3841" width="27.109375" customWidth="1"/>
    <col min="3842" max="3842" width="15" bestFit="1" customWidth="1"/>
    <col min="3843" max="3843" width="3" bestFit="1" customWidth="1"/>
    <col min="3844" max="3844" width="18.6640625" bestFit="1" customWidth="1"/>
    <col min="4097" max="4097" width="27.109375" customWidth="1"/>
    <col min="4098" max="4098" width="15" bestFit="1" customWidth="1"/>
    <col min="4099" max="4099" width="3" bestFit="1" customWidth="1"/>
    <col min="4100" max="4100" width="18.6640625" bestFit="1" customWidth="1"/>
    <col min="4353" max="4353" width="27.109375" customWidth="1"/>
    <col min="4354" max="4354" width="15" bestFit="1" customWidth="1"/>
    <col min="4355" max="4355" width="3" bestFit="1" customWidth="1"/>
    <col min="4356" max="4356" width="18.6640625" bestFit="1" customWidth="1"/>
    <col min="4609" max="4609" width="27.109375" customWidth="1"/>
    <col min="4610" max="4610" width="15" bestFit="1" customWidth="1"/>
    <col min="4611" max="4611" width="3" bestFit="1" customWidth="1"/>
    <col min="4612" max="4612" width="18.6640625" bestFit="1" customWidth="1"/>
    <col min="4865" max="4865" width="27.109375" customWidth="1"/>
    <col min="4866" max="4866" width="15" bestFit="1" customWidth="1"/>
    <col min="4867" max="4867" width="3" bestFit="1" customWidth="1"/>
    <col min="4868" max="4868" width="18.6640625" bestFit="1" customWidth="1"/>
    <col min="5121" max="5121" width="27.109375" customWidth="1"/>
    <col min="5122" max="5122" width="15" bestFit="1" customWidth="1"/>
    <col min="5123" max="5123" width="3" bestFit="1" customWidth="1"/>
    <col min="5124" max="5124" width="18.6640625" bestFit="1" customWidth="1"/>
    <col min="5377" max="5377" width="27.109375" customWidth="1"/>
    <col min="5378" max="5378" width="15" bestFit="1" customWidth="1"/>
    <col min="5379" max="5379" width="3" bestFit="1" customWidth="1"/>
    <col min="5380" max="5380" width="18.6640625" bestFit="1" customWidth="1"/>
    <col min="5633" max="5633" width="27.109375" customWidth="1"/>
    <col min="5634" max="5634" width="15" bestFit="1" customWidth="1"/>
    <col min="5635" max="5635" width="3" bestFit="1" customWidth="1"/>
    <col min="5636" max="5636" width="18.6640625" bestFit="1" customWidth="1"/>
    <col min="5889" max="5889" width="27.109375" customWidth="1"/>
    <col min="5890" max="5890" width="15" bestFit="1" customWidth="1"/>
    <col min="5891" max="5891" width="3" bestFit="1" customWidth="1"/>
    <col min="5892" max="5892" width="18.6640625" bestFit="1" customWidth="1"/>
    <col min="6145" max="6145" width="27.109375" customWidth="1"/>
    <col min="6146" max="6146" width="15" bestFit="1" customWidth="1"/>
    <col min="6147" max="6147" width="3" bestFit="1" customWidth="1"/>
    <col min="6148" max="6148" width="18.6640625" bestFit="1" customWidth="1"/>
    <col min="6401" max="6401" width="27.109375" customWidth="1"/>
    <col min="6402" max="6402" width="15" bestFit="1" customWidth="1"/>
    <col min="6403" max="6403" width="3" bestFit="1" customWidth="1"/>
    <col min="6404" max="6404" width="18.6640625" bestFit="1" customWidth="1"/>
    <col min="6657" max="6657" width="27.109375" customWidth="1"/>
    <col min="6658" max="6658" width="15" bestFit="1" customWidth="1"/>
    <col min="6659" max="6659" width="3" bestFit="1" customWidth="1"/>
    <col min="6660" max="6660" width="18.6640625" bestFit="1" customWidth="1"/>
    <col min="6913" max="6913" width="27.109375" customWidth="1"/>
    <col min="6914" max="6914" width="15" bestFit="1" customWidth="1"/>
    <col min="6915" max="6915" width="3" bestFit="1" customWidth="1"/>
    <col min="6916" max="6916" width="18.6640625" bestFit="1" customWidth="1"/>
    <col min="7169" max="7169" width="27.109375" customWidth="1"/>
    <col min="7170" max="7170" width="15" bestFit="1" customWidth="1"/>
    <col min="7171" max="7171" width="3" bestFit="1" customWidth="1"/>
    <col min="7172" max="7172" width="18.6640625" bestFit="1" customWidth="1"/>
    <col min="7425" max="7425" width="27.109375" customWidth="1"/>
    <col min="7426" max="7426" width="15" bestFit="1" customWidth="1"/>
    <col min="7427" max="7427" width="3" bestFit="1" customWidth="1"/>
    <col min="7428" max="7428" width="18.6640625" bestFit="1" customWidth="1"/>
    <col min="7681" max="7681" width="27.109375" customWidth="1"/>
    <col min="7682" max="7682" width="15" bestFit="1" customWidth="1"/>
    <col min="7683" max="7683" width="3" bestFit="1" customWidth="1"/>
    <col min="7684" max="7684" width="18.6640625" bestFit="1" customWidth="1"/>
    <col min="7937" max="7937" width="27.109375" customWidth="1"/>
    <col min="7938" max="7938" width="15" bestFit="1" customWidth="1"/>
    <col min="7939" max="7939" width="3" bestFit="1" customWidth="1"/>
    <col min="7940" max="7940" width="18.6640625" bestFit="1" customWidth="1"/>
    <col min="8193" max="8193" width="27.109375" customWidth="1"/>
    <col min="8194" max="8194" width="15" bestFit="1" customWidth="1"/>
    <col min="8195" max="8195" width="3" bestFit="1" customWidth="1"/>
    <col min="8196" max="8196" width="18.6640625" bestFit="1" customWidth="1"/>
    <col min="8449" max="8449" width="27.109375" customWidth="1"/>
    <col min="8450" max="8450" width="15" bestFit="1" customWidth="1"/>
    <col min="8451" max="8451" width="3" bestFit="1" customWidth="1"/>
    <col min="8452" max="8452" width="18.6640625" bestFit="1" customWidth="1"/>
    <col min="8705" max="8705" width="27.109375" customWidth="1"/>
    <col min="8706" max="8706" width="15" bestFit="1" customWidth="1"/>
    <col min="8707" max="8707" width="3" bestFit="1" customWidth="1"/>
    <col min="8708" max="8708" width="18.6640625" bestFit="1" customWidth="1"/>
    <col min="8961" max="8961" width="27.109375" customWidth="1"/>
    <col min="8962" max="8962" width="15" bestFit="1" customWidth="1"/>
    <col min="8963" max="8963" width="3" bestFit="1" customWidth="1"/>
    <col min="8964" max="8964" width="18.6640625" bestFit="1" customWidth="1"/>
    <col min="9217" max="9217" width="27.109375" customWidth="1"/>
    <col min="9218" max="9218" width="15" bestFit="1" customWidth="1"/>
    <col min="9219" max="9219" width="3" bestFit="1" customWidth="1"/>
    <col min="9220" max="9220" width="18.6640625" bestFit="1" customWidth="1"/>
    <col min="9473" max="9473" width="27.109375" customWidth="1"/>
    <col min="9474" max="9474" width="15" bestFit="1" customWidth="1"/>
    <col min="9475" max="9475" width="3" bestFit="1" customWidth="1"/>
    <col min="9476" max="9476" width="18.6640625" bestFit="1" customWidth="1"/>
    <col min="9729" max="9729" width="27.109375" customWidth="1"/>
    <col min="9730" max="9730" width="15" bestFit="1" customWidth="1"/>
    <col min="9731" max="9731" width="3" bestFit="1" customWidth="1"/>
    <col min="9732" max="9732" width="18.6640625" bestFit="1" customWidth="1"/>
    <col min="9985" max="9985" width="27.109375" customWidth="1"/>
    <col min="9986" max="9986" width="15" bestFit="1" customWidth="1"/>
    <col min="9987" max="9987" width="3" bestFit="1" customWidth="1"/>
    <col min="9988" max="9988" width="18.6640625" bestFit="1" customWidth="1"/>
    <col min="10241" max="10241" width="27.109375" customWidth="1"/>
    <col min="10242" max="10242" width="15" bestFit="1" customWidth="1"/>
    <col min="10243" max="10243" width="3" bestFit="1" customWidth="1"/>
    <col min="10244" max="10244" width="18.6640625" bestFit="1" customWidth="1"/>
    <col min="10497" max="10497" width="27.109375" customWidth="1"/>
    <col min="10498" max="10498" width="15" bestFit="1" customWidth="1"/>
    <col min="10499" max="10499" width="3" bestFit="1" customWidth="1"/>
    <col min="10500" max="10500" width="18.6640625" bestFit="1" customWidth="1"/>
    <col min="10753" max="10753" width="27.109375" customWidth="1"/>
    <col min="10754" max="10754" width="15" bestFit="1" customWidth="1"/>
    <col min="10755" max="10755" width="3" bestFit="1" customWidth="1"/>
    <col min="10756" max="10756" width="18.6640625" bestFit="1" customWidth="1"/>
    <col min="11009" max="11009" width="27.109375" customWidth="1"/>
    <col min="11010" max="11010" width="15" bestFit="1" customWidth="1"/>
    <col min="11011" max="11011" width="3" bestFit="1" customWidth="1"/>
    <col min="11012" max="11012" width="18.6640625" bestFit="1" customWidth="1"/>
    <col min="11265" max="11265" width="27.109375" customWidth="1"/>
    <col min="11266" max="11266" width="15" bestFit="1" customWidth="1"/>
    <col min="11267" max="11267" width="3" bestFit="1" customWidth="1"/>
    <col min="11268" max="11268" width="18.6640625" bestFit="1" customWidth="1"/>
    <col min="11521" max="11521" width="27.109375" customWidth="1"/>
    <col min="11522" max="11522" width="15" bestFit="1" customWidth="1"/>
    <col min="11523" max="11523" width="3" bestFit="1" customWidth="1"/>
    <col min="11524" max="11524" width="18.6640625" bestFit="1" customWidth="1"/>
    <col min="11777" max="11777" width="27.109375" customWidth="1"/>
    <col min="11778" max="11778" width="15" bestFit="1" customWidth="1"/>
    <col min="11779" max="11779" width="3" bestFit="1" customWidth="1"/>
    <col min="11780" max="11780" width="18.6640625" bestFit="1" customWidth="1"/>
    <col min="12033" max="12033" width="27.109375" customWidth="1"/>
    <col min="12034" max="12034" width="15" bestFit="1" customWidth="1"/>
    <col min="12035" max="12035" width="3" bestFit="1" customWidth="1"/>
    <col min="12036" max="12036" width="18.6640625" bestFit="1" customWidth="1"/>
    <col min="12289" max="12289" width="27.109375" customWidth="1"/>
    <col min="12290" max="12290" width="15" bestFit="1" customWidth="1"/>
    <col min="12291" max="12291" width="3" bestFit="1" customWidth="1"/>
    <col min="12292" max="12292" width="18.6640625" bestFit="1" customWidth="1"/>
    <col min="12545" max="12545" width="27.109375" customWidth="1"/>
    <col min="12546" max="12546" width="15" bestFit="1" customWidth="1"/>
    <col min="12547" max="12547" width="3" bestFit="1" customWidth="1"/>
    <col min="12548" max="12548" width="18.6640625" bestFit="1" customWidth="1"/>
    <col min="12801" max="12801" width="27.109375" customWidth="1"/>
    <col min="12802" max="12802" width="15" bestFit="1" customWidth="1"/>
    <col min="12803" max="12803" width="3" bestFit="1" customWidth="1"/>
    <col min="12804" max="12804" width="18.6640625" bestFit="1" customWidth="1"/>
    <col min="13057" max="13057" width="27.109375" customWidth="1"/>
    <col min="13058" max="13058" width="15" bestFit="1" customWidth="1"/>
    <col min="13059" max="13059" width="3" bestFit="1" customWidth="1"/>
    <col min="13060" max="13060" width="18.6640625" bestFit="1" customWidth="1"/>
    <col min="13313" max="13313" width="27.109375" customWidth="1"/>
    <col min="13314" max="13314" width="15" bestFit="1" customWidth="1"/>
    <col min="13315" max="13315" width="3" bestFit="1" customWidth="1"/>
    <col min="13316" max="13316" width="18.6640625" bestFit="1" customWidth="1"/>
    <col min="13569" max="13569" width="27.109375" customWidth="1"/>
    <col min="13570" max="13570" width="15" bestFit="1" customWidth="1"/>
    <col min="13571" max="13571" width="3" bestFit="1" customWidth="1"/>
    <col min="13572" max="13572" width="18.6640625" bestFit="1" customWidth="1"/>
    <col min="13825" max="13825" width="27.109375" customWidth="1"/>
    <col min="13826" max="13826" width="15" bestFit="1" customWidth="1"/>
    <col min="13827" max="13827" width="3" bestFit="1" customWidth="1"/>
    <col min="13828" max="13828" width="18.6640625" bestFit="1" customWidth="1"/>
    <col min="14081" max="14081" width="27.109375" customWidth="1"/>
    <col min="14082" max="14082" width="15" bestFit="1" customWidth="1"/>
    <col min="14083" max="14083" width="3" bestFit="1" customWidth="1"/>
    <col min="14084" max="14084" width="18.6640625" bestFit="1" customWidth="1"/>
    <col min="14337" max="14337" width="27.109375" customWidth="1"/>
    <col min="14338" max="14338" width="15" bestFit="1" customWidth="1"/>
    <col min="14339" max="14339" width="3" bestFit="1" customWidth="1"/>
    <col min="14340" max="14340" width="18.6640625" bestFit="1" customWidth="1"/>
    <col min="14593" max="14593" width="27.109375" customWidth="1"/>
    <col min="14594" max="14594" width="15" bestFit="1" customWidth="1"/>
    <col min="14595" max="14595" width="3" bestFit="1" customWidth="1"/>
    <col min="14596" max="14596" width="18.6640625" bestFit="1" customWidth="1"/>
    <col min="14849" max="14849" width="27.109375" customWidth="1"/>
    <col min="14850" max="14850" width="15" bestFit="1" customWidth="1"/>
    <col min="14851" max="14851" width="3" bestFit="1" customWidth="1"/>
    <col min="14852" max="14852" width="18.6640625" bestFit="1" customWidth="1"/>
    <col min="15105" max="15105" width="27.109375" customWidth="1"/>
    <col min="15106" max="15106" width="15" bestFit="1" customWidth="1"/>
    <col min="15107" max="15107" width="3" bestFit="1" customWidth="1"/>
    <col min="15108" max="15108" width="18.6640625" bestFit="1" customWidth="1"/>
    <col min="15361" max="15361" width="27.109375" customWidth="1"/>
    <col min="15362" max="15362" width="15" bestFit="1" customWidth="1"/>
    <col min="15363" max="15363" width="3" bestFit="1" customWidth="1"/>
    <col min="15364" max="15364" width="18.6640625" bestFit="1" customWidth="1"/>
    <col min="15617" max="15617" width="27.109375" customWidth="1"/>
    <col min="15618" max="15618" width="15" bestFit="1" customWidth="1"/>
    <col min="15619" max="15619" width="3" bestFit="1" customWidth="1"/>
    <col min="15620" max="15620" width="18.6640625" bestFit="1" customWidth="1"/>
    <col min="15873" max="15873" width="27.109375" customWidth="1"/>
    <col min="15874" max="15874" width="15" bestFit="1" customWidth="1"/>
    <col min="15875" max="15875" width="3" bestFit="1" customWidth="1"/>
    <col min="15876" max="15876" width="18.6640625" bestFit="1" customWidth="1"/>
    <col min="16129" max="16129" width="27.109375" customWidth="1"/>
    <col min="16130" max="16130" width="15" bestFit="1" customWidth="1"/>
    <col min="16131" max="16131" width="3" bestFit="1" customWidth="1"/>
    <col min="16132" max="16132" width="18.6640625" bestFit="1" customWidth="1"/>
  </cols>
  <sheetData>
    <row r="1" spans="1:8" ht="43.2" x14ac:dyDescent="0.3">
      <c r="A1" s="25" t="str">
        <f>"If your investment plan requires that you deposit "&amp;DOLLAR(B5)&amp;" at the beginning of each period for the next "&amp;B4&amp;" years and you can earn "&amp;TEXT(B2,"0.00%")&amp;" compounded "&amp;B3&amp;" time a year, what is the Future Value?"</f>
        <v>If your investment plan requires that you deposit $100.00 at the beginning of each period for the next 40 years and you can earn 12.00% compounded 12 time a year, what is the Future Value?</v>
      </c>
      <c r="B1" s="25"/>
      <c r="C1" s="25"/>
      <c r="D1" s="25"/>
    </row>
    <row r="2" spans="1:8" x14ac:dyDescent="0.3">
      <c r="A2" s="6" t="s">
        <v>56</v>
      </c>
      <c r="B2" s="1">
        <v>0.12</v>
      </c>
    </row>
    <row r="3" spans="1:8" x14ac:dyDescent="0.3">
      <c r="A3" s="6" t="s">
        <v>38</v>
      </c>
      <c r="B3" s="1">
        <v>12</v>
      </c>
    </row>
    <row r="4" spans="1:8" x14ac:dyDescent="0.3">
      <c r="A4" s="6" t="s">
        <v>76</v>
      </c>
      <c r="B4" s="1">
        <v>40</v>
      </c>
    </row>
    <row r="5" spans="1:8" ht="28.95" x14ac:dyDescent="0.3">
      <c r="A5" s="6" t="s">
        <v>77</v>
      </c>
      <c r="B5" s="1">
        <v>100</v>
      </c>
    </row>
    <row r="6" spans="1:8" ht="45" x14ac:dyDescent="0.25">
      <c r="A6" s="6" t="s">
        <v>155</v>
      </c>
      <c r="B6" s="1"/>
    </row>
    <row r="7" spans="1:8" x14ac:dyDescent="0.3">
      <c r="A7" s="7"/>
    </row>
    <row r="8" spans="1:8" ht="28.8" x14ac:dyDescent="0.3">
      <c r="A8" s="6" t="s">
        <v>219</v>
      </c>
      <c r="B8" s="44"/>
    </row>
    <row r="9" spans="1:8" x14ac:dyDescent="0.3">
      <c r="A9" s="6" t="s">
        <v>78</v>
      </c>
      <c r="B9" s="22"/>
    </row>
    <row r="11" spans="1:8" x14ac:dyDescent="0.3">
      <c r="A11" s="6" t="s">
        <v>79</v>
      </c>
      <c r="B11" s="44"/>
    </row>
    <row r="12" spans="1:8" x14ac:dyDescent="0.3">
      <c r="A12" s="6" t="s">
        <v>80</v>
      </c>
      <c r="B12" s="22"/>
    </row>
    <row r="13" spans="1:8" ht="28.95" x14ac:dyDescent="0.3">
      <c r="A13" s="6" t="s">
        <v>82</v>
      </c>
      <c r="B13" s="22"/>
    </row>
    <row r="15" spans="1:8" ht="43.2" x14ac:dyDescent="0.3">
      <c r="A15" s="7" t="s">
        <v>81</v>
      </c>
      <c r="B15" s="45" t="str">
        <f>IF(B9="","","If your investment plan requires that you deposit "&amp;DOLLAR(B5)&amp;" at the beginning of each period for the next "&amp;B4&amp;" years and you can earn "&amp;TEXT(B2,"0.00%")&amp;" compounded "&amp;B3&amp;" time a year, your Future Value would be "&amp;DOLLAR(FV(B2/B3,B3*B4,-B5,,B6))&amp;".")</f>
        <v/>
      </c>
      <c r="C15" s="46"/>
      <c r="D15" s="46"/>
      <c r="E15" s="46"/>
      <c r="F15" s="46"/>
      <c r="G15" s="46"/>
      <c r="H15" s="47"/>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15"/>
  <sheetViews>
    <sheetView zoomScaleNormal="100" workbookViewId="0"/>
  </sheetViews>
  <sheetFormatPr defaultRowHeight="14.4" x14ac:dyDescent="0.3"/>
  <cols>
    <col min="1" max="1" width="27.109375" customWidth="1"/>
    <col min="2" max="2" width="15" bestFit="1" customWidth="1"/>
    <col min="3" max="3" width="3" bestFit="1" customWidth="1"/>
    <col min="4" max="4" width="18.6640625" bestFit="1" customWidth="1"/>
    <col min="257" max="257" width="27.109375" customWidth="1"/>
    <col min="258" max="258" width="15" bestFit="1" customWidth="1"/>
    <col min="259" max="259" width="3" bestFit="1" customWidth="1"/>
    <col min="260" max="260" width="18.6640625" bestFit="1" customWidth="1"/>
    <col min="513" max="513" width="27.109375" customWidth="1"/>
    <col min="514" max="514" width="15" bestFit="1" customWidth="1"/>
    <col min="515" max="515" width="3" bestFit="1" customWidth="1"/>
    <col min="516" max="516" width="18.6640625" bestFit="1" customWidth="1"/>
    <col min="769" max="769" width="27.109375" customWidth="1"/>
    <col min="770" max="770" width="15" bestFit="1" customWidth="1"/>
    <col min="771" max="771" width="3" bestFit="1" customWidth="1"/>
    <col min="772" max="772" width="18.6640625" bestFit="1" customWidth="1"/>
    <col min="1025" max="1025" width="27.109375" customWidth="1"/>
    <col min="1026" max="1026" width="15" bestFit="1" customWidth="1"/>
    <col min="1027" max="1027" width="3" bestFit="1" customWidth="1"/>
    <col min="1028" max="1028" width="18.6640625" bestFit="1" customWidth="1"/>
    <col min="1281" max="1281" width="27.109375" customWidth="1"/>
    <col min="1282" max="1282" width="15" bestFit="1" customWidth="1"/>
    <col min="1283" max="1283" width="3" bestFit="1" customWidth="1"/>
    <col min="1284" max="1284" width="18.6640625" bestFit="1" customWidth="1"/>
    <col min="1537" max="1537" width="27.109375" customWidth="1"/>
    <col min="1538" max="1538" width="15" bestFit="1" customWidth="1"/>
    <col min="1539" max="1539" width="3" bestFit="1" customWidth="1"/>
    <col min="1540" max="1540" width="18.6640625" bestFit="1" customWidth="1"/>
    <col min="1793" max="1793" width="27.109375" customWidth="1"/>
    <col min="1794" max="1794" width="15" bestFit="1" customWidth="1"/>
    <col min="1795" max="1795" width="3" bestFit="1" customWidth="1"/>
    <col min="1796" max="1796" width="18.6640625" bestFit="1" customWidth="1"/>
    <col min="2049" max="2049" width="27.109375" customWidth="1"/>
    <col min="2050" max="2050" width="15" bestFit="1" customWidth="1"/>
    <col min="2051" max="2051" width="3" bestFit="1" customWidth="1"/>
    <col min="2052" max="2052" width="18.6640625" bestFit="1" customWidth="1"/>
    <col min="2305" max="2305" width="27.109375" customWidth="1"/>
    <col min="2306" max="2306" width="15" bestFit="1" customWidth="1"/>
    <col min="2307" max="2307" width="3" bestFit="1" customWidth="1"/>
    <col min="2308" max="2308" width="18.6640625" bestFit="1" customWidth="1"/>
    <col min="2561" max="2561" width="27.109375" customWidth="1"/>
    <col min="2562" max="2562" width="15" bestFit="1" customWidth="1"/>
    <col min="2563" max="2563" width="3" bestFit="1" customWidth="1"/>
    <col min="2564" max="2564" width="18.6640625" bestFit="1" customWidth="1"/>
    <col min="2817" max="2817" width="27.109375" customWidth="1"/>
    <col min="2818" max="2818" width="15" bestFit="1" customWidth="1"/>
    <col min="2819" max="2819" width="3" bestFit="1" customWidth="1"/>
    <col min="2820" max="2820" width="18.6640625" bestFit="1" customWidth="1"/>
    <col min="3073" max="3073" width="27.109375" customWidth="1"/>
    <col min="3074" max="3074" width="15" bestFit="1" customWidth="1"/>
    <col min="3075" max="3075" width="3" bestFit="1" customWidth="1"/>
    <col min="3076" max="3076" width="18.6640625" bestFit="1" customWidth="1"/>
    <col min="3329" max="3329" width="27.109375" customWidth="1"/>
    <col min="3330" max="3330" width="15" bestFit="1" customWidth="1"/>
    <col min="3331" max="3331" width="3" bestFit="1" customWidth="1"/>
    <col min="3332" max="3332" width="18.6640625" bestFit="1" customWidth="1"/>
    <col min="3585" max="3585" width="27.109375" customWidth="1"/>
    <col min="3586" max="3586" width="15" bestFit="1" customWidth="1"/>
    <col min="3587" max="3587" width="3" bestFit="1" customWidth="1"/>
    <col min="3588" max="3588" width="18.6640625" bestFit="1" customWidth="1"/>
    <col min="3841" max="3841" width="27.109375" customWidth="1"/>
    <col min="3842" max="3842" width="15" bestFit="1" customWidth="1"/>
    <col min="3843" max="3843" width="3" bestFit="1" customWidth="1"/>
    <col min="3844" max="3844" width="18.6640625" bestFit="1" customWidth="1"/>
    <col min="4097" max="4097" width="27.109375" customWidth="1"/>
    <col min="4098" max="4098" width="15" bestFit="1" customWidth="1"/>
    <col min="4099" max="4099" width="3" bestFit="1" customWidth="1"/>
    <col min="4100" max="4100" width="18.6640625" bestFit="1" customWidth="1"/>
    <col min="4353" max="4353" width="27.109375" customWidth="1"/>
    <col min="4354" max="4354" width="15" bestFit="1" customWidth="1"/>
    <col min="4355" max="4355" width="3" bestFit="1" customWidth="1"/>
    <col min="4356" max="4356" width="18.6640625" bestFit="1" customWidth="1"/>
    <col min="4609" max="4609" width="27.109375" customWidth="1"/>
    <col min="4610" max="4610" width="15" bestFit="1" customWidth="1"/>
    <col min="4611" max="4611" width="3" bestFit="1" customWidth="1"/>
    <col min="4612" max="4612" width="18.6640625" bestFit="1" customWidth="1"/>
    <col min="4865" max="4865" width="27.109375" customWidth="1"/>
    <col min="4866" max="4866" width="15" bestFit="1" customWidth="1"/>
    <col min="4867" max="4867" width="3" bestFit="1" customWidth="1"/>
    <col min="4868" max="4868" width="18.6640625" bestFit="1" customWidth="1"/>
    <col min="5121" max="5121" width="27.109375" customWidth="1"/>
    <col min="5122" max="5122" width="15" bestFit="1" customWidth="1"/>
    <col min="5123" max="5123" width="3" bestFit="1" customWidth="1"/>
    <col min="5124" max="5124" width="18.6640625" bestFit="1" customWidth="1"/>
    <col min="5377" max="5377" width="27.109375" customWidth="1"/>
    <col min="5378" max="5378" width="15" bestFit="1" customWidth="1"/>
    <col min="5379" max="5379" width="3" bestFit="1" customWidth="1"/>
    <col min="5380" max="5380" width="18.6640625" bestFit="1" customWidth="1"/>
    <col min="5633" max="5633" width="27.109375" customWidth="1"/>
    <col min="5634" max="5634" width="15" bestFit="1" customWidth="1"/>
    <col min="5635" max="5635" width="3" bestFit="1" customWidth="1"/>
    <col min="5636" max="5636" width="18.6640625" bestFit="1" customWidth="1"/>
    <col min="5889" max="5889" width="27.109375" customWidth="1"/>
    <col min="5890" max="5890" width="15" bestFit="1" customWidth="1"/>
    <col min="5891" max="5891" width="3" bestFit="1" customWidth="1"/>
    <col min="5892" max="5892" width="18.6640625" bestFit="1" customWidth="1"/>
    <col min="6145" max="6145" width="27.109375" customWidth="1"/>
    <col min="6146" max="6146" width="15" bestFit="1" customWidth="1"/>
    <col min="6147" max="6147" width="3" bestFit="1" customWidth="1"/>
    <col min="6148" max="6148" width="18.6640625" bestFit="1" customWidth="1"/>
    <col min="6401" max="6401" width="27.109375" customWidth="1"/>
    <col min="6402" max="6402" width="15" bestFit="1" customWidth="1"/>
    <col min="6403" max="6403" width="3" bestFit="1" customWidth="1"/>
    <col min="6404" max="6404" width="18.6640625" bestFit="1" customWidth="1"/>
    <col min="6657" max="6657" width="27.109375" customWidth="1"/>
    <col min="6658" max="6658" width="15" bestFit="1" customWidth="1"/>
    <col min="6659" max="6659" width="3" bestFit="1" customWidth="1"/>
    <col min="6660" max="6660" width="18.6640625" bestFit="1" customWidth="1"/>
    <col min="6913" max="6913" width="27.109375" customWidth="1"/>
    <col min="6914" max="6914" width="15" bestFit="1" customWidth="1"/>
    <col min="6915" max="6915" width="3" bestFit="1" customWidth="1"/>
    <col min="6916" max="6916" width="18.6640625" bestFit="1" customWidth="1"/>
    <col min="7169" max="7169" width="27.109375" customWidth="1"/>
    <col min="7170" max="7170" width="15" bestFit="1" customWidth="1"/>
    <col min="7171" max="7171" width="3" bestFit="1" customWidth="1"/>
    <col min="7172" max="7172" width="18.6640625" bestFit="1" customWidth="1"/>
    <col min="7425" max="7425" width="27.109375" customWidth="1"/>
    <col min="7426" max="7426" width="15" bestFit="1" customWidth="1"/>
    <col min="7427" max="7427" width="3" bestFit="1" customWidth="1"/>
    <col min="7428" max="7428" width="18.6640625" bestFit="1" customWidth="1"/>
    <col min="7681" max="7681" width="27.109375" customWidth="1"/>
    <col min="7682" max="7682" width="15" bestFit="1" customWidth="1"/>
    <col min="7683" max="7683" width="3" bestFit="1" customWidth="1"/>
    <col min="7684" max="7684" width="18.6640625" bestFit="1" customWidth="1"/>
    <col min="7937" max="7937" width="27.109375" customWidth="1"/>
    <col min="7938" max="7938" width="15" bestFit="1" customWidth="1"/>
    <col min="7939" max="7939" width="3" bestFit="1" customWidth="1"/>
    <col min="7940" max="7940" width="18.6640625" bestFit="1" customWidth="1"/>
    <col min="8193" max="8193" width="27.109375" customWidth="1"/>
    <col min="8194" max="8194" width="15" bestFit="1" customWidth="1"/>
    <col min="8195" max="8195" width="3" bestFit="1" customWidth="1"/>
    <col min="8196" max="8196" width="18.6640625" bestFit="1" customWidth="1"/>
    <col min="8449" max="8449" width="27.109375" customWidth="1"/>
    <col min="8450" max="8450" width="15" bestFit="1" customWidth="1"/>
    <col min="8451" max="8451" width="3" bestFit="1" customWidth="1"/>
    <col min="8452" max="8452" width="18.6640625" bestFit="1" customWidth="1"/>
    <col min="8705" max="8705" width="27.109375" customWidth="1"/>
    <col min="8706" max="8706" width="15" bestFit="1" customWidth="1"/>
    <col min="8707" max="8707" width="3" bestFit="1" customWidth="1"/>
    <col min="8708" max="8708" width="18.6640625" bestFit="1" customWidth="1"/>
    <col min="8961" max="8961" width="27.109375" customWidth="1"/>
    <col min="8962" max="8962" width="15" bestFit="1" customWidth="1"/>
    <col min="8963" max="8963" width="3" bestFit="1" customWidth="1"/>
    <col min="8964" max="8964" width="18.6640625" bestFit="1" customWidth="1"/>
    <col min="9217" max="9217" width="27.109375" customWidth="1"/>
    <col min="9218" max="9218" width="15" bestFit="1" customWidth="1"/>
    <col min="9219" max="9219" width="3" bestFit="1" customWidth="1"/>
    <col min="9220" max="9220" width="18.6640625" bestFit="1" customWidth="1"/>
    <col min="9473" max="9473" width="27.109375" customWidth="1"/>
    <col min="9474" max="9474" width="15" bestFit="1" customWidth="1"/>
    <col min="9475" max="9475" width="3" bestFit="1" customWidth="1"/>
    <col min="9476" max="9476" width="18.6640625" bestFit="1" customWidth="1"/>
    <col min="9729" max="9729" width="27.109375" customWidth="1"/>
    <col min="9730" max="9730" width="15" bestFit="1" customWidth="1"/>
    <col min="9731" max="9731" width="3" bestFit="1" customWidth="1"/>
    <col min="9732" max="9732" width="18.6640625" bestFit="1" customWidth="1"/>
    <col min="9985" max="9985" width="27.109375" customWidth="1"/>
    <col min="9986" max="9986" width="15" bestFit="1" customWidth="1"/>
    <col min="9987" max="9987" width="3" bestFit="1" customWidth="1"/>
    <col min="9988" max="9988" width="18.6640625" bestFit="1" customWidth="1"/>
    <col min="10241" max="10241" width="27.109375" customWidth="1"/>
    <col min="10242" max="10242" width="15" bestFit="1" customWidth="1"/>
    <col min="10243" max="10243" width="3" bestFit="1" customWidth="1"/>
    <col min="10244" max="10244" width="18.6640625" bestFit="1" customWidth="1"/>
    <col min="10497" max="10497" width="27.109375" customWidth="1"/>
    <col min="10498" max="10498" width="15" bestFit="1" customWidth="1"/>
    <col min="10499" max="10499" width="3" bestFit="1" customWidth="1"/>
    <col min="10500" max="10500" width="18.6640625" bestFit="1" customWidth="1"/>
    <col min="10753" max="10753" width="27.109375" customWidth="1"/>
    <col min="10754" max="10754" width="15" bestFit="1" customWidth="1"/>
    <col min="10755" max="10755" width="3" bestFit="1" customWidth="1"/>
    <col min="10756" max="10756" width="18.6640625" bestFit="1" customWidth="1"/>
    <col min="11009" max="11009" width="27.109375" customWidth="1"/>
    <col min="11010" max="11010" width="15" bestFit="1" customWidth="1"/>
    <col min="11011" max="11011" width="3" bestFit="1" customWidth="1"/>
    <col min="11012" max="11012" width="18.6640625" bestFit="1" customWidth="1"/>
    <col min="11265" max="11265" width="27.109375" customWidth="1"/>
    <col min="11266" max="11266" width="15" bestFit="1" customWidth="1"/>
    <col min="11267" max="11267" width="3" bestFit="1" customWidth="1"/>
    <col min="11268" max="11268" width="18.6640625" bestFit="1" customWidth="1"/>
    <col min="11521" max="11521" width="27.109375" customWidth="1"/>
    <col min="11522" max="11522" width="15" bestFit="1" customWidth="1"/>
    <col min="11523" max="11523" width="3" bestFit="1" customWidth="1"/>
    <col min="11524" max="11524" width="18.6640625" bestFit="1" customWidth="1"/>
    <col min="11777" max="11777" width="27.109375" customWidth="1"/>
    <col min="11778" max="11778" width="15" bestFit="1" customWidth="1"/>
    <col min="11779" max="11779" width="3" bestFit="1" customWidth="1"/>
    <col min="11780" max="11780" width="18.6640625" bestFit="1" customWidth="1"/>
    <col min="12033" max="12033" width="27.109375" customWidth="1"/>
    <col min="12034" max="12034" width="15" bestFit="1" customWidth="1"/>
    <col min="12035" max="12035" width="3" bestFit="1" customWidth="1"/>
    <col min="12036" max="12036" width="18.6640625" bestFit="1" customWidth="1"/>
    <col min="12289" max="12289" width="27.109375" customWidth="1"/>
    <col min="12290" max="12290" width="15" bestFit="1" customWidth="1"/>
    <col min="12291" max="12291" width="3" bestFit="1" customWidth="1"/>
    <col min="12292" max="12292" width="18.6640625" bestFit="1" customWidth="1"/>
    <col min="12545" max="12545" width="27.109375" customWidth="1"/>
    <col min="12546" max="12546" width="15" bestFit="1" customWidth="1"/>
    <col min="12547" max="12547" width="3" bestFit="1" customWidth="1"/>
    <col min="12548" max="12548" width="18.6640625" bestFit="1" customWidth="1"/>
    <col min="12801" max="12801" width="27.109375" customWidth="1"/>
    <col min="12802" max="12802" width="15" bestFit="1" customWidth="1"/>
    <col min="12803" max="12803" width="3" bestFit="1" customWidth="1"/>
    <col min="12804" max="12804" width="18.6640625" bestFit="1" customWidth="1"/>
    <col min="13057" max="13057" width="27.109375" customWidth="1"/>
    <col min="13058" max="13058" width="15" bestFit="1" customWidth="1"/>
    <col min="13059" max="13059" width="3" bestFit="1" customWidth="1"/>
    <col min="13060" max="13060" width="18.6640625" bestFit="1" customWidth="1"/>
    <col min="13313" max="13313" width="27.109375" customWidth="1"/>
    <col min="13314" max="13314" width="15" bestFit="1" customWidth="1"/>
    <col min="13315" max="13315" width="3" bestFit="1" customWidth="1"/>
    <col min="13316" max="13316" width="18.6640625" bestFit="1" customWidth="1"/>
    <col min="13569" max="13569" width="27.109375" customWidth="1"/>
    <col min="13570" max="13570" width="15" bestFit="1" customWidth="1"/>
    <col min="13571" max="13571" width="3" bestFit="1" customWidth="1"/>
    <col min="13572" max="13572" width="18.6640625" bestFit="1" customWidth="1"/>
    <col min="13825" max="13825" width="27.109375" customWidth="1"/>
    <col min="13826" max="13826" width="15" bestFit="1" customWidth="1"/>
    <col min="13827" max="13827" width="3" bestFit="1" customWidth="1"/>
    <col min="13828" max="13828" width="18.6640625" bestFit="1" customWidth="1"/>
    <col min="14081" max="14081" width="27.109375" customWidth="1"/>
    <col min="14082" max="14082" width="15" bestFit="1" customWidth="1"/>
    <col min="14083" max="14083" width="3" bestFit="1" customWidth="1"/>
    <col min="14084" max="14084" width="18.6640625" bestFit="1" customWidth="1"/>
    <col min="14337" max="14337" width="27.109375" customWidth="1"/>
    <col min="14338" max="14338" width="15" bestFit="1" customWidth="1"/>
    <col min="14339" max="14339" width="3" bestFit="1" customWidth="1"/>
    <col min="14340" max="14340" width="18.6640625" bestFit="1" customWidth="1"/>
    <col min="14593" max="14593" width="27.109375" customWidth="1"/>
    <col min="14594" max="14594" width="15" bestFit="1" customWidth="1"/>
    <col min="14595" max="14595" width="3" bestFit="1" customWidth="1"/>
    <col min="14596" max="14596" width="18.6640625" bestFit="1" customWidth="1"/>
    <col min="14849" max="14849" width="27.109375" customWidth="1"/>
    <col min="14850" max="14850" width="15" bestFit="1" customWidth="1"/>
    <col min="14851" max="14851" width="3" bestFit="1" customWidth="1"/>
    <col min="14852" max="14852" width="18.6640625" bestFit="1" customWidth="1"/>
    <col min="15105" max="15105" width="27.109375" customWidth="1"/>
    <col min="15106" max="15106" width="15" bestFit="1" customWidth="1"/>
    <col min="15107" max="15107" width="3" bestFit="1" customWidth="1"/>
    <col min="15108" max="15108" width="18.6640625" bestFit="1" customWidth="1"/>
    <col min="15361" max="15361" width="27.109375" customWidth="1"/>
    <col min="15362" max="15362" width="15" bestFit="1" customWidth="1"/>
    <col min="15363" max="15363" width="3" bestFit="1" customWidth="1"/>
    <col min="15364" max="15364" width="18.6640625" bestFit="1" customWidth="1"/>
    <col min="15617" max="15617" width="27.109375" customWidth="1"/>
    <col min="15618" max="15618" width="15" bestFit="1" customWidth="1"/>
    <col min="15619" max="15619" width="3" bestFit="1" customWidth="1"/>
    <col min="15620" max="15620" width="18.6640625" bestFit="1" customWidth="1"/>
    <col min="15873" max="15873" width="27.109375" customWidth="1"/>
    <col min="15874" max="15874" width="15" bestFit="1" customWidth="1"/>
    <col min="15875" max="15875" width="3" bestFit="1" customWidth="1"/>
    <col min="15876" max="15876" width="18.6640625" bestFit="1" customWidth="1"/>
    <col min="16129" max="16129" width="27.109375" customWidth="1"/>
    <col min="16130" max="16130" width="15" bestFit="1" customWidth="1"/>
    <col min="16131" max="16131" width="3" bestFit="1" customWidth="1"/>
    <col min="16132" max="16132" width="18.6640625" bestFit="1" customWidth="1"/>
  </cols>
  <sheetData>
    <row r="1" spans="1:8" ht="43.2" x14ac:dyDescent="0.3">
      <c r="A1" s="25" t="str">
        <f>"If your investment plan requires that you deposit "&amp;DOLLAR(B5)&amp;" at the beginning of each period for the next "&amp;B4&amp;" years and you can earn "&amp;TEXT(B2,"0.00%")&amp;" compounded "&amp;B3&amp;" time a year, what is the Future Value?"</f>
        <v>If your investment plan requires that you deposit $100.00 at the beginning of each period for the next 40 years and you can earn 12.00% compounded 12 time a year, what is the Future Value?</v>
      </c>
      <c r="B1" s="25"/>
      <c r="C1" s="25"/>
      <c r="D1" s="25"/>
    </row>
    <row r="2" spans="1:8" x14ac:dyDescent="0.3">
      <c r="A2" s="6" t="s">
        <v>56</v>
      </c>
      <c r="B2" s="1">
        <v>0.12</v>
      </c>
    </row>
    <row r="3" spans="1:8" x14ac:dyDescent="0.3">
      <c r="A3" s="6" t="s">
        <v>38</v>
      </c>
      <c r="B3" s="1">
        <v>12</v>
      </c>
    </row>
    <row r="4" spans="1:8" x14ac:dyDescent="0.3">
      <c r="A4" s="6" t="s">
        <v>76</v>
      </c>
      <c r="B4" s="1">
        <v>40</v>
      </c>
    </row>
    <row r="5" spans="1:8" ht="28.8" x14ac:dyDescent="0.3">
      <c r="A5" s="6" t="s">
        <v>77</v>
      </c>
      <c r="B5" s="1">
        <v>100</v>
      </c>
    </row>
    <row r="6" spans="1:8" ht="28.8" x14ac:dyDescent="0.3">
      <c r="A6" s="6" t="s">
        <v>155</v>
      </c>
      <c r="B6" s="1"/>
    </row>
    <row r="7" spans="1:8" x14ac:dyDescent="0.3">
      <c r="A7" s="7"/>
    </row>
    <row r="8" spans="1:8" ht="28.8" x14ac:dyDescent="0.3">
      <c r="A8" s="6" t="s">
        <v>219</v>
      </c>
      <c r="B8" s="44">
        <f>B5*((1+B2/B3)^(B3*B4)-1)/(B2/B3)*(1+B2/B3)</f>
        <v>1188242.0235354092</v>
      </c>
    </row>
    <row r="9" spans="1:8" x14ac:dyDescent="0.3">
      <c r="A9" s="6" t="s">
        <v>78</v>
      </c>
      <c r="B9" s="22">
        <f>FV(B2/B3,B4*B3,-B5,,1)</f>
        <v>1188242.0235354092</v>
      </c>
    </row>
    <row r="11" spans="1:8" x14ac:dyDescent="0.3">
      <c r="A11" s="6" t="s">
        <v>79</v>
      </c>
      <c r="B11" s="44">
        <f>B5*B4*B3</f>
        <v>48000</v>
      </c>
    </row>
    <row r="12" spans="1:8" x14ac:dyDescent="0.3">
      <c r="A12" s="6" t="s">
        <v>80</v>
      </c>
      <c r="B12" s="22">
        <f>B9-B11</f>
        <v>1140242.0235354092</v>
      </c>
    </row>
    <row r="13" spans="1:8" ht="28.8" x14ac:dyDescent="0.3">
      <c r="A13" s="6" t="s">
        <v>82</v>
      </c>
      <c r="B13" s="22">
        <f>B9-'13 (an)'!B8</f>
        <v>11764.772510251496</v>
      </c>
    </row>
    <row r="15" spans="1:8" ht="43.2" x14ac:dyDescent="0.3">
      <c r="A15" s="7" t="s">
        <v>81</v>
      </c>
      <c r="B15" s="45" t="str">
        <f>IF(B9="","","If your investment plan requires that you deposit "&amp;DOLLAR(B5)&amp;" at the beginning of each period for the next "&amp;B4&amp;" years and you can earn "&amp;TEXT(B2,"0.00%")&amp;" compounded "&amp;B3&amp;" time a year, your Future Value would be "&amp;DOLLAR(FV(B2/B3,B3*B4,-B5,,B6))&amp;".")</f>
        <v>If your investment plan requires that you deposit $100.00 at the beginning of each period for the next 40 years and you can earn 12.00% compounded 12 time a year, your Future Value would be $1,176,477.25.</v>
      </c>
      <c r="C15" s="46"/>
      <c r="D15" s="46"/>
      <c r="E15" s="46"/>
      <c r="F15" s="46"/>
      <c r="G15" s="46"/>
      <c r="H15" s="47"/>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00FF"/>
  </sheetPr>
  <dimension ref="A1:E15"/>
  <sheetViews>
    <sheetView zoomScale="130" zoomScaleNormal="130" workbookViewId="0"/>
  </sheetViews>
  <sheetFormatPr defaultRowHeight="14.4" x14ac:dyDescent="0.3"/>
  <cols>
    <col min="1" max="1" width="2" bestFit="1" customWidth="1"/>
    <col min="2" max="2" width="36.109375" bestFit="1" customWidth="1"/>
    <col min="3" max="3" width="12" bestFit="1" customWidth="1"/>
    <col min="4" max="4" width="10.88671875" customWidth="1"/>
    <col min="5" max="5" width="10" bestFit="1" customWidth="1"/>
    <col min="257" max="257" width="2" bestFit="1" customWidth="1"/>
    <col min="258" max="258" width="36.109375" bestFit="1" customWidth="1"/>
    <col min="259" max="259" width="12" bestFit="1" customWidth="1"/>
    <col min="260" max="260" width="10.88671875" customWidth="1"/>
    <col min="261" max="261" width="9.5546875" bestFit="1" customWidth="1"/>
    <col min="513" max="513" width="2" bestFit="1" customWidth="1"/>
    <col min="514" max="514" width="36.109375" bestFit="1" customWidth="1"/>
    <col min="515" max="515" width="12" bestFit="1" customWidth="1"/>
    <col min="516" max="516" width="10.88671875" customWidth="1"/>
    <col min="517" max="517" width="9.5546875" bestFit="1" customWidth="1"/>
    <col min="769" max="769" width="2" bestFit="1" customWidth="1"/>
    <col min="770" max="770" width="36.109375" bestFit="1" customWidth="1"/>
    <col min="771" max="771" width="12" bestFit="1" customWidth="1"/>
    <col min="772" max="772" width="10.88671875" customWidth="1"/>
    <col min="773" max="773" width="9.5546875" bestFit="1" customWidth="1"/>
    <col min="1025" max="1025" width="2" bestFit="1" customWidth="1"/>
    <col min="1026" max="1026" width="36.109375" bestFit="1" customWidth="1"/>
    <col min="1027" max="1027" width="12" bestFit="1" customWidth="1"/>
    <col min="1028" max="1028" width="10.88671875" customWidth="1"/>
    <col min="1029" max="1029" width="9.5546875" bestFit="1" customWidth="1"/>
    <col min="1281" max="1281" width="2" bestFit="1" customWidth="1"/>
    <col min="1282" max="1282" width="36.109375" bestFit="1" customWidth="1"/>
    <col min="1283" max="1283" width="12" bestFit="1" customWidth="1"/>
    <col min="1284" max="1284" width="10.88671875" customWidth="1"/>
    <col min="1285" max="1285" width="9.5546875" bestFit="1" customWidth="1"/>
    <col min="1537" max="1537" width="2" bestFit="1" customWidth="1"/>
    <col min="1538" max="1538" width="36.109375" bestFit="1" customWidth="1"/>
    <col min="1539" max="1539" width="12" bestFit="1" customWidth="1"/>
    <col min="1540" max="1540" width="10.88671875" customWidth="1"/>
    <col min="1541" max="1541" width="9.5546875" bestFit="1" customWidth="1"/>
    <col min="1793" max="1793" width="2" bestFit="1" customWidth="1"/>
    <col min="1794" max="1794" width="36.109375" bestFit="1" customWidth="1"/>
    <col min="1795" max="1795" width="12" bestFit="1" customWidth="1"/>
    <col min="1796" max="1796" width="10.88671875" customWidth="1"/>
    <col min="1797" max="1797" width="9.5546875" bestFit="1" customWidth="1"/>
    <col min="2049" max="2049" width="2" bestFit="1" customWidth="1"/>
    <col min="2050" max="2050" width="36.109375" bestFit="1" customWidth="1"/>
    <col min="2051" max="2051" width="12" bestFit="1" customWidth="1"/>
    <col min="2052" max="2052" width="10.88671875" customWidth="1"/>
    <col min="2053" max="2053" width="9.5546875" bestFit="1" customWidth="1"/>
    <col min="2305" max="2305" width="2" bestFit="1" customWidth="1"/>
    <col min="2306" max="2306" width="36.109375" bestFit="1" customWidth="1"/>
    <col min="2307" max="2307" width="12" bestFit="1" customWidth="1"/>
    <col min="2308" max="2308" width="10.88671875" customWidth="1"/>
    <col min="2309" max="2309" width="9.5546875" bestFit="1" customWidth="1"/>
    <col min="2561" max="2561" width="2" bestFit="1" customWidth="1"/>
    <col min="2562" max="2562" width="36.109375" bestFit="1" customWidth="1"/>
    <col min="2563" max="2563" width="12" bestFit="1" customWidth="1"/>
    <col min="2564" max="2564" width="10.88671875" customWidth="1"/>
    <col min="2565" max="2565" width="9.5546875" bestFit="1" customWidth="1"/>
    <col min="2817" max="2817" width="2" bestFit="1" customWidth="1"/>
    <col min="2818" max="2818" width="36.109375" bestFit="1" customWidth="1"/>
    <col min="2819" max="2819" width="12" bestFit="1" customWidth="1"/>
    <col min="2820" max="2820" width="10.88671875" customWidth="1"/>
    <col min="2821" max="2821" width="9.5546875" bestFit="1" customWidth="1"/>
    <col min="3073" max="3073" width="2" bestFit="1" customWidth="1"/>
    <col min="3074" max="3074" width="36.109375" bestFit="1" customWidth="1"/>
    <col min="3075" max="3075" width="12" bestFit="1" customWidth="1"/>
    <col min="3076" max="3076" width="10.88671875" customWidth="1"/>
    <col min="3077" max="3077" width="9.5546875" bestFit="1" customWidth="1"/>
    <col min="3329" max="3329" width="2" bestFit="1" customWidth="1"/>
    <col min="3330" max="3330" width="36.109375" bestFit="1" customWidth="1"/>
    <col min="3331" max="3331" width="12" bestFit="1" customWidth="1"/>
    <col min="3332" max="3332" width="10.88671875" customWidth="1"/>
    <col min="3333" max="3333" width="9.5546875" bestFit="1" customWidth="1"/>
    <col min="3585" max="3585" width="2" bestFit="1" customWidth="1"/>
    <col min="3586" max="3586" width="36.109375" bestFit="1" customWidth="1"/>
    <col min="3587" max="3587" width="12" bestFit="1" customWidth="1"/>
    <col min="3588" max="3588" width="10.88671875" customWidth="1"/>
    <col min="3589" max="3589" width="9.5546875" bestFit="1" customWidth="1"/>
    <col min="3841" max="3841" width="2" bestFit="1" customWidth="1"/>
    <col min="3842" max="3842" width="36.109375" bestFit="1" customWidth="1"/>
    <col min="3843" max="3843" width="12" bestFit="1" customWidth="1"/>
    <col min="3844" max="3844" width="10.88671875" customWidth="1"/>
    <col min="3845" max="3845" width="9.5546875" bestFit="1" customWidth="1"/>
    <col min="4097" max="4097" width="2" bestFit="1" customWidth="1"/>
    <col min="4098" max="4098" width="36.109375" bestFit="1" customWidth="1"/>
    <col min="4099" max="4099" width="12" bestFit="1" customWidth="1"/>
    <col min="4100" max="4100" width="10.88671875" customWidth="1"/>
    <col min="4101" max="4101" width="9.5546875" bestFit="1" customWidth="1"/>
    <col min="4353" max="4353" width="2" bestFit="1" customWidth="1"/>
    <col min="4354" max="4354" width="36.109375" bestFit="1" customWidth="1"/>
    <col min="4355" max="4355" width="12" bestFit="1" customWidth="1"/>
    <col min="4356" max="4356" width="10.88671875" customWidth="1"/>
    <col min="4357" max="4357" width="9.5546875" bestFit="1" customWidth="1"/>
    <col min="4609" max="4609" width="2" bestFit="1" customWidth="1"/>
    <col min="4610" max="4610" width="36.109375" bestFit="1" customWidth="1"/>
    <col min="4611" max="4611" width="12" bestFit="1" customWidth="1"/>
    <col min="4612" max="4612" width="10.88671875" customWidth="1"/>
    <col min="4613" max="4613" width="9.5546875" bestFit="1" customWidth="1"/>
    <col min="4865" max="4865" width="2" bestFit="1" customWidth="1"/>
    <col min="4866" max="4866" width="36.109375" bestFit="1" customWidth="1"/>
    <col min="4867" max="4867" width="12" bestFit="1" customWidth="1"/>
    <col min="4868" max="4868" width="10.88671875" customWidth="1"/>
    <col min="4869" max="4869" width="9.5546875" bestFit="1" customWidth="1"/>
    <col min="5121" max="5121" width="2" bestFit="1" customWidth="1"/>
    <col min="5122" max="5122" width="36.109375" bestFit="1" customWidth="1"/>
    <col min="5123" max="5123" width="12" bestFit="1" customWidth="1"/>
    <col min="5124" max="5124" width="10.88671875" customWidth="1"/>
    <col min="5125" max="5125" width="9.5546875" bestFit="1" customWidth="1"/>
    <col min="5377" max="5377" width="2" bestFit="1" customWidth="1"/>
    <col min="5378" max="5378" width="36.109375" bestFit="1" customWidth="1"/>
    <col min="5379" max="5379" width="12" bestFit="1" customWidth="1"/>
    <col min="5380" max="5380" width="10.88671875" customWidth="1"/>
    <col min="5381" max="5381" width="9.5546875" bestFit="1" customWidth="1"/>
    <col min="5633" max="5633" width="2" bestFit="1" customWidth="1"/>
    <col min="5634" max="5634" width="36.109375" bestFit="1" customWidth="1"/>
    <col min="5635" max="5635" width="12" bestFit="1" customWidth="1"/>
    <col min="5636" max="5636" width="10.88671875" customWidth="1"/>
    <col min="5637" max="5637" width="9.5546875" bestFit="1" customWidth="1"/>
    <col min="5889" max="5889" width="2" bestFit="1" customWidth="1"/>
    <col min="5890" max="5890" width="36.109375" bestFit="1" customWidth="1"/>
    <col min="5891" max="5891" width="12" bestFit="1" customWidth="1"/>
    <col min="5892" max="5892" width="10.88671875" customWidth="1"/>
    <col min="5893" max="5893" width="9.5546875" bestFit="1" customWidth="1"/>
    <col min="6145" max="6145" width="2" bestFit="1" customWidth="1"/>
    <col min="6146" max="6146" width="36.109375" bestFit="1" customWidth="1"/>
    <col min="6147" max="6147" width="12" bestFit="1" customWidth="1"/>
    <col min="6148" max="6148" width="10.88671875" customWidth="1"/>
    <col min="6149" max="6149" width="9.5546875" bestFit="1" customWidth="1"/>
    <col min="6401" max="6401" width="2" bestFit="1" customWidth="1"/>
    <col min="6402" max="6402" width="36.109375" bestFit="1" customWidth="1"/>
    <col min="6403" max="6403" width="12" bestFit="1" customWidth="1"/>
    <col min="6404" max="6404" width="10.88671875" customWidth="1"/>
    <col min="6405" max="6405" width="9.5546875" bestFit="1" customWidth="1"/>
    <col min="6657" max="6657" width="2" bestFit="1" customWidth="1"/>
    <col min="6658" max="6658" width="36.109375" bestFit="1" customWidth="1"/>
    <col min="6659" max="6659" width="12" bestFit="1" customWidth="1"/>
    <col min="6660" max="6660" width="10.88671875" customWidth="1"/>
    <col min="6661" max="6661" width="9.5546875" bestFit="1" customWidth="1"/>
    <col min="6913" max="6913" width="2" bestFit="1" customWidth="1"/>
    <col min="6914" max="6914" width="36.109375" bestFit="1" customWidth="1"/>
    <col min="6915" max="6915" width="12" bestFit="1" customWidth="1"/>
    <col min="6916" max="6916" width="10.88671875" customWidth="1"/>
    <col min="6917" max="6917" width="9.5546875" bestFit="1" customWidth="1"/>
    <col min="7169" max="7169" width="2" bestFit="1" customWidth="1"/>
    <col min="7170" max="7170" width="36.109375" bestFit="1" customWidth="1"/>
    <col min="7171" max="7171" width="12" bestFit="1" customWidth="1"/>
    <col min="7172" max="7172" width="10.88671875" customWidth="1"/>
    <col min="7173" max="7173" width="9.5546875" bestFit="1" customWidth="1"/>
    <col min="7425" max="7425" width="2" bestFit="1" customWidth="1"/>
    <col min="7426" max="7426" width="36.109375" bestFit="1" customWidth="1"/>
    <col min="7427" max="7427" width="12" bestFit="1" customWidth="1"/>
    <col min="7428" max="7428" width="10.88671875" customWidth="1"/>
    <col min="7429" max="7429" width="9.5546875" bestFit="1" customWidth="1"/>
    <col min="7681" max="7681" width="2" bestFit="1" customWidth="1"/>
    <col min="7682" max="7682" width="36.109375" bestFit="1" customWidth="1"/>
    <col min="7683" max="7683" width="12" bestFit="1" customWidth="1"/>
    <col min="7684" max="7684" width="10.88671875" customWidth="1"/>
    <col min="7685" max="7685" width="9.5546875" bestFit="1" customWidth="1"/>
    <col min="7937" max="7937" width="2" bestFit="1" customWidth="1"/>
    <col min="7938" max="7938" width="36.109375" bestFit="1" customWidth="1"/>
    <col min="7939" max="7939" width="12" bestFit="1" customWidth="1"/>
    <col min="7940" max="7940" width="10.88671875" customWidth="1"/>
    <col min="7941" max="7941" width="9.5546875" bestFit="1" customWidth="1"/>
    <col min="8193" max="8193" width="2" bestFit="1" customWidth="1"/>
    <col min="8194" max="8194" width="36.109375" bestFit="1" customWidth="1"/>
    <col min="8195" max="8195" width="12" bestFit="1" customWidth="1"/>
    <col min="8196" max="8196" width="10.88671875" customWidth="1"/>
    <col min="8197" max="8197" width="9.5546875" bestFit="1" customWidth="1"/>
    <col min="8449" max="8449" width="2" bestFit="1" customWidth="1"/>
    <col min="8450" max="8450" width="36.109375" bestFit="1" customWidth="1"/>
    <col min="8451" max="8451" width="12" bestFit="1" customWidth="1"/>
    <col min="8452" max="8452" width="10.88671875" customWidth="1"/>
    <col min="8453" max="8453" width="9.5546875" bestFit="1" customWidth="1"/>
    <col min="8705" max="8705" width="2" bestFit="1" customWidth="1"/>
    <col min="8706" max="8706" width="36.109375" bestFit="1" customWidth="1"/>
    <col min="8707" max="8707" width="12" bestFit="1" customWidth="1"/>
    <col min="8708" max="8708" width="10.88671875" customWidth="1"/>
    <col min="8709" max="8709" width="9.5546875" bestFit="1" customWidth="1"/>
    <col min="8961" max="8961" width="2" bestFit="1" customWidth="1"/>
    <col min="8962" max="8962" width="36.109375" bestFit="1" customWidth="1"/>
    <col min="8963" max="8963" width="12" bestFit="1" customWidth="1"/>
    <col min="8964" max="8964" width="10.88671875" customWidth="1"/>
    <col min="8965" max="8965" width="9.5546875" bestFit="1" customWidth="1"/>
    <col min="9217" max="9217" width="2" bestFit="1" customWidth="1"/>
    <col min="9218" max="9218" width="36.109375" bestFit="1" customWidth="1"/>
    <col min="9219" max="9219" width="12" bestFit="1" customWidth="1"/>
    <col min="9220" max="9220" width="10.88671875" customWidth="1"/>
    <col min="9221" max="9221" width="9.5546875" bestFit="1" customWidth="1"/>
    <col min="9473" max="9473" width="2" bestFit="1" customWidth="1"/>
    <col min="9474" max="9474" width="36.109375" bestFit="1" customWidth="1"/>
    <col min="9475" max="9475" width="12" bestFit="1" customWidth="1"/>
    <col min="9476" max="9476" width="10.88671875" customWidth="1"/>
    <col min="9477" max="9477" width="9.5546875" bestFit="1" customWidth="1"/>
    <col min="9729" max="9729" width="2" bestFit="1" customWidth="1"/>
    <col min="9730" max="9730" width="36.109375" bestFit="1" customWidth="1"/>
    <col min="9731" max="9731" width="12" bestFit="1" customWidth="1"/>
    <col min="9732" max="9732" width="10.88671875" customWidth="1"/>
    <col min="9733" max="9733" width="9.5546875" bestFit="1" customWidth="1"/>
    <col min="9985" max="9985" width="2" bestFit="1" customWidth="1"/>
    <col min="9986" max="9986" width="36.109375" bestFit="1" customWidth="1"/>
    <col min="9987" max="9987" width="12" bestFit="1" customWidth="1"/>
    <col min="9988" max="9988" width="10.88671875" customWidth="1"/>
    <col min="9989" max="9989" width="9.5546875" bestFit="1" customWidth="1"/>
    <col min="10241" max="10241" width="2" bestFit="1" customWidth="1"/>
    <col min="10242" max="10242" width="36.109375" bestFit="1" customWidth="1"/>
    <col min="10243" max="10243" width="12" bestFit="1" customWidth="1"/>
    <col min="10244" max="10244" width="10.88671875" customWidth="1"/>
    <col min="10245" max="10245" width="9.5546875" bestFit="1" customWidth="1"/>
    <col min="10497" max="10497" width="2" bestFit="1" customWidth="1"/>
    <col min="10498" max="10498" width="36.109375" bestFit="1" customWidth="1"/>
    <col min="10499" max="10499" width="12" bestFit="1" customWidth="1"/>
    <col min="10500" max="10500" width="10.88671875" customWidth="1"/>
    <col min="10501" max="10501" width="9.5546875" bestFit="1" customWidth="1"/>
    <col min="10753" max="10753" width="2" bestFit="1" customWidth="1"/>
    <col min="10754" max="10754" width="36.109375" bestFit="1" customWidth="1"/>
    <col min="10755" max="10755" width="12" bestFit="1" customWidth="1"/>
    <col min="10756" max="10756" width="10.88671875" customWidth="1"/>
    <col min="10757" max="10757" width="9.5546875" bestFit="1" customWidth="1"/>
    <col min="11009" max="11009" width="2" bestFit="1" customWidth="1"/>
    <col min="11010" max="11010" width="36.109375" bestFit="1" customWidth="1"/>
    <col min="11011" max="11011" width="12" bestFit="1" customWidth="1"/>
    <col min="11012" max="11012" width="10.88671875" customWidth="1"/>
    <col min="11013" max="11013" width="9.5546875" bestFit="1" customWidth="1"/>
    <col min="11265" max="11265" width="2" bestFit="1" customWidth="1"/>
    <col min="11266" max="11266" width="36.109375" bestFit="1" customWidth="1"/>
    <col min="11267" max="11267" width="12" bestFit="1" customWidth="1"/>
    <col min="11268" max="11268" width="10.88671875" customWidth="1"/>
    <col min="11269" max="11269" width="9.5546875" bestFit="1" customWidth="1"/>
    <col min="11521" max="11521" width="2" bestFit="1" customWidth="1"/>
    <col min="11522" max="11522" width="36.109375" bestFit="1" customWidth="1"/>
    <col min="11523" max="11523" width="12" bestFit="1" customWidth="1"/>
    <col min="11524" max="11524" width="10.88671875" customWidth="1"/>
    <col min="11525" max="11525" width="9.5546875" bestFit="1" customWidth="1"/>
    <col min="11777" max="11777" width="2" bestFit="1" customWidth="1"/>
    <col min="11778" max="11778" width="36.109375" bestFit="1" customWidth="1"/>
    <col min="11779" max="11779" width="12" bestFit="1" customWidth="1"/>
    <col min="11780" max="11780" width="10.88671875" customWidth="1"/>
    <col min="11781" max="11781" width="9.5546875" bestFit="1" customWidth="1"/>
    <col min="12033" max="12033" width="2" bestFit="1" customWidth="1"/>
    <col min="12034" max="12034" width="36.109375" bestFit="1" customWidth="1"/>
    <col min="12035" max="12035" width="12" bestFit="1" customWidth="1"/>
    <col min="12036" max="12036" width="10.88671875" customWidth="1"/>
    <col min="12037" max="12037" width="9.5546875" bestFit="1" customWidth="1"/>
    <col min="12289" max="12289" width="2" bestFit="1" customWidth="1"/>
    <col min="12290" max="12290" width="36.109375" bestFit="1" customWidth="1"/>
    <col min="12291" max="12291" width="12" bestFit="1" customWidth="1"/>
    <col min="12292" max="12292" width="10.88671875" customWidth="1"/>
    <col min="12293" max="12293" width="9.5546875" bestFit="1" customWidth="1"/>
    <col min="12545" max="12545" width="2" bestFit="1" customWidth="1"/>
    <col min="12546" max="12546" width="36.109375" bestFit="1" customWidth="1"/>
    <col min="12547" max="12547" width="12" bestFit="1" customWidth="1"/>
    <col min="12548" max="12548" width="10.88671875" customWidth="1"/>
    <col min="12549" max="12549" width="9.5546875" bestFit="1" customWidth="1"/>
    <col min="12801" max="12801" width="2" bestFit="1" customWidth="1"/>
    <col min="12802" max="12802" width="36.109375" bestFit="1" customWidth="1"/>
    <col min="12803" max="12803" width="12" bestFit="1" customWidth="1"/>
    <col min="12804" max="12804" width="10.88671875" customWidth="1"/>
    <col min="12805" max="12805" width="9.5546875" bestFit="1" customWidth="1"/>
    <col min="13057" max="13057" width="2" bestFit="1" customWidth="1"/>
    <col min="13058" max="13058" width="36.109375" bestFit="1" customWidth="1"/>
    <col min="13059" max="13059" width="12" bestFit="1" customWidth="1"/>
    <col min="13060" max="13060" width="10.88671875" customWidth="1"/>
    <col min="13061" max="13061" width="9.5546875" bestFit="1" customWidth="1"/>
    <col min="13313" max="13313" width="2" bestFit="1" customWidth="1"/>
    <col min="13314" max="13314" width="36.109375" bestFit="1" customWidth="1"/>
    <col min="13315" max="13315" width="12" bestFit="1" customWidth="1"/>
    <col min="13316" max="13316" width="10.88671875" customWidth="1"/>
    <col min="13317" max="13317" width="9.5546875" bestFit="1" customWidth="1"/>
    <col min="13569" max="13569" width="2" bestFit="1" customWidth="1"/>
    <col min="13570" max="13570" width="36.109375" bestFit="1" customWidth="1"/>
    <col min="13571" max="13571" width="12" bestFit="1" customWidth="1"/>
    <col min="13572" max="13572" width="10.88671875" customWidth="1"/>
    <col min="13573" max="13573" width="9.5546875" bestFit="1" customWidth="1"/>
    <col min="13825" max="13825" width="2" bestFit="1" customWidth="1"/>
    <col min="13826" max="13826" width="36.109375" bestFit="1" customWidth="1"/>
    <col min="13827" max="13827" width="12" bestFit="1" customWidth="1"/>
    <col min="13828" max="13828" width="10.88671875" customWidth="1"/>
    <col min="13829" max="13829" width="9.5546875" bestFit="1" customWidth="1"/>
    <col min="14081" max="14081" width="2" bestFit="1" customWidth="1"/>
    <col min="14082" max="14082" width="36.109375" bestFit="1" customWidth="1"/>
    <col min="14083" max="14083" width="12" bestFit="1" customWidth="1"/>
    <col min="14084" max="14084" width="10.88671875" customWidth="1"/>
    <col min="14085" max="14085" width="9.5546875" bestFit="1" customWidth="1"/>
    <col min="14337" max="14337" width="2" bestFit="1" customWidth="1"/>
    <col min="14338" max="14338" width="36.109375" bestFit="1" customWidth="1"/>
    <col min="14339" max="14339" width="12" bestFit="1" customWidth="1"/>
    <col min="14340" max="14340" width="10.88671875" customWidth="1"/>
    <col min="14341" max="14341" width="9.5546875" bestFit="1" customWidth="1"/>
    <col min="14593" max="14593" width="2" bestFit="1" customWidth="1"/>
    <col min="14594" max="14594" width="36.109375" bestFit="1" customWidth="1"/>
    <col min="14595" max="14595" width="12" bestFit="1" customWidth="1"/>
    <col min="14596" max="14596" width="10.88671875" customWidth="1"/>
    <col min="14597" max="14597" width="9.5546875" bestFit="1" customWidth="1"/>
    <col min="14849" max="14849" width="2" bestFit="1" customWidth="1"/>
    <col min="14850" max="14850" width="36.109375" bestFit="1" customWidth="1"/>
    <col min="14851" max="14851" width="12" bestFit="1" customWidth="1"/>
    <col min="14852" max="14852" width="10.88671875" customWidth="1"/>
    <col min="14853" max="14853" width="9.5546875" bestFit="1" customWidth="1"/>
    <col min="15105" max="15105" width="2" bestFit="1" customWidth="1"/>
    <col min="15106" max="15106" width="36.109375" bestFit="1" customWidth="1"/>
    <col min="15107" max="15107" width="12" bestFit="1" customWidth="1"/>
    <col min="15108" max="15108" width="10.88671875" customWidth="1"/>
    <col min="15109" max="15109" width="9.5546875" bestFit="1" customWidth="1"/>
    <col min="15361" max="15361" width="2" bestFit="1" customWidth="1"/>
    <col min="15362" max="15362" width="36.109375" bestFit="1" customWidth="1"/>
    <col min="15363" max="15363" width="12" bestFit="1" customWidth="1"/>
    <col min="15364" max="15364" width="10.88671875" customWidth="1"/>
    <col min="15365" max="15365" width="9.5546875" bestFit="1" customWidth="1"/>
    <col min="15617" max="15617" width="2" bestFit="1" customWidth="1"/>
    <col min="15618" max="15618" width="36.109375" bestFit="1" customWidth="1"/>
    <col min="15619" max="15619" width="12" bestFit="1" customWidth="1"/>
    <col min="15620" max="15620" width="10.88671875" customWidth="1"/>
    <col min="15621" max="15621" width="9.5546875" bestFit="1" customWidth="1"/>
    <col min="15873" max="15873" width="2" bestFit="1" customWidth="1"/>
    <col min="15874" max="15874" width="36.109375" bestFit="1" customWidth="1"/>
    <col min="15875" max="15875" width="12" bestFit="1" customWidth="1"/>
    <col min="15876" max="15876" width="10.88671875" customWidth="1"/>
    <col min="15877" max="15877" width="9.5546875" bestFit="1" customWidth="1"/>
    <col min="16129" max="16129" width="2" bestFit="1" customWidth="1"/>
    <col min="16130" max="16130" width="36.109375" bestFit="1" customWidth="1"/>
    <col min="16131" max="16131" width="12" bestFit="1" customWidth="1"/>
    <col min="16132" max="16132" width="10.88671875" customWidth="1"/>
    <col min="16133" max="16133" width="9.5546875" bestFit="1" customWidth="1"/>
  </cols>
  <sheetData>
    <row r="1" spans="1:5" ht="28.8" x14ac:dyDescent="0.3">
      <c r="B1" s="93" t="str">
        <f>"Savings Plan that compounds interest "&amp;C4&amp;" times a year, but you put money in "&amp;C9&amp;" times a year."</f>
        <v>Savings Plan that compounds interest 365 times a year, but you put money in 12 times a year.</v>
      </c>
      <c r="C1" s="94"/>
      <c r="D1" s="95"/>
      <c r="E1" s="92"/>
    </row>
    <row r="2" spans="1:5" x14ac:dyDescent="0.3">
      <c r="B2" s="1" t="s">
        <v>83</v>
      </c>
      <c r="C2" s="1">
        <v>-250</v>
      </c>
    </row>
    <row r="3" spans="1:5" x14ac:dyDescent="0.3">
      <c r="B3" s="1" t="s">
        <v>84</v>
      </c>
      <c r="C3" s="1">
        <v>25</v>
      </c>
    </row>
    <row r="4" spans="1:5" x14ac:dyDescent="0.3">
      <c r="B4" s="1" t="s">
        <v>85</v>
      </c>
      <c r="C4" s="1">
        <v>365</v>
      </c>
    </row>
    <row r="5" spans="1:5" x14ac:dyDescent="0.3">
      <c r="B5" s="1" t="s">
        <v>56</v>
      </c>
      <c r="C5" s="1">
        <v>0.08</v>
      </c>
    </row>
    <row r="6" spans="1:5" x14ac:dyDescent="0.3">
      <c r="B6" s="1" t="s">
        <v>86</v>
      </c>
      <c r="C6" s="1">
        <v>0</v>
      </c>
    </row>
    <row r="7" spans="1:5" x14ac:dyDescent="0.3">
      <c r="E7" t="s">
        <v>87</v>
      </c>
    </row>
    <row r="8" spans="1:5" x14ac:dyDescent="0.3">
      <c r="A8" s="1">
        <v>1</v>
      </c>
      <c r="B8" s="1" t="s">
        <v>88</v>
      </c>
      <c r="C8" s="31"/>
      <c r="E8" s="49">
        <f>(1+C5/C4)^C4-1</f>
        <v>8.3277571792814031E-2</v>
      </c>
    </row>
    <row r="9" spans="1:5" x14ac:dyDescent="0.3">
      <c r="B9" s="1" t="s">
        <v>89</v>
      </c>
      <c r="C9" s="1">
        <v>12</v>
      </c>
      <c r="E9" t="s">
        <v>87</v>
      </c>
    </row>
    <row r="10" spans="1:5" x14ac:dyDescent="0.3">
      <c r="A10" s="1">
        <v>2</v>
      </c>
      <c r="B10" s="1" t="s">
        <v>90</v>
      </c>
      <c r="C10" s="31"/>
      <c r="E10">
        <f>(((1+C5/C4)^C4)^(1/C9)-1)*C9</f>
        <v>8.0258435774824832E-2</v>
      </c>
    </row>
    <row r="11" spans="1:5" x14ac:dyDescent="0.3">
      <c r="A11" s="1">
        <v>3</v>
      </c>
      <c r="B11" s="1" t="s">
        <v>91</v>
      </c>
      <c r="C11" s="31"/>
      <c r="E11">
        <f>((0.08327757+1)^(1/12) -1)*12</f>
        <v>8.0258434108765542E-2</v>
      </c>
    </row>
    <row r="12" spans="1:5" x14ac:dyDescent="0.3">
      <c r="A12" s="1">
        <v>4</v>
      </c>
      <c r="B12" s="1" t="s">
        <v>92</v>
      </c>
      <c r="C12" s="22"/>
    </row>
    <row r="13" spans="1:5" x14ac:dyDescent="0.3">
      <c r="B13" s="1" t="s">
        <v>171</v>
      </c>
      <c r="C13" s="140"/>
    </row>
    <row r="15" spans="1:5" ht="28.8" x14ac:dyDescent="0.3">
      <c r="A15" s="1">
        <v>5</v>
      </c>
      <c r="B15" s="45" t="str">
        <f>IF(C12="","","If we have a Savings Plan that compounds interest "&amp;C4&amp;" times a year, but we put "&amp;DOLLAR(-C2)&amp;" in only "&amp;C9&amp;" times a year, the Future Value would be "&amp;DOLLAR(C12)&amp;".")</f>
        <v/>
      </c>
      <c r="C15" s="46"/>
      <c r="D15" s="46"/>
      <c r="E15" s="47"/>
    </row>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E15"/>
  <sheetViews>
    <sheetView zoomScale="130" zoomScaleNormal="130" workbookViewId="0"/>
  </sheetViews>
  <sheetFormatPr defaultRowHeight="14.4" x14ac:dyDescent="0.3"/>
  <cols>
    <col min="1" max="1" width="2" bestFit="1" customWidth="1"/>
    <col min="2" max="2" width="36.109375" bestFit="1" customWidth="1"/>
    <col min="3" max="3" width="12" bestFit="1" customWidth="1"/>
    <col min="4" max="4" width="10.88671875" customWidth="1"/>
    <col min="5" max="5" width="10" bestFit="1" customWidth="1"/>
    <col min="257" max="257" width="2" bestFit="1" customWidth="1"/>
    <col min="258" max="258" width="36.109375" bestFit="1" customWidth="1"/>
    <col min="259" max="259" width="12" bestFit="1" customWidth="1"/>
    <col min="260" max="260" width="10.88671875" customWidth="1"/>
    <col min="261" max="261" width="9.5546875" bestFit="1" customWidth="1"/>
    <col min="513" max="513" width="2" bestFit="1" customWidth="1"/>
    <col min="514" max="514" width="36.109375" bestFit="1" customWidth="1"/>
    <col min="515" max="515" width="12" bestFit="1" customWidth="1"/>
    <col min="516" max="516" width="10.88671875" customWidth="1"/>
    <col min="517" max="517" width="9.5546875" bestFit="1" customWidth="1"/>
    <col min="769" max="769" width="2" bestFit="1" customWidth="1"/>
    <col min="770" max="770" width="36.109375" bestFit="1" customWidth="1"/>
    <col min="771" max="771" width="12" bestFit="1" customWidth="1"/>
    <col min="772" max="772" width="10.88671875" customWidth="1"/>
    <col min="773" max="773" width="9.5546875" bestFit="1" customWidth="1"/>
    <col min="1025" max="1025" width="2" bestFit="1" customWidth="1"/>
    <col min="1026" max="1026" width="36.109375" bestFit="1" customWidth="1"/>
    <col min="1027" max="1027" width="12" bestFit="1" customWidth="1"/>
    <col min="1028" max="1028" width="10.88671875" customWidth="1"/>
    <col min="1029" max="1029" width="9.5546875" bestFit="1" customWidth="1"/>
    <col min="1281" max="1281" width="2" bestFit="1" customWidth="1"/>
    <col min="1282" max="1282" width="36.109375" bestFit="1" customWidth="1"/>
    <col min="1283" max="1283" width="12" bestFit="1" customWidth="1"/>
    <col min="1284" max="1284" width="10.88671875" customWidth="1"/>
    <col min="1285" max="1285" width="9.5546875" bestFit="1" customWidth="1"/>
    <col min="1537" max="1537" width="2" bestFit="1" customWidth="1"/>
    <col min="1538" max="1538" width="36.109375" bestFit="1" customWidth="1"/>
    <col min="1539" max="1539" width="12" bestFit="1" customWidth="1"/>
    <col min="1540" max="1540" width="10.88671875" customWidth="1"/>
    <col min="1541" max="1541" width="9.5546875" bestFit="1" customWidth="1"/>
    <col min="1793" max="1793" width="2" bestFit="1" customWidth="1"/>
    <col min="1794" max="1794" width="36.109375" bestFit="1" customWidth="1"/>
    <col min="1795" max="1795" width="12" bestFit="1" customWidth="1"/>
    <col min="1796" max="1796" width="10.88671875" customWidth="1"/>
    <col min="1797" max="1797" width="9.5546875" bestFit="1" customWidth="1"/>
    <col min="2049" max="2049" width="2" bestFit="1" customWidth="1"/>
    <col min="2050" max="2050" width="36.109375" bestFit="1" customWidth="1"/>
    <col min="2051" max="2051" width="12" bestFit="1" customWidth="1"/>
    <col min="2052" max="2052" width="10.88671875" customWidth="1"/>
    <col min="2053" max="2053" width="9.5546875" bestFit="1" customWidth="1"/>
    <col min="2305" max="2305" width="2" bestFit="1" customWidth="1"/>
    <col min="2306" max="2306" width="36.109375" bestFit="1" customWidth="1"/>
    <col min="2307" max="2307" width="12" bestFit="1" customWidth="1"/>
    <col min="2308" max="2308" width="10.88671875" customWidth="1"/>
    <col min="2309" max="2309" width="9.5546875" bestFit="1" customWidth="1"/>
    <col min="2561" max="2561" width="2" bestFit="1" customWidth="1"/>
    <col min="2562" max="2562" width="36.109375" bestFit="1" customWidth="1"/>
    <col min="2563" max="2563" width="12" bestFit="1" customWidth="1"/>
    <col min="2564" max="2564" width="10.88671875" customWidth="1"/>
    <col min="2565" max="2565" width="9.5546875" bestFit="1" customWidth="1"/>
    <col min="2817" max="2817" width="2" bestFit="1" customWidth="1"/>
    <col min="2818" max="2818" width="36.109375" bestFit="1" customWidth="1"/>
    <col min="2819" max="2819" width="12" bestFit="1" customWidth="1"/>
    <col min="2820" max="2820" width="10.88671875" customWidth="1"/>
    <col min="2821" max="2821" width="9.5546875" bestFit="1" customWidth="1"/>
    <col min="3073" max="3073" width="2" bestFit="1" customWidth="1"/>
    <col min="3074" max="3074" width="36.109375" bestFit="1" customWidth="1"/>
    <col min="3075" max="3075" width="12" bestFit="1" customWidth="1"/>
    <col min="3076" max="3076" width="10.88671875" customWidth="1"/>
    <col min="3077" max="3077" width="9.5546875" bestFit="1" customWidth="1"/>
    <col min="3329" max="3329" width="2" bestFit="1" customWidth="1"/>
    <col min="3330" max="3330" width="36.109375" bestFit="1" customWidth="1"/>
    <col min="3331" max="3331" width="12" bestFit="1" customWidth="1"/>
    <col min="3332" max="3332" width="10.88671875" customWidth="1"/>
    <col min="3333" max="3333" width="9.5546875" bestFit="1" customWidth="1"/>
    <col min="3585" max="3585" width="2" bestFit="1" customWidth="1"/>
    <col min="3586" max="3586" width="36.109375" bestFit="1" customWidth="1"/>
    <col min="3587" max="3587" width="12" bestFit="1" customWidth="1"/>
    <col min="3588" max="3588" width="10.88671875" customWidth="1"/>
    <col min="3589" max="3589" width="9.5546875" bestFit="1" customWidth="1"/>
    <col min="3841" max="3841" width="2" bestFit="1" customWidth="1"/>
    <col min="3842" max="3842" width="36.109375" bestFit="1" customWidth="1"/>
    <col min="3843" max="3843" width="12" bestFit="1" customWidth="1"/>
    <col min="3844" max="3844" width="10.88671875" customWidth="1"/>
    <col min="3845" max="3845" width="9.5546875" bestFit="1" customWidth="1"/>
    <col min="4097" max="4097" width="2" bestFit="1" customWidth="1"/>
    <col min="4098" max="4098" width="36.109375" bestFit="1" customWidth="1"/>
    <col min="4099" max="4099" width="12" bestFit="1" customWidth="1"/>
    <col min="4100" max="4100" width="10.88671875" customWidth="1"/>
    <col min="4101" max="4101" width="9.5546875" bestFit="1" customWidth="1"/>
    <col min="4353" max="4353" width="2" bestFit="1" customWidth="1"/>
    <col min="4354" max="4354" width="36.109375" bestFit="1" customWidth="1"/>
    <col min="4355" max="4355" width="12" bestFit="1" customWidth="1"/>
    <col min="4356" max="4356" width="10.88671875" customWidth="1"/>
    <col min="4357" max="4357" width="9.5546875" bestFit="1" customWidth="1"/>
    <col min="4609" max="4609" width="2" bestFit="1" customWidth="1"/>
    <col min="4610" max="4610" width="36.109375" bestFit="1" customWidth="1"/>
    <col min="4611" max="4611" width="12" bestFit="1" customWidth="1"/>
    <col min="4612" max="4612" width="10.88671875" customWidth="1"/>
    <col min="4613" max="4613" width="9.5546875" bestFit="1" customWidth="1"/>
    <col min="4865" max="4865" width="2" bestFit="1" customWidth="1"/>
    <col min="4866" max="4866" width="36.109375" bestFit="1" customWidth="1"/>
    <col min="4867" max="4867" width="12" bestFit="1" customWidth="1"/>
    <col min="4868" max="4868" width="10.88671875" customWidth="1"/>
    <col min="4869" max="4869" width="9.5546875" bestFit="1" customWidth="1"/>
    <col min="5121" max="5121" width="2" bestFit="1" customWidth="1"/>
    <col min="5122" max="5122" width="36.109375" bestFit="1" customWidth="1"/>
    <col min="5123" max="5123" width="12" bestFit="1" customWidth="1"/>
    <col min="5124" max="5124" width="10.88671875" customWidth="1"/>
    <col min="5125" max="5125" width="9.5546875" bestFit="1" customWidth="1"/>
    <col min="5377" max="5377" width="2" bestFit="1" customWidth="1"/>
    <col min="5378" max="5378" width="36.109375" bestFit="1" customWidth="1"/>
    <col min="5379" max="5379" width="12" bestFit="1" customWidth="1"/>
    <col min="5380" max="5380" width="10.88671875" customWidth="1"/>
    <col min="5381" max="5381" width="9.5546875" bestFit="1" customWidth="1"/>
    <col min="5633" max="5633" width="2" bestFit="1" customWidth="1"/>
    <col min="5634" max="5634" width="36.109375" bestFit="1" customWidth="1"/>
    <col min="5635" max="5635" width="12" bestFit="1" customWidth="1"/>
    <col min="5636" max="5636" width="10.88671875" customWidth="1"/>
    <col min="5637" max="5637" width="9.5546875" bestFit="1" customWidth="1"/>
    <col min="5889" max="5889" width="2" bestFit="1" customWidth="1"/>
    <col min="5890" max="5890" width="36.109375" bestFit="1" customWidth="1"/>
    <col min="5891" max="5891" width="12" bestFit="1" customWidth="1"/>
    <col min="5892" max="5892" width="10.88671875" customWidth="1"/>
    <col min="5893" max="5893" width="9.5546875" bestFit="1" customWidth="1"/>
    <col min="6145" max="6145" width="2" bestFit="1" customWidth="1"/>
    <col min="6146" max="6146" width="36.109375" bestFit="1" customWidth="1"/>
    <col min="6147" max="6147" width="12" bestFit="1" customWidth="1"/>
    <col min="6148" max="6148" width="10.88671875" customWidth="1"/>
    <col min="6149" max="6149" width="9.5546875" bestFit="1" customWidth="1"/>
    <col min="6401" max="6401" width="2" bestFit="1" customWidth="1"/>
    <col min="6402" max="6402" width="36.109375" bestFit="1" customWidth="1"/>
    <col min="6403" max="6403" width="12" bestFit="1" customWidth="1"/>
    <col min="6404" max="6404" width="10.88671875" customWidth="1"/>
    <col min="6405" max="6405" width="9.5546875" bestFit="1" customWidth="1"/>
    <col min="6657" max="6657" width="2" bestFit="1" customWidth="1"/>
    <col min="6658" max="6658" width="36.109375" bestFit="1" customWidth="1"/>
    <col min="6659" max="6659" width="12" bestFit="1" customWidth="1"/>
    <col min="6660" max="6660" width="10.88671875" customWidth="1"/>
    <col min="6661" max="6661" width="9.5546875" bestFit="1" customWidth="1"/>
    <col min="6913" max="6913" width="2" bestFit="1" customWidth="1"/>
    <col min="6914" max="6914" width="36.109375" bestFit="1" customWidth="1"/>
    <col min="6915" max="6915" width="12" bestFit="1" customWidth="1"/>
    <col min="6916" max="6916" width="10.88671875" customWidth="1"/>
    <col min="6917" max="6917" width="9.5546875" bestFit="1" customWidth="1"/>
    <col min="7169" max="7169" width="2" bestFit="1" customWidth="1"/>
    <col min="7170" max="7170" width="36.109375" bestFit="1" customWidth="1"/>
    <col min="7171" max="7171" width="12" bestFit="1" customWidth="1"/>
    <col min="7172" max="7172" width="10.88671875" customWidth="1"/>
    <col min="7173" max="7173" width="9.5546875" bestFit="1" customWidth="1"/>
    <col min="7425" max="7425" width="2" bestFit="1" customWidth="1"/>
    <col min="7426" max="7426" width="36.109375" bestFit="1" customWidth="1"/>
    <col min="7427" max="7427" width="12" bestFit="1" customWidth="1"/>
    <col min="7428" max="7428" width="10.88671875" customWidth="1"/>
    <col min="7429" max="7429" width="9.5546875" bestFit="1" customWidth="1"/>
    <col min="7681" max="7681" width="2" bestFit="1" customWidth="1"/>
    <col min="7682" max="7682" width="36.109375" bestFit="1" customWidth="1"/>
    <col min="7683" max="7683" width="12" bestFit="1" customWidth="1"/>
    <col min="7684" max="7684" width="10.88671875" customWidth="1"/>
    <col min="7685" max="7685" width="9.5546875" bestFit="1" customWidth="1"/>
    <col min="7937" max="7937" width="2" bestFit="1" customWidth="1"/>
    <col min="7938" max="7938" width="36.109375" bestFit="1" customWidth="1"/>
    <col min="7939" max="7939" width="12" bestFit="1" customWidth="1"/>
    <col min="7940" max="7940" width="10.88671875" customWidth="1"/>
    <col min="7941" max="7941" width="9.5546875" bestFit="1" customWidth="1"/>
    <col min="8193" max="8193" width="2" bestFit="1" customWidth="1"/>
    <col min="8194" max="8194" width="36.109375" bestFit="1" customWidth="1"/>
    <col min="8195" max="8195" width="12" bestFit="1" customWidth="1"/>
    <col min="8196" max="8196" width="10.88671875" customWidth="1"/>
    <col min="8197" max="8197" width="9.5546875" bestFit="1" customWidth="1"/>
    <col min="8449" max="8449" width="2" bestFit="1" customWidth="1"/>
    <col min="8450" max="8450" width="36.109375" bestFit="1" customWidth="1"/>
    <col min="8451" max="8451" width="12" bestFit="1" customWidth="1"/>
    <col min="8452" max="8452" width="10.88671875" customWidth="1"/>
    <col min="8453" max="8453" width="9.5546875" bestFit="1" customWidth="1"/>
    <col min="8705" max="8705" width="2" bestFit="1" customWidth="1"/>
    <col min="8706" max="8706" width="36.109375" bestFit="1" customWidth="1"/>
    <col min="8707" max="8707" width="12" bestFit="1" customWidth="1"/>
    <col min="8708" max="8708" width="10.88671875" customWidth="1"/>
    <col min="8709" max="8709" width="9.5546875" bestFit="1" customWidth="1"/>
    <col min="8961" max="8961" width="2" bestFit="1" customWidth="1"/>
    <col min="8962" max="8962" width="36.109375" bestFit="1" customWidth="1"/>
    <col min="8963" max="8963" width="12" bestFit="1" customWidth="1"/>
    <col min="8964" max="8964" width="10.88671875" customWidth="1"/>
    <col min="8965" max="8965" width="9.5546875" bestFit="1" customWidth="1"/>
    <col min="9217" max="9217" width="2" bestFit="1" customWidth="1"/>
    <col min="9218" max="9218" width="36.109375" bestFit="1" customWidth="1"/>
    <col min="9219" max="9219" width="12" bestFit="1" customWidth="1"/>
    <col min="9220" max="9220" width="10.88671875" customWidth="1"/>
    <col min="9221" max="9221" width="9.5546875" bestFit="1" customWidth="1"/>
    <col min="9473" max="9473" width="2" bestFit="1" customWidth="1"/>
    <col min="9474" max="9474" width="36.109375" bestFit="1" customWidth="1"/>
    <col min="9475" max="9475" width="12" bestFit="1" customWidth="1"/>
    <col min="9476" max="9476" width="10.88671875" customWidth="1"/>
    <col min="9477" max="9477" width="9.5546875" bestFit="1" customWidth="1"/>
    <col min="9729" max="9729" width="2" bestFit="1" customWidth="1"/>
    <col min="9730" max="9730" width="36.109375" bestFit="1" customWidth="1"/>
    <col min="9731" max="9731" width="12" bestFit="1" customWidth="1"/>
    <col min="9732" max="9732" width="10.88671875" customWidth="1"/>
    <col min="9733" max="9733" width="9.5546875" bestFit="1" customWidth="1"/>
    <col min="9985" max="9985" width="2" bestFit="1" customWidth="1"/>
    <col min="9986" max="9986" width="36.109375" bestFit="1" customWidth="1"/>
    <col min="9987" max="9987" width="12" bestFit="1" customWidth="1"/>
    <col min="9988" max="9988" width="10.88671875" customWidth="1"/>
    <col min="9989" max="9989" width="9.5546875" bestFit="1" customWidth="1"/>
    <col min="10241" max="10241" width="2" bestFit="1" customWidth="1"/>
    <col min="10242" max="10242" width="36.109375" bestFit="1" customWidth="1"/>
    <col min="10243" max="10243" width="12" bestFit="1" customWidth="1"/>
    <col min="10244" max="10244" width="10.88671875" customWidth="1"/>
    <col min="10245" max="10245" width="9.5546875" bestFit="1" customWidth="1"/>
    <col min="10497" max="10497" width="2" bestFit="1" customWidth="1"/>
    <col min="10498" max="10498" width="36.109375" bestFit="1" customWidth="1"/>
    <col min="10499" max="10499" width="12" bestFit="1" customWidth="1"/>
    <col min="10500" max="10500" width="10.88671875" customWidth="1"/>
    <col min="10501" max="10501" width="9.5546875" bestFit="1" customWidth="1"/>
    <col min="10753" max="10753" width="2" bestFit="1" customWidth="1"/>
    <col min="10754" max="10754" width="36.109375" bestFit="1" customWidth="1"/>
    <col min="10755" max="10755" width="12" bestFit="1" customWidth="1"/>
    <col min="10756" max="10756" width="10.88671875" customWidth="1"/>
    <col min="10757" max="10757" width="9.5546875" bestFit="1" customWidth="1"/>
    <col min="11009" max="11009" width="2" bestFit="1" customWidth="1"/>
    <col min="11010" max="11010" width="36.109375" bestFit="1" customWidth="1"/>
    <col min="11011" max="11011" width="12" bestFit="1" customWidth="1"/>
    <col min="11012" max="11012" width="10.88671875" customWidth="1"/>
    <col min="11013" max="11013" width="9.5546875" bestFit="1" customWidth="1"/>
    <col min="11265" max="11265" width="2" bestFit="1" customWidth="1"/>
    <col min="11266" max="11266" width="36.109375" bestFit="1" customWidth="1"/>
    <col min="11267" max="11267" width="12" bestFit="1" customWidth="1"/>
    <col min="11268" max="11268" width="10.88671875" customWidth="1"/>
    <col min="11269" max="11269" width="9.5546875" bestFit="1" customWidth="1"/>
    <col min="11521" max="11521" width="2" bestFit="1" customWidth="1"/>
    <col min="11522" max="11522" width="36.109375" bestFit="1" customWidth="1"/>
    <col min="11523" max="11523" width="12" bestFit="1" customWidth="1"/>
    <col min="11524" max="11524" width="10.88671875" customWidth="1"/>
    <col min="11525" max="11525" width="9.5546875" bestFit="1" customWidth="1"/>
    <col min="11777" max="11777" width="2" bestFit="1" customWidth="1"/>
    <col min="11778" max="11778" width="36.109375" bestFit="1" customWidth="1"/>
    <col min="11779" max="11779" width="12" bestFit="1" customWidth="1"/>
    <col min="11780" max="11780" width="10.88671875" customWidth="1"/>
    <col min="11781" max="11781" width="9.5546875" bestFit="1" customWidth="1"/>
    <col min="12033" max="12033" width="2" bestFit="1" customWidth="1"/>
    <col min="12034" max="12034" width="36.109375" bestFit="1" customWidth="1"/>
    <col min="12035" max="12035" width="12" bestFit="1" customWidth="1"/>
    <col min="12036" max="12036" width="10.88671875" customWidth="1"/>
    <col min="12037" max="12037" width="9.5546875" bestFit="1" customWidth="1"/>
    <col min="12289" max="12289" width="2" bestFit="1" customWidth="1"/>
    <col min="12290" max="12290" width="36.109375" bestFit="1" customWidth="1"/>
    <col min="12291" max="12291" width="12" bestFit="1" customWidth="1"/>
    <col min="12292" max="12292" width="10.88671875" customWidth="1"/>
    <col min="12293" max="12293" width="9.5546875" bestFit="1" customWidth="1"/>
    <col min="12545" max="12545" width="2" bestFit="1" customWidth="1"/>
    <col min="12546" max="12546" width="36.109375" bestFit="1" customWidth="1"/>
    <col min="12547" max="12547" width="12" bestFit="1" customWidth="1"/>
    <col min="12548" max="12548" width="10.88671875" customWidth="1"/>
    <col min="12549" max="12549" width="9.5546875" bestFit="1" customWidth="1"/>
    <col min="12801" max="12801" width="2" bestFit="1" customWidth="1"/>
    <col min="12802" max="12802" width="36.109375" bestFit="1" customWidth="1"/>
    <col min="12803" max="12803" width="12" bestFit="1" customWidth="1"/>
    <col min="12804" max="12804" width="10.88671875" customWidth="1"/>
    <col min="12805" max="12805" width="9.5546875" bestFit="1" customWidth="1"/>
    <col min="13057" max="13057" width="2" bestFit="1" customWidth="1"/>
    <col min="13058" max="13058" width="36.109375" bestFit="1" customWidth="1"/>
    <col min="13059" max="13059" width="12" bestFit="1" customWidth="1"/>
    <col min="13060" max="13060" width="10.88671875" customWidth="1"/>
    <col min="13061" max="13061" width="9.5546875" bestFit="1" customWidth="1"/>
    <col min="13313" max="13313" width="2" bestFit="1" customWidth="1"/>
    <col min="13314" max="13314" width="36.109375" bestFit="1" customWidth="1"/>
    <col min="13315" max="13315" width="12" bestFit="1" customWidth="1"/>
    <col min="13316" max="13316" width="10.88671875" customWidth="1"/>
    <col min="13317" max="13317" width="9.5546875" bestFit="1" customWidth="1"/>
    <col min="13569" max="13569" width="2" bestFit="1" customWidth="1"/>
    <col min="13570" max="13570" width="36.109375" bestFit="1" customWidth="1"/>
    <col min="13571" max="13571" width="12" bestFit="1" customWidth="1"/>
    <col min="13572" max="13572" width="10.88671875" customWidth="1"/>
    <col min="13573" max="13573" width="9.5546875" bestFit="1" customWidth="1"/>
    <col min="13825" max="13825" width="2" bestFit="1" customWidth="1"/>
    <col min="13826" max="13826" width="36.109375" bestFit="1" customWidth="1"/>
    <col min="13827" max="13827" width="12" bestFit="1" customWidth="1"/>
    <col min="13828" max="13828" width="10.88671875" customWidth="1"/>
    <col min="13829" max="13829" width="9.5546875" bestFit="1" customWidth="1"/>
    <col min="14081" max="14081" width="2" bestFit="1" customWidth="1"/>
    <col min="14082" max="14082" width="36.109375" bestFit="1" customWidth="1"/>
    <col min="14083" max="14083" width="12" bestFit="1" customWidth="1"/>
    <col min="14084" max="14084" width="10.88671875" customWidth="1"/>
    <col min="14085" max="14085" width="9.5546875" bestFit="1" customWidth="1"/>
    <col min="14337" max="14337" width="2" bestFit="1" customWidth="1"/>
    <col min="14338" max="14338" width="36.109375" bestFit="1" customWidth="1"/>
    <col min="14339" max="14339" width="12" bestFit="1" customWidth="1"/>
    <col min="14340" max="14340" width="10.88671875" customWidth="1"/>
    <col min="14341" max="14341" width="9.5546875" bestFit="1" customWidth="1"/>
    <col min="14593" max="14593" width="2" bestFit="1" customWidth="1"/>
    <col min="14594" max="14594" width="36.109375" bestFit="1" customWidth="1"/>
    <col min="14595" max="14595" width="12" bestFit="1" customWidth="1"/>
    <col min="14596" max="14596" width="10.88671875" customWidth="1"/>
    <col min="14597" max="14597" width="9.5546875" bestFit="1" customWidth="1"/>
    <col min="14849" max="14849" width="2" bestFit="1" customWidth="1"/>
    <col min="14850" max="14850" width="36.109375" bestFit="1" customWidth="1"/>
    <col min="14851" max="14851" width="12" bestFit="1" customWidth="1"/>
    <col min="14852" max="14852" width="10.88671875" customWidth="1"/>
    <col min="14853" max="14853" width="9.5546875" bestFit="1" customWidth="1"/>
    <col min="15105" max="15105" width="2" bestFit="1" customWidth="1"/>
    <col min="15106" max="15106" width="36.109375" bestFit="1" customWidth="1"/>
    <col min="15107" max="15107" width="12" bestFit="1" customWidth="1"/>
    <col min="15108" max="15108" width="10.88671875" customWidth="1"/>
    <col min="15109" max="15109" width="9.5546875" bestFit="1" customWidth="1"/>
    <col min="15361" max="15361" width="2" bestFit="1" customWidth="1"/>
    <col min="15362" max="15362" width="36.109375" bestFit="1" customWidth="1"/>
    <col min="15363" max="15363" width="12" bestFit="1" customWidth="1"/>
    <col min="15364" max="15364" width="10.88671875" customWidth="1"/>
    <col min="15365" max="15365" width="9.5546875" bestFit="1" customWidth="1"/>
    <col min="15617" max="15617" width="2" bestFit="1" customWidth="1"/>
    <col min="15618" max="15618" width="36.109375" bestFit="1" customWidth="1"/>
    <col min="15619" max="15619" width="12" bestFit="1" customWidth="1"/>
    <col min="15620" max="15620" width="10.88671875" customWidth="1"/>
    <col min="15621" max="15621" width="9.5546875" bestFit="1" customWidth="1"/>
    <col min="15873" max="15873" width="2" bestFit="1" customWidth="1"/>
    <col min="15874" max="15874" width="36.109375" bestFit="1" customWidth="1"/>
    <col min="15875" max="15875" width="12" bestFit="1" customWidth="1"/>
    <col min="15876" max="15876" width="10.88671875" customWidth="1"/>
    <col min="15877" max="15877" width="9.5546875" bestFit="1" customWidth="1"/>
    <col min="16129" max="16129" width="2" bestFit="1" customWidth="1"/>
    <col min="16130" max="16130" width="36.109375" bestFit="1" customWidth="1"/>
    <col min="16131" max="16131" width="12" bestFit="1" customWidth="1"/>
    <col min="16132" max="16132" width="10.88671875" customWidth="1"/>
    <col min="16133" max="16133" width="9.5546875" bestFit="1" customWidth="1"/>
  </cols>
  <sheetData>
    <row r="1" spans="1:5" ht="28.8" x14ac:dyDescent="0.3">
      <c r="B1" s="93" t="str">
        <f>"Savings Plan that compounds interest "&amp;C4&amp;" times a year, but you put money in "&amp;C9&amp;" times a year."</f>
        <v>Savings Plan that compounds interest 365 times a year, but you put money in 12 times a year.</v>
      </c>
      <c r="C1" s="94"/>
      <c r="D1" s="95"/>
      <c r="E1" s="92"/>
    </row>
    <row r="2" spans="1:5" x14ac:dyDescent="0.3">
      <c r="B2" s="1" t="s">
        <v>83</v>
      </c>
      <c r="C2" s="1">
        <v>-250</v>
      </c>
    </row>
    <row r="3" spans="1:5" x14ac:dyDescent="0.3">
      <c r="B3" s="1" t="s">
        <v>84</v>
      </c>
      <c r="C3" s="1">
        <v>25</v>
      </c>
    </row>
    <row r="4" spans="1:5" x14ac:dyDescent="0.3">
      <c r="B4" s="1" t="s">
        <v>85</v>
      </c>
      <c r="C4" s="1">
        <v>365</v>
      </c>
    </row>
    <row r="5" spans="1:5" x14ac:dyDescent="0.3">
      <c r="B5" s="1" t="s">
        <v>56</v>
      </c>
      <c r="C5" s="1">
        <v>0.08</v>
      </c>
    </row>
    <row r="6" spans="1:5" x14ac:dyDescent="0.3">
      <c r="B6" s="1" t="s">
        <v>86</v>
      </c>
      <c r="C6" s="1">
        <v>0</v>
      </c>
    </row>
    <row r="7" spans="1:5" x14ac:dyDescent="0.3">
      <c r="E7" t="s">
        <v>87</v>
      </c>
    </row>
    <row r="8" spans="1:5" x14ac:dyDescent="0.3">
      <c r="A8" s="1">
        <v>1</v>
      </c>
      <c r="B8" s="1" t="s">
        <v>88</v>
      </c>
      <c r="C8" s="31">
        <f>EFFECT(C5,C4)</f>
        <v>8.3277571792814031E-2</v>
      </c>
      <c r="E8" s="49">
        <f>(1+C5/C4)^C4-1</f>
        <v>8.3277571792814031E-2</v>
      </c>
    </row>
    <row r="9" spans="1:5" x14ac:dyDescent="0.3">
      <c r="B9" s="1" t="s">
        <v>89</v>
      </c>
      <c r="C9" s="1">
        <v>12</v>
      </c>
      <c r="E9" t="s">
        <v>87</v>
      </c>
    </row>
    <row r="10" spans="1:5" x14ac:dyDescent="0.3">
      <c r="A10" s="1">
        <v>2</v>
      </c>
      <c r="B10" s="1" t="s">
        <v>90</v>
      </c>
      <c r="C10" s="31">
        <f>NOMINAL(C8,C9)</f>
        <v>8.0258435774824832E-2</v>
      </c>
      <c r="E10">
        <f>(((1+C5/C4)^C4)^(1/C9)-1)*C9</f>
        <v>8.0258435774824832E-2</v>
      </c>
    </row>
    <row r="11" spans="1:5" x14ac:dyDescent="0.3">
      <c r="A11" s="1">
        <v>3</v>
      </c>
      <c r="B11" s="1" t="s">
        <v>91</v>
      </c>
      <c r="C11" s="31">
        <f>C10/C9</f>
        <v>6.6882029812354027E-3</v>
      </c>
      <c r="E11">
        <f>((0.08327757+1)^(1/12) -1)*12</f>
        <v>8.0258434108765542E-2</v>
      </c>
    </row>
    <row r="12" spans="1:5" x14ac:dyDescent="0.3">
      <c r="A12" s="1">
        <v>4</v>
      </c>
      <c r="B12" s="1" t="s">
        <v>92</v>
      </c>
      <c r="C12" s="22">
        <f>FV(C11,C9*C3,C2)</f>
        <v>238757.59347195391</v>
      </c>
    </row>
    <row r="13" spans="1:5" x14ac:dyDescent="0.3">
      <c r="B13" s="1" t="s">
        <v>171</v>
      </c>
      <c r="C13" s="140">
        <f>C9*C3*C2</f>
        <v>-75000</v>
      </c>
    </row>
    <row r="15" spans="1:5" ht="28.8" x14ac:dyDescent="0.3">
      <c r="A15" s="1">
        <v>5</v>
      </c>
      <c r="B15" s="45" t="str">
        <f>IF(C12="","","If we have a Savings Plan that compounds interest "&amp;C4&amp;" times a year, but we put "&amp;DOLLAR(-C2)&amp;" in only "&amp;C9&amp;" times a year, the Future Value would be "&amp;DOLLAR(C12)&amp;".")</f>
        <v>If we have a Savings Plan that compounds interest 365 times a year, but we put $250.00 in only 12 times a year, the Future Value would be $238,757.59.</v>
      </c>
      <c r="C15" s="46"/>
      <c r="D15" s="46"/>
      <c r="E15" s="47"/>
    </row>
  </sheetData>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00FF"/>
  </sheetPr>
  <dimension ref="A1:G11"/>
  <sheetViews>
    <sheetView zoomScale="115" zoomScaleNormal="115" workbookViewId="0"/>
  </sheetViews>
  <sheetFormatPr defaultRowHeight="14.4" x14ac:dyDescent="0.3"/>
  <cols>
    <col min="1" max="1" width="27.109375" bestFit="1" customWidth="1"/>
    <col min="2" max="2" width="25" bestFit="1" customWidth="1"/>
    <col min="257" max="257" width="23.6640625" customWidth="1"/>
    <col min="258" max="258" width="25" bestFit="1" customWidth="1"/>
    <col min="513" max="513" width="23.6640625" customWidth="1"/>
    <col min="514" max="514" width="25" bestFit="1" customWidth="1"/>
    <col min="769" max="769" width="23.6640625" customWidth="1"/>
    <col min="770" max="770" width="25" bestFit="1" customWidth="1"/>
    <col min="1025" max="1025" width="23.6640625" customWidth="1"/>
    <col min="1026" max="1026" width="25" bestFit="1" customWidth="1"/>
    <col min="1281" max="1281" width="23.6640625" customWidth="1"/>
    <col min="1282" max="1282" width="25" bestFit="1" customWidth="1"/>
    <col min="1537" max="1537" width="23.6640625" customWidth="1"/>
    <col min="1538" max="1538" width="25" bestFit="1" customWidth="1"/>
    <col min="1793" max="1793" width="23.6640625" customWidth="1"/>
    <col min="1794" max="1794" width="25" bestFit="1" customWidth="1"/>
    <col min="2049" max="2049" width="23.6640625" customWidth="1"/>
    <col min="2050" max="2050" width="25" bestFit="1" customWidth="1"/>
    <col min="2305" max="2305" width="23.6640625" customWidth="1"/>
    <col min="2306" max="2306" width="25" bestFit="1" customWidth="1"/>
    <col min="2561" max="2561" width="23.6640625" customWidth="1"/>
    <col min="2562" max="2562" width="25" bestFit="1" customWidth="1"/>
    <col min="2817" max="2817" width="23.6640625" customWidth="1"/>
    <col min="2818" max="2818" width="25" bestFit="1" customWidth="1"/>
    <col min="3073" max="3073" width="23.6640625" customWidth="1"/>
    <col min="3074" max="3074" width="25" bestFit="1" customWidth="1"/>
    <col min="3329" max="3329" width="23.6640625" customWidth="1"/>
    <col min="3330" max="3330" width="25" bestFit="1" customWidth="1"/>
    <col min="3585" max="3585" width="23.6640625" customWidth="1"/>
    <col min="3586" max="3586" width="25" bestFit="1" customWidth="1"/>
    <col min="3841" max="3841" width="23.6640625" customWidth="1"/>
    <col min="3842" max="3842" width="25" bestFit="1" customWidth="1"/>
    <col min="4097" max="4097" width="23.6640625" customWidth="1"/>
    <col min="4098" max="4098" width="25" bestFit="1" customWidth="1"/>
    <col min="4353" max="4353" width="23.6640625" customWidth="1"/>
    <col min="4354" max="4354" width="25" bestFit="1" customWidth="1"/>
    <col min="4609" max="4609" width="23.6640625" customWidth="1"/>
    <col min="4610" max="4610" width="25" bestFit="1" customWidth="1"/>
    <col min="4865" max="4865" width="23.6640625" customWidth="1"/>
    <col min="4866" max="4866" width="25" bestFit="1" customWidth="1"/>
    <col min="5121" max="5121" width="23.6640625" customWidth="1"/>
    <col min="5122" max="5122" width="25" bestFit="1" customWidth="1"/>
    <col min="5377" max="5377" width="23.6640625" customWidth="1"/>
    <col min="5378" max="5378" width="25" bestFit="1" customWidth="1"/>
    <col min="5633" max="5633" width="23.6640625" customWidth="1"/>
    <col min="5634" max="5634" width="25" bestFit="1" customWidth="1"/>
    <col min="5889" max="5889" width="23.6640625" customWidth="1"/>
    <col min="5890" max="5890" width="25" bestFit="1" customWidth="1"/>
    <col min="6145" max="6145" width="23.6640625" customWidth="1"/>
    <col min="6146" max="6146" width="25" bestFit="1" customWidth="1"/>
    <col min="6401" max="6401" width="23.6640625" customWidth="1"/>
    <col min="6402" max="6402" width="25" bestFit="1" customWidth="1"/>
    <col min="6657" max="6657" width="23.6640625" customWidth="1"/>
    <col min="6658" max="6658" width="25" bestFit="1" customWidth="1"/>
    <col min="6913" max="6913" width="23.6640625" customWidth="1"/>
    <col min="6914" max="6914" width="25" bestFit="1" customWidth="1"/>
    <col min="7169" max="7169" width="23.6640625" customWidth="1"/>
    <col min="7170" max="7170" width="25" bestFit="1" customWidth="1"/>
    <col min="7425" max="7425" width="23.6640625" customWidth="1"/>
    <col min="7426" max="7426" width="25" bestFit="1" customWidth="1"/>
    <col min="7681" max="7681" width="23.6640625" customWidth="1"/>
    <col min="7682" max="7682" width="25" bestFit="1" customWidth="1"/>
    <col min="7937" max="7937" width="23.6640625" customWidth="1"/>
    <col min="7938" max="7938" width="25" bestFit="1" customWidth="1"/>
    <col min="8193" max="8193" width="23.6640625" customWidth="1"/>
    <col min="8194" max="8194" width="25" bestFit="1" customWidth="1"/>
    <col min="8449" max="8449" width="23.6640625" customWidth="1"/>
    <col min="8450" max="8450" width="25" bestFit="1" customWidth="1"/>
    <col min="8705" max="8705" width="23.6640625" customWidth="1"/>
    <col min="8706" max="8706" width="25" bestFit="1" customWidth="1"/>
    <col min="8961" max="8961" width="23.6640625" customWidth="1"/>
    <col min="8962" max="8962" width="25" bestFit="1" customWidth="1"/>
    <col min="9217" max="9217" width="23.6640625" customWidth="1"/>
    <col min="9218" max="9218" width="25" bestFit="1" customWidth="1"/>
    <col min="9473" max="9473" width="23.6640625" customWidth="1"/>
    <col min="9474" max="9474" width="25" bestFit="1" customWidth="1"/>
    <col min="9729" max="9729" width="23.6640625" customWidth="1"/>
    <col min="9730" max="9730" width="25" bestFit="1" customWidth="1"/>
    <col min="9985" max="9985" width="23.6640625" customWidth="1"/>
    <col min="9986" max="9986" width="25" bestFit="1" customWidth="1"/>
    <col min="10241" max="10241" width="23.6640625" customWidth="1"/>
    <col min="10242" max="10242" width="25" bestFit="1" customWidth="1"/>
    <col min="10497" max="10497" width="23.6640625" customWidth="1"/>
    <col min="10498" max="10498" width="25" bestFit="1" customWidth="1"/>
    <col min="10753" max="10753" width="23.6640625" customWidth="1"/>
    <col min="10754" max="10754" width="25" bestFit="1" customWidth="1"/>
    <col min="11009" max="11009" width="23.6640625" customWidth="1"/>
    <col min="11010" max="11010" width="25" bestFit="1" customWidth="1"/>
    <col min="11265" max="11265" width="23.6640625" customWidth="1"/>
    <col min="11266" max="11266" width="25" bestFit="1" customWidth="1"/>
    <col min="11521" max="11521" width="23.6640625" customWidth="1"/>
    <col min="11522" max="11522" width="25" bestFit="1" customWidth="1"/>
    <col min="11777" max="11777" width="23.6640625" customWidth="1"/>
    <col min="11778" max="11778" width="25" bestFit="1" customWidth="1"/>
    <col min="12033" max="12033" width="23.6640625" customWidth="1"/>
    <col min="12034" max="12034" width="25" bestFit="1" customWidth="1"/>
    <col min="12289" max="12289" width="23.6640625" customWidth="1"/>
    <col min="12290" max="12290" width="25" bestFit="1" customWidth="1"/>
    <col min="12545" max="12545" width="23.6640625" customWidth="1"/>
    <col min="12546" max="12546" width="25" bestFit="1" customWidth="1"/>
    <col min="12801" max="12801" width="23.6640625" customWidth="1"/>
    <col min="12802" max="12802" width="25" bestFit="1" customWidth="1"/>
    <col min="13057" max="13057" width="23.6640625" customWidth="1"/>
    <col min="13058" max="13058" width="25" bestFit="1" customWidth="1"/>
    <col min="13313" max="13313" width="23.6640625" customWidth="1"/>
    <col min="13314" max="13314" width="25" bestFit="1" customWidth="1"/>
    <col min="13569" max="13569" width="23.6640625" customWidth="1"/>
    <col min="13570" max="13570" width="25" bestFit="1" customWidth="1"/>
    <col min="13825" max="13825" width="23.6640625" customWidth="1"/>
    <col min="13826" max="13826" width="25" bestFit="1" customWidth="1"/>
    <col min="14081" max="14081" width="23.6640625" customWidth="1"/>
    <col min="14082" max="14082" width="25" bestFit="1" customWidth="1"/>
    <col min="14337" max="14337" width="23.6640625" customWidth="1"/>
    <col min="14338" max="14338" width="25" bestFit="1" customWidth="1"/>
    <col min="14593" max="14593" width="23.6640625" customWidth="1"/>
    <col min="14594" max="14594" width="25" bestFit="1" customWidth="1"/>
    <col min="14849" max="14849" width="23.6640625" customWidth="1"/>
    <col min="14850" max="14850" width="25" bestFit="1" customWidth="1"/>
    <col min="15105" max="15105" width="23.6640625" customWidth="1"/>
    <col min="15106" max="15106" width="25" bestFit="1" customWidth="1"/>
    <col min="15361" max="15361" width="23.6640625" customWidth="1"/>
    <col min="15362" max="15362" width="25" bestFit="1" customWidth="1"/>
    <col min="15617" max="15617" width="23.6640625" customWidth="1"/>
    <col min="15618" max="15618" width="25" bestFit="1" customWidth="1"/>
    <col min="15873" max="15873" width="23.6640625" customWidth="1"/>
    <col min="15874" max="15874" width="25" bestFit="1" customWidth="1"/>
    <col min="16129" max="16129" width="23.6640625" customWidth="1"/>
    <col min="16130" max="16130" width="25" bestFit="1" customWidth="1"/>
  </cols>
  <sheetData>
    <row r="1" spans="1:7" ht="28.8" x14ac:dyDescent="0.3">
      <c r="A1" s="25" t="s">
        <v>93</v>
      </c>
      <c r="B1" s="25"/>
      <c r="C1" s="25"/>
      <c r="D1" s="25"/>
    </row>
    <row r="2" spans="1:7" x14ac:dyDescent="0.3">
      <c r="A2" s="1" t="s">
        <v>94</v>
      </c>
      <c r="B2" s="50">
        <v>1000000</v>
      </c>
    </row>
    <row r="3" spans="1:7" x14ac:dyDescent="0.3">
      <c r="A3" s="1" t="s">
        <v>56</v>
      </c>
      <c r="B3" s="97">
        <v>7.0000000000000007E-2</v>
      </c>
    </row>
    <row r="4" spans="1:7" x14ac:dyDescent="0.3">
      <c r="A4" s="1" t="s">
        <v>38</v>
      </c>
      <c r="B4" s="1">
        <v>12</v>
      </c>
    </row>
    <row r="5" spans="1:7" x14ac:dyDescent="0.3">
      <c r="A5" s="1" t="s">
        <v>76</v>
      </c>
      <c r="B5" s="1">
        <v>40</v>
      </c>
    </row>
    <row r="6" spans="1:7" x14ac:dyDescent="0.3">
      <c r="A6" s="1" t="s">
        <v>95</v>
      </c>
      <c r="B6" s="98"/>
    </row>
    <row r="7" spans="1:7" x14ac:dyDescent="0.3">
      <c r="A7" s="1" t="s">
        <v>6</v>
      </c>
      <c r="B7" s="31"/>
    </row>
    <row r="8" spans="1:7" x14ac:dyDescent="0.3">
      <c r="A8" s="1" t="s">
        <v>157</v>
      </c>
      <c r="B8" s="1"/>
    </row>
    <row r="9" spans="1:7" x14ac:dyDescent="0.3">
      <c r="A9" s="1" t="s">
        <v>96</v>
      </c>
      <c r="B9" s="44"/>
    </row>
    <row r="10" spans="1:7" x14ac:dyDescent="0.3">
      <c r="A10" s="1" t="s">
        <v>96</v>
      </c>
      <c r="B10" s="51"/>
    </row>
    <row r="11" spans="1:7" ht="43.2" x14ac:dyDescent="0.3">
      <c r="A11" s="1" t="s">
        <v>81</v>
      </c>
      <c r="B11" s="45" t="str">
        <f>IF(B10="","","If I want to be a millionaire and I do not like the odds given in the lottery or getting a big inheritance, my next option would be to invest "&amp;DOLLAR(-B10)&amp;" at the "&amp;IF(B8=0,"end",IF(B8=1,"beginning",""))&amp;" of each Period (where i ="&amp;TEXT(B3,"0.00%")&amp;", n = "&amp;B4&amp;", x = "&amp;B5&amp;"). ")</f>
        <v/>
      </c>
      <c r="C11" s="46"/>
      <c r="D11" s="46"/>
      <c r="E11" s="46"/>
      <c r="F11" s="46"/>
      <c r="G11" s="47"/>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G11"/>
  <sheetViews>
    <sheetView zoomScale="115" zoomScaleNormal="115" workbookViewId="0"/>
  </sheetViews>
  <sheetFormatPr defaultRowHeight="14.4" x14ac:dyDescent="0.3"/>
  <cols>
    <col min="1" max="1" width="27.109375" bestFit="1" customWidth="1"/>
    <col min="2" max="2" width="26.109375" bestFit="1" customWidth="1"/>
    <col min="257" max="257" width="23.6640625" customWidth="1"/>
    <col min="258" max="258" width="25" bestFit="1" customWidth="1"/>
    <col min="513" max="513" width="23.6640625" customWidth="1"/>
    <col min="514" max="514" width="25" bestFit="1" customWidth="1"/>
    <col min="769" max="769" width="23.6640625" customWidth="1"/>
    <col min="770" max="770" width="25" bestFit="1" customWidth="1"/>
    <col min="1025" max="1025" width="23.6640625" customWidth="1"/>
    <col min="1026" max="1026" width="25" bestFit="1" customWidth="1"/>
    <col min="1281" max="1281" width="23.6640625" customWidth="1"/>
    <col min="1282" max="1282" width="25" bestFit="1" customWidth="1"/>
    <col min="1537" max="1537" width="23.6640625" customWidth="1"/>
    <col min="1538" max="1538" width="25" bestFit="1" customWidth="1"/>
    <col min="1793" max="1793" width="23.6640625" customWidth="1"/>
    <col min="1794" max="1794" width="25" bestFit="1" customWidth="1"/>
    <col min="2049" max="2049" width="23.6640625" customWidth="1"/>
    <col min="2050" max="2050" width="25" bestFit="1" customWidth="1"/>
    <col min="2305" max="2305" width="23.6640625" customWidth="1"/>
    <col min="2306" max="2306" width="25" bestFit="1" customWidth="1"/>
    <col min="2561" max="2561" width="23.6640625" customWidth="1"/>
    <col min="2562" max="2562" width="25" bestFit="1" customWidth="1"/>
    <col min="2817" max="2817" width="23.6640625" customWidth="1"/>
    <col min="2818" max="2818" width="25" bestFit="1" customWidth="1"/>
    <col min="3073" max="3073" width="23.6640625" customWidth="1"/>
    <col min="3074" max="3074" width="25" bestFit="1" customWidth="1"/>
    <col min="3329" max="3329" width="23.6640625" customWidth="1"/>
    <col min="3330" max="3330" width="25" bestFit="1" customWidth="1"/>
    <col min="3585" max="3585" width="23.6640625" customWidth="1"/>
    <col min="3586" max="3586" width="25" bestFit="1" customWidth="1"/>
    <col min="3841" max="3841" width="23.6640625" customWidth="1"/>
    <col min="3842" max="3842" width="25" bestFit="1" customWidth="1"/>
    <col min="4097" max="4097" width="23.6640625" customWidth="1"/>
    <col min="4098" max="4098" width="25" bestFit="1" customWidth="1"/>
    <col min="4353" max="4353" width="23.6640625" customWidth="1"/>
    <col min="4354" max="4354" width="25" bestFit="1" customWidth="1"/>
    <col min="4609" max="4609" width="23.6640625" customWidth="1"/>
    <col min="4610" max="4610" width="25" bestFit="1" customWidth="1"/>
    <col min="4865" max="4865" width="23.6640625" customWidth="1"/>
    <col min="4866" max="4866" width="25" bestFit="1" customWidth="1"/>
    <col min="5121" max="5121" width="23.6640625" customWidth="1"/>
    <col min="5122" max="5122" width="25" bestFit="1" customWidth="1"/>
    <col min="5377" max="5377" width="23.6640625" customWidth="1"/>
    <col min="5378" max="5378" width="25" bestFit="1" customWidth="1"/>
    <col min="5633" max="5633" width="23.6640625" customWidth="1"/>
    <col min="5634" max="5634" width="25" bestFit="1" customWidth="1"/>
    <col min="5889" max="5889" width="23.6640625" customWidth="1"/>
    <col min="5890" max="5890" width="25" bestFit="1" customWidth="1"/>
    <col min="6145" max="6145" width="23.6640625" customWidth="1"/>
    <col min="6146" max="6146" width="25" bestFit="1" customWidth="1"/>
    <col min="6401" max="6401" width="23.6640625" customWidth="1"/>
    <col min="6402" max="6402" width="25" bestFit="1" customWidth="1"/>
    <col min="6657" max="6657" width="23.6640625" customWidth="1"/>
    <col min="6658" max="6658" width="25" bestFit="1" customWidth="1"/>
    <col min="6913" max="6913" width="23.6640625" customWidth="1"/>
    <col min="6914" max="6914" width="25" bestFit="1" customWidth="1"/>
    <col min="7169" max="7169" width="23.6640625" customWidth="1"/>
    <col min="7170" max="7170" width="25" bestFit="1" customWidth="1"/>
    <col min="7425" max="7425" width="23.6640625" customWidth="1"/>
    <col min="7426" max="7426" width="25" bestFit="1" customWidth="1"/>
    <col min="7681" max="7681" width="23.6640625" customWidth="1"/>
    <col min="7682" max="7682" width="25" bestFit="1" customWidth="1"/>
    <col min="7937" max="7937" width="23.6640625" customWidth="1"/>
    <col min="7938" max="7938" width="25" bestFit="1" customWidth="1"/>
    <col min="8193" max="8193" width="23.6640625" customWidth="1"/>
    <col min="8194" max="8194" width="25" bestFit="1" customWidth="1"/>
    <col min="8449" max="8449" width="23.6640625" customWidth="1"/>
    <col min="8450" max="8450" width="25" bestFit="1" customWidth="1"/>
    <col min="8705" max="8705" width="23.6640625" customWidth="1"/>
    <col min="8706" max="8706" width="25" bestFit="1" customWidth="1"/>
    <col min="8961" max="8961" width="23.6640625" customWidth="1"/>
    <col min="8962" max="8962" width="25" bestFit="1" customWidth="1"/>
    <col min="9217" max="9217" width="23.6640625" customWidth="1"/>
    <col min="9218" max="9218" width="25" bestFit="1" customWidth="1"/>
    <col min="9473" max="9473" width="23.6640625" customWidth="1"/>
    <col min="9474" max="9474" width="25" bestFit="1" customWidth="1"/>
    <col min="9729" max="9729" width="23.6640625" customWidth="1"/>
    <col min="9730" max="9730" width="25" bestFit="1" customWidth="1"/>
    <col min="9985" max="9985" width="23.6640625" customWidth="1"/>
    <col min="9986" max="9986" width="25" bestFit="1" customWidth="1"/>
    <col min="10241" max="10241" width="23.6640625" customWidth="1"/>
    <col min="10242" max="10242" width="25" bestFit="1" customWidth="1"/>
    <col min="10497" max="10497" width="23.6640625" customWidth="1"/>
    <col min="10498" max="10498" width="25" bestFit="1" customWidth="1"/>
    <col min="10753" max="10753" width="23.6640625" customWidth="1"/>
    <col min="10754" max="10754" width="25" bestFit="1" customWidth="1"/>
    <col min="11009" max="11009" width="23.6640625" customWidth="1"/>
    <col min="11010" max="11010" width="25" bestFit="1" customWidth="1"/>
    <col min="11265" max="11265" width="23.6640625" customWidth="1"/>
    <col min="11266" max="11266" width="25" bestFit="1" customWidth="1"/>
    <col min="11521" max="11521" width="23.6640625" customWidth="1"/>
    <col min="11522" max="11522" width="25" bestFit="1" customWidth="1"/>
    <col min="11777" max="11777" width="23.6640625" customWidth="1"/>
    <col min="11778" max="11778" width="25" bestFit="1" customWidth="1"/>
    <col min="12033" max="12033" width="23.6640625" customWidth="1"/>
    <col min="12034" max="12034" width="25" bestFit="1" customWidth="1"/>
    <col min="12289" max="12289" width="23.6640625" customWidth="1"/>
    <col min="12290" max="12290" width="25" bestFit="1" customWidth="1"/>
    <col min="12545" max="12545" width="23.6640625" customWidth="1"/>
    <col min="12546" max="12546" width="25" bestFit="1" customWidth="1"/>
    <col min="12801" max="12801" width="23.6640625" customWidth="1"/>
    <col min="12802" max="12802" width="25" bestFit="1" customWidth="1"/>
    <col min="13057" max="13057" width="23.6640625" customWidth="1"/>
    <col min="13058" max="13058" width="25" bestFit="1" customWidth="1"/>
    <col min="13313" max="13313" width="23.6640625" customWidth="1"/>
    <col min="13314" max="13314" width="25" bestFit="1" customWidth="1"/>
    <col min="13569" max="13569" width="23.6640625" customWidth="1"/>
    <col min="13570" max="13570" width="25" bestFit="1" customWidth="1"/>
    <col min="13825" max="13825" width="23.6640625" customWidth="1"/>
    <col min="13826" max="13826" width="25" bestFit="1" customWidth="1"/>
    <col min="14081" max="14081" width="23.6640625" customWidth="1"/>
    <col min="14082" max="14082" width="25" bestFit="1" customWidth="1"/>
    <col min="14337" max="14337" width="23.6640625" customWidth="1"/>
    <col min="14338" max="14338" width="25" bestFit="1" customWidth="1"/>
    <col min="14593" max="14593" width="23.6640625" customWidth="1"/>
    <col min="14594" max="14594" width="25" bestFit="1" customWidth="1"/>
    <col min="14849" max="14849" width="23.6640625" customWidth="1"/>
    <col min="14850" max="14850" width="25" bestFit="1" customWidth="1"/>
    <col min="15105" max="15105" width="23.6640625" customWidth="1"/>
    <col min="15106" max="15106" width="25" bestFit="1" customWidth="1"/>
    <col min="15361" max="15361" width="23.6640625" customWidth="1"/>
    <col min="15362" max="15362" width="25" bestFit="1" customWidth="1"/>
    <col min="15617" max="15617" width="23.6640625" customWidth="1"/>
    <col min="15618" max="15618" width="25" bestFit="1" customWidth="1"/>
    <col min="15873" max="15873" width="23.6640625" customWidth="1"/>
    <col min="15874" max="15874" width="25" bestFit="1" customWidth="1"/>
    <col min="16129" max="16129" width="23.6640625" customWidth="1"/>
    <col min="16130" max="16130" width="25" bestFit="1" customWidth="1"/>
  </cols>
  <sheetData>
    <row r="1" spans="1:7" ht="28.8" x14ac:dyDescent="0.3">
      <c r="A1" s="25" t="s">
        <v>93</v>
      </c>
      <c r="B1" s="25"/>
      <c r="C1" s="25"/>
      <c r="D1" s="25"/>
    </row>
    <row r="2" spans="1:7" x14ac:dyDescent="0.3">
      <c r="A2" s="1" t="s">
        <v>94</v>
      </c>
      <c r="B2" s="50">
        <v>1000000</v>
      </c>
    </row>
    <row r="3" spans="1:7" x14ac:dyDescent="0.3">
      <c r="A3" s="1" t="s">
        <v>56</v>
      </c>
      <c r="B3" s="97">
        <v>0.1</v>
      </c>
    </row>
    <row r="4" spans="1:7" x14ac:dyDescent="0.3">
      <c r="A4" s="1" t="s">
        <v>38</v>
      </c>
      <c r="B4" s="1">
        <v>12</v>
      </c>
    </row>
    <row r="5" spans="1:7" x14ac:dyDescent="0.3">
      <c r="A5" s="1" t="s">
        <v>76</v>
      </c>
      <c r="B5" s="1">
        <v>40</v>
      </c>
    </row>
    <row r="6" spans="1:7" x14ac:dyDescent="0.3">
      <c r="A6" s="1" t="s">
        <v>95</v>
      </c>
      <c r="B6" s="98">
        <f>B3/B4</f>
        <v>8.3333333333333332E-3</v>
      </c>
    </row>
    <row r="7" spans="1:7" x14ac:dyDescent="0.3">
      <c r="A7" s="1" t="s">
        <v>6</v>
      </c>
      <c r="B7" s="31">
        <f>B5*B4</f>
        <v>480</v>
      </c>
    </row>
    <row r="8" spans="1:7" x14ac:dyDescent="0.3">
      <c r="A8" s="1" t="s">
        <v>157</v>
      </c>
      <c r="B8" s="1"/>
    </row>
    <row r="9" spans="1:7" x14ac:dyDescent="0.3">
      <c r="A9" s="1" t="s">
        <v>96</v>
      </c>
      <c r="B9" s="44">
        <f>B2/(((1+B6)^B7-1)/B6)</f>
        <v>158.12577738855845</v>
      </c>
    </row>
    <row r="10" spans="1:7" x14ac:dyDescent="0.3">
      <c r="A10" s="1" t="s">
        <v>96</v>
      </c>
      <c r="B10" s="51">
        <f>PMT(B6,B7,,B2)</f>
        <v>-158.12577738855518</v>
      </c>
    </row>
    <row r="11" spans="1:7" ht="43.2" x14ac:dyDescent="0.3">
      <c r="A11" s="1" t="s">
        <v>81</v>
      </c>
      <c r="B11" s="52" t="str">
        <f>IF(B10="","","If I want to be a millionaire and I do not like the odds given in the lottery or getting a big inheritance, my next option would be to invest "&amp;DOLLAR(-B10)&amp;" at the "&amp;IF(B8=0,"end",IF(B8=1,"beginning",""))&amp;" of each Period (where i ="&amp;TEXT(B3,"0.00%")&amp;", n = "&amp;B4&amp;", x = "&amp;B5&amp;"). ")</f>
        <v xml:space="preserve">If I want to be a millionaire and I do not like the odds given in the lottery or getting a big inheritance, my next option would be to invest $158.13 at the end of each Period (where i =10.00%, n = 12, x = 40). </v>
      </c>
      <c r="C11" s="33"/>
      <c r="D11" s="33"/>
      <c r="E11" s="33"/>
      <c r="F11" s="33"/>
      <c r="G11" s="33"/>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00FF"/>
  </sheetPr>
  <dimension ref="A1:I11"/>
  <sheetViews>
    <sheetView zoomScale="130" zoomScaleNormal="130" workbookViewId="0"/>
  </sheetViews>
  <sheetFormatPr defaultRowHeight="14.4" x14ac:dyDescent="0.3"/>
  <cols>
    <col min="1" max="1" width="27.109375" bestFit="1" customWidth="1"/>
    <col min="2" max="2" width="25" bestFit="1" customWidth="1"/>
    <col min="3" max="7" width="8.33203125" customWidth="1"/>
    <col min="8" max="8" width="11.88671875" bestFit="1" customWidth="1"/>
    <col min="9" max="9" width="13.109375" bestFit="1" customWidth="1"/>
    <col min="257" max="257" width="19.33203125" bestFit="1" customWidth="1"/>
    <col min="258" max="258" width="25" bestFit="1" customWidth="1"/>
    <col min="259" max="259" width="12.44140625" bestFit="1" customWidth="1"/>
    <col min="261" max="261" width="11.88671875" bestFit="1" customWidth="1"/>
    <col min="262" max="262" width="13.109375" bestFit="1" customWidth="1"/>
    <col min="264" max="264" width="11.88671875" bestFit="1" customWidth="1"/>
    <col min="265" max="265" width="13.109375" bestFit="1" customWidth="1"/>
    <col min="513" max="513" width="19.33203125" bestFit="1" customWidth="1"/>
    <col min="514" max="514" width="25" bestFit="1" customWidth="1"/>
    <col min="515" max="515" width="12.44140625" bestFit="1" customWidth="1"/>
    <col min="517" max="517" width="11.88671875" bestFit="1" customWidth="1"/>
    <col min="518" max="518" width="13.109375" bestFit="1" customWidth="1"/>
    <col min="520" max="520" width="11.88671875" bestFit="1" customWidth="1"/>
    <col min="521" max="521" width="13.109375" bestFit="1" customWidth="1"/>
    <col min="769" max="769" width="19.33203125" bestFit="1" customWidth="1"/>
    <col min="770" max="770" width="25" bestFit="1" customWidth="1"/>
    <col min="771" max="771" width="12.44140625" bestFit="1" customWidth="1"/>
    <col min="773" max="773" width="11.88671875" bestFit="1" customWidth="1"/>
    <col min="774" max="774" width="13.109375" bestFit="1" customWidth="1"/>
    <col min="776" max="776" width="11.88671875" bestFit="1" customWidth="1"/>
    <col min="777" max="777" width="13.109375" bestFit="1" customWidth="1"/>
    <col min="1025" max="1025" width="19.33203125" bestFit="1" customWidth="1"/>
    <col min="1026" max="1026" width="25" bestFit="1" customWidth="1"/>
    <col min="1027" max="1027" width="12.44140625" bestFit="1" customWidth="1"/>
    <col min="1029" max="1029" width="11.88671875" bestFit="1" customWidth="1"/>
    <col min="1030" max="1030" width="13.109375" bestFit="1" customWidth="1"/>
    <col min="1032" max="1032" width="11.88671875" bestFit="1" customWidth="1"/>
    <col min="1033" max="1033" width="13.109375" bestFit="1" customWidth="1"/>
    <col min="1281" max="1281" width="19.33203125" bestFit="1" customWidth="1"/>
    <col min="1282" max="1282" width="25" bestFit="1" customWidth="1"/>
    <col min="1283" max="1283" width="12.44140625" bestFit="1" customWidth="1"/>
    <col min="1285" max="1285" width="11.88671875" bestFit="1" customWidth="1"/>
    <col min="1286" max="1286" width="13.109375" bestFit="1" customWidth="1"/>
    <col min="1288" max="1288" width="11.88671875" bestFit="1" customWidth="1"/>
    <col min="1289" max="1289" width="13.109375" bestFit="1" customWidth="1"/>
    <col min="1537" max="1537" width="19.33203125" bestFit="1" customWidth="1"/>
    <col min="1538" max="1538" width="25" bestFit="1" customWidth="1"/>
    <col min="1539" max="1539" width="12.44140625" bestFit="1" customWidth="1"/>
    <col min="1541" max="1541" width="11.88671875" bestFit="1" customWidth="1"/>
    <col min="1542" max="1542" width="13.109375" bestFit="1" customWidth="1"/>
    <col min="1544" max="1544" width="11.88671875" bestFit="1" customWidth="1"/>
    <col min="1545" max="1545" width="13.109375" bestFit="1" customWidth="1"/>
    <col min="1793" max="1793" width="19.33203125" bestFit="1" customWidth="1"/>
    <col min="1794" max="1794" width="25" bestFit="1" customWidth="1"/>
    <col min="1795" max="1795" width="12.44140625" bestFit="1" customWidth="1"/>
    <col min="1797" max="1797" width="11.88671875" bestFit="1" customWidth="1"/>
    <col min="1798" max="1798" width="13.109375" bestFit="1" customWidth="1"/>
    <col min="1800" max="1800" width="11.88671875" bestFit="1" customWidth="1"/>
    <col min="1801" max="1801" width="13.109375" bestFit="1" customWidth="1"/>
    <col min="2049" max="2049" width="19.33203125" bestFit="1" customWidth="1"/>
    <col min="2050" max="2050" width="25" bestFit="1" customWidth="1"/>
    <col min="2051" max="2051" width="12.44140625" bestFit="1" customWidth="1"/>
    <col min="2053" max="2053" width="11.88671875" bestFit="1" customWidth="1"/>
    <col min="2054" max="2054" width="13.109375" bestFit="1" customWidth="1"/>
    <col min="2056" max="2056" width="11.88671875" bestFit="1" customWidth="1"/>
    <col min="2057" max="2057" width="13.109375" bestFit="1" customWidth="1"/>
    <col min="2305" max="2305" width="19.33203125" bestFit="1" customWidth="1"/>
    <col min="2306" max="2306" width="25" bestFit="1" customWidth="1"/>
    <col min="2307" max="2307" width="12.44140625" bestFit="1" customWidth="1"/>
    <col min="2309" max="2309" width="11.88671875" bestFit="1" customWidth="1"/>
    <col min="2310" max="2310" width="13.109375" bestFit="1" customWidth="1"/>
    <col min="2312" max="2312" width="11.88671875" bestFit="1" customWidth="1"/>
    <col min="2313" max="2313" width="13.109375" bestFit="1" customWidth="1"/>
    <col min="2561" max="2561" width="19.33203125" bestFit="1" customWidth="1"/>
    <col min="2562" max="2562" width="25" bestFit="1" customWidth="1"/>
    <col min="2563" max="2563" width="12.44140625" bestFit="1" customWidth="1"/>
    <col min="2565" max="2565" width="11.88671875" bestFit="1" customWidth="1"/>
    <col min="2566" max="2566" width="13.109375" bestFit="1" customWidth="1"/>
    <col min="2568" max="2568" width="11.88671875" bestFit="1" customWidth="1"/>
    <col min="2569" max="2569" width="13.109375" bestFit="1" customWidth="1"/>
    <col min="2817" max="2817" width="19.33203125" bestFit="1" customWidth="1"/>
    <col min="2818" max="2818" width="25" bestFit="1" customWidth="1"/>
    <col min="2819" max="2819" width="12.44140625" bestFit="1" customWidth="1"/>
    <col min="2821" max="2821" width="11.88671875" bestFit="1" customWidth="1"/>
    <col min="2822" max="2822" width="13.109375" bestFit="1" customWidth="1"/>
    <col min="2824" max="2824" width="11.88671875" bestFit="1" customWidth="1"/>
    <col min="2825" max="2825" width="13.109375" bestFit="1" customWidth="1"/>
    <col min="3073" max="3073" width="19.33203125" bestFit="1" customWidth="1"/>
    <col min="3074" max="3074" width="25" bestFit="1" customWidth="1"/>
    <col min="3075" max="3075" width="12.44140625" bestFit="1" customWidth="1"/>
    <col min="3077" max="3077" width="11.88671875" bestFit="1" customWidth="1"/>
    <col min="3078" max="3078" width="13.109375" bestFit="1" customWidth="1"/>
    <col min="3080" max="3080" width="11.88671875" bestFit="1" customWidth="1"/>
    <col min="3081" max="3081" width="13.109375" bestFit="1" customWidth="1"/>
    <col min="3329" max="3329" width="19.33203125" bestFit="1" customWidth="1"/>
    <col min="3330" max="3330" width="25" bestFit="1" customWidth="1"/>
    <col min="3331" max="3331" width="12.44140625" bestFit="1" customWidth="1"/>
    <col min="3333" max="3333" width="11.88671875" bestFit="1" customWidth="1"/>
    <col min="3334" max="3334" width="13.109375" bestFit="1" customWidth="1"/>
    <col min="3336" max="3336" width="11.88671875" bestFit="1" customWidth="1"/>
    <col min="3337" max="3337" width="13.109375" bestFit="1" customWidth="1"/>
    <col min="3585" max="3585" width="19.33203125" bestFit="1" customWidth="1"/>
    <col min="3586" max="3586" width="25" bestFit="1" customWidth="1"/>
    <col min="3587" max="3587" width="12.44140625" bestFit="1" customWidth="1"/>
    <col min="3589" max="3589" width="11.88671875" bestFit="1" customWidth="1"/>
    <col min="3590" max="3590" width="13.109375" bestFit="1" customWidth="1"/>
    <col min="3592" max="3592" width="11.88671875" bestFit="1" customWidth="1"/>
    <col min="3593" max="3593" width="13.109375" bestFit="1" customWidth="1"/>
    <col min="3841" max="3841" width="19.33203125" bestFit="1" customWidth="1"/>
    <col min="3842" max="3842" width="25" bestFit="1" customWidth="1"/>
    <col min="3843" max="3843" width="12.44140625" bestFit="1" customWidth="1"/>
    <col min="3845" max="3845" width="11.88671875" bestFit="1" customWidth="1"/>
    <col min="3846" max="3846" width="13.109375" bestFit="1" customWidth="1"/>
    <col min="3848" max="3848" width="11.88671875" bestFit="1" customWidth="1"/>
    <col min="3849" max="3849" width="13.109375" bestFit="1" customWidth="1"/>
    <col min="4097" max="4097" width="19.33203125" bestFit="1" customWidth="1"/>
    <col min="4098" max="4098" width="25" bestFit="1" customWidth="1"/>
    <col min="4099" max="4099" width="12.44140625" bestFit="1" customWidth="1"/>
    <col min="4101" max="4101" width="11.88671875" bestFit="1" customWidth="1"/>
    <col min="4102" max="4102" width="13.109375" bestFit="1" customWidth="1"/>
    <col min="4104" max="4104" width="11.88671875" bestFit="1" customWidth="1"/>
    <col min="4105" max="4105" width="13.109375" bestFit="1" customWidth="1"/>
    <col min="4353" max="4353" width="19.33203125" bestFit="1" customWidth="1"/>
    <col min="4354" max="4354" width="25" bestFit="1" customWidth="1"/>
    <col min="4355" max="4355" width="12.44140625" bestFit="1" customWidth="1"/>
    <col min="4357" max="4357" width="11.88671875" bestFit="1" customWidth="1"/>
    <col min="4358" max="4358" width="13.109375" bestFit="1" customWidth="1"/>
    <col min="4360" max="4360" width="11.88671875" bestFit="1" customWidth="1"/>
    <col min="4361" max="4361" width="13.109375" bestFit="1" customWidth="1"/>
    <col min="4609" max="4609" width="19.33203125" bestFit="1" customWidth="1"/>
    <col min="4610" max="4610" width="25" bestFit="1" customWidth="1"/>
    <col min="4611" max="4611" width="12.44140625" bestFit="1" customWidth="1"/>
    <col min="4613" max="4613" width="11.88671875" bestFit="1" customWidth="1"/>
    <col min="4614" max="4614" width="13.109375" bestFit="1" customWidth="1"/>
    <col min="4616" max="4616" width="11.88671875" bestFit="1" customWidth="1"/>
    <col min="4617" max="4617" width="13.109375" bestFit="1" customWidth="1"/>
    <col min="4865" max="4865" width="19.33203125" bestFit="1" customWidth="1"/>
    <col min="4866" max="4866" width="25" bestFit="1" customWidth="1"/>
    <col min="4867" max="4867" width="12.44140625" bestFit="1" customWidth="1"/>
    <col min="4869" max="4869" width="11.88671875" bestFit="1" customWidth="1"/>
    <col min="4870" max="4870" width="13.109375" bestFit="1" customWidth="1"/>
    <col min="4872" max="4872" width="11.88671875" bestFit="1" customWidth="1"/>
    <col min="4873" max="4873" width="13.109375" bestFit="1" customWidth="1"/>
    <col min="5121" max="5121" width="19.33203125" bestFit="1" customWidth="1"/>
    <col min="5122" max="5122" width="25" bestFit="1" customWidth="1"/>
    <col min="5123" max="5123" width="12.44140625" bestFit="1" customWidth="1"/>
    <col min="5125" max="5125" width="11.88671875" bestFit="1" customWidth="1"/>
    <col min="5126" max="5126" width="13.109375" bestFit="1" customWidth="1"/>
    <col min="5128" max="5128" width="11.88671875" bestFit="1" customWidth="1"/>
    <col min="5129" max="5129" width="13.109375" bestFit="1" customWidth="1"/>
    <col min="5377" max="5377" width="19.33203125" bestFit="1" customWidth="1"/>
    <col min="5378" max="5378" width="25" bestFit="1" customWidth="1"/>
    <col min="5379" max="5379" width="12.44140625" bestFit="1" customWidth="1"/>
    <col min="5381" max="5381" width="11.88671875" bestFit="1" customWidth="1"/>
    <col min="5382" max="5382" width="13.109375" bestFit="1" customWidth="1"/>
    <col min="5384" max="5384" width="11.88671875" bestFit="1" customWidth="1"/>
    <col min="5385" max="5385" width="13.109375" bestFit="1" customWidth="1"/>
    <col min="5633" max="5633" width="19.33203125" bestFit="1" customWidth="1"/>
    <col min="5634" max="5634" width="25" bestFit="1" customWidth="1"/>
    <col min="5635" max="5635" width="12.44140625" bestFit="1" customWidth="1"/>
    <col min="5637" max="5637" width="11.88671875" bestFit="1" customWidth="1"/>
    <col min="5638" max="5638" width="13.109375" bestFit="1" customWidth="1"/>
    <col min="5640" max="5640" width="11.88671875" bestFit="1" customWidth="1"/>
    <col min="5641" max="5641" width="13.109375" bestFit="1" customWidth="1"/>
    <col min="5889" max="5889" width="19.33203125" bestFit="1" customWidth="1"/>
    <col min="5890" max="5890" width="25" bestFit="1" customWidth="1"/>
    <col min="5891" max="5891" width="12.44140625" bestFit="1" customWidth="1"/>
    <col min="5893" max="5893" width="11.88671875" bestFit="1" customWidth="1"/>
    <col min="5894" max="5894" width="13.109375" bestFit="1" customWidth="1"/>
    <col min="5896" max="5896" width="11.88671875" bestFit="1" customWidth="1"/>
    <col min="5897" max="5897" width="13.109375" bestFit="1" customWidth="1"/>
    <col min="6145" max="6145" width="19.33203125" bestFit="1" customWidth="1"/>
    <col min="6146" max="6146" width="25" bestFit="1" customWidth="1"/>
    <col min="6147" max="6147" width="12.44140625" bestFit="1" customWidth="1"/>
    <col min="6149" max="6149" width="11.88671875" bestFit="1" customWidth="1"/>
    <col min="6150" max="6150" width="13.109375" bestFit="1" customWidth="1"/>
    <col min="6152" max="6152" width="11.88671875" bestFit="1" customWidth="1"/>
    <col min="6153" max="6153" width="13.109375" bestFit="1" customWidth="1"/>
    <col min="6401" max="6401" width="19.33203125" bestFit="1" customWidth="1"/>
    <col min="6402" max="6402" width="25" bestFit="1" customWidth="1"/>
    <col min="6403" max="6403" width="12.44140625" bestFit="1" customWidth="1"/>
    <col min="6405" max="6405" width="11.88671875" bestFit="1" customWidth="1"/>
    <col min="6406" max="6406" width="13.109375" bestFit="1" customWidth="1"/>
    <col min="6408" max="6408" width="11.88671875" bestFit="1" customWidth="1"/>
    <col min="6409" max="6409" width="13.109375" bestFit="1" customWidth="1"/>
    <col min="6657" max="6657" width="19.33203125" bestFit="1" customWidth="1"/>
    <col min="6658" max="6658" width="25" bestFit="1" customWidth="1"/>
    <col min="6659" max="6659" width="12.44140625" bestFit="1" customWidth="1"/>
    <col min="6661" max="6661" width="11.88671875" bestFit="1" customWidth="1"/>
    <col min="6662" max="6662" width="13.109375" bestFit="1" customWidth="1"/>
    <col min="6664" max="6664" width="11.88671875" bestFit="1" customWidth="1"/>
    <col min="6665" max="6665" width="13.109375" bestFit="1" customWidth="1"/>
    <col min="6913" max="6913" width="19.33203125" bestFit="1" customWidth="1"/>
    <col min="6914" max="6914" width="25" bestFit="1" customWidth="1"/>
    <col min="6915" max="6915" width="12.44140625" bestFit="1" customWidth="1"/>
    <col min="6917" max="6917" width="11.88671875" bestFit="1" customWidth="1"/>
    <col min="6918" max="6918" width="13.109375" bestFit="1" customWidth="1"/>
    <col min="6920" max="6920" width="11.88671875" bestFit="1" customWidth="1"/>
    <col min="6921" max="6921" width="13.109375" bestFit="1" customWidth="1"/>
    <col min="7169" max="7169" width="19.33203125" bestFit="1" customWidth="1"/>
    <col min="7170" max="7170" width="25" bestFit="1" customWidth="1"/>
    <col min="7171" max="7171" width="12.44140625" bestFit="1" customWidth="1"/>
    <col min="7173" max="7173" width="11.88671875" bestFit="1" customWidth="1"/>
    <col min="7174" max="7174" width="13.109375" bestFit="1" customWidth="1"/>
    <col min="7176" max="7176" width="11.88671875" bestFit="1" customWidth="1"/>
    <col min="7177" max="7177" width="13.109375" bestFit="1" customWidth="1"/>
    <col min="7425" max="7425" width="19.33203125" bestFit="1" customWidth="1"/>
    <col min="7426" max="7426" width="25" bestFit="1" customWidth="1"/>
    <col min="7427" max="7427" width="12.44140625" bestFit="1" customWidth="1"/>
    <col min="7429" max="7429" width="11.88671875" bestFit="1" customWidth="1"/>
    <col min="7430" max="7430" width="13.109375" bestFit="1" customWidth="1"/>
    <col min="7432" max="7432" width="11.88671875" bestFit="1" customWidth="1"/>
    <col min="7433" max="7433" width="13.109375" bestFit="1" customWidth="1"/>
    <col min="7681" max="7681" width="19.33203125" bestFit="1" customWidth="1"/>
    <col min="7682" max="7682" width="25" bestFit="1" customWidth="1"/>
    <col min="7683" max="7683" width="12.44140625" bestFit="1" customWidth="1"/>
    <col min="7685" max="7685" width="11.88671875" bestFit="1" customWidth="1"/>
    <col min="7686" max="7686" width="13.109375" bestFit="1" customWidth="1"/>
    <col min="7688" max="7688" width="11.88671875" bestFit="1" customWidth="1"/>
    <col min="7689" max="7689" width="13.109375" bestFit="1" customWidth="1"/>
    <col min="7937" max="7937" width="19.33203125" bestFit="1" customWidth="1"/>
    <col min="7938" max="7938" width="25" bestFit="1" customWidth="1"/>
    <col min="7939" max="7939" width="12.44140625" bestFit="1" customWidth="1"/>
    <col min="7941" max="7941" width="11.88671875" bestFit="1" customWidth="1"/>
    <col min="7942" max="7942" width="13.109375" bestFit="1" customWidth="1"/>
    <col min="7944" max="7944" width="11.88671875" bestFit="1" customWidth="1"/>
    <col min="7945" max="7945" width="13.109375" bestFit="1" customWidth="1"/>
    <col min="8193" max="8193" width="19.33203125" bestFit="1" customWidth="1"/>
    <col min="8194" max="8194" width="25" bestFit="1" customWidth="1"/>
    <col min="8195" max="8195" width="12.44140625" bestFit="1" customWidth="1"/>
    <col min="8197" max="8197" width="11.88671875" bestFit="1" customWidth="1"/>
    <col min="8198" max="8198" width="13.109375" bestFit="1" customWidth="1"/>
    <col min="8200" max="8200" width="11.88671875" bestFit="1" customWidth="1"/>
    <col min="8201" max="8201" width="13.109375" bestFit="1" customWidth="1"/>
    <col min="8449" max="8449" width="19.33203125" bestFit="1" customWidth="1"/>
    <col min="8450" max="8450" width="25" bestFit="1" customWidth="1"/>
    <col min="8451" max="8451" width="12.44140625" bestFit="1" customWidth="1"/>
    <col min="8453" max="8453" width="11.88671875" bestFit="1" customWidth="1"/>
    <col min="8454" max="8454" width="13.109375" bestFit="1" customWidth="1"/>
    <col min="8456" max="8456" width="11.88671875" bestFit="1" customWidth="1"/>
    <col min="8457" max="8457" width="13.109375" bestFit="1" customWidth="1"/>
    <col min="8705" max="8705" width="19.33203125" bestFit="1" customWidth="1"/>
    <col min="8706" max="8706" width="25" bestFit="1" customWidth="1"/>
    <col min="8707" max="8707" width="12.44140625" bestFit="1" customWidth="1"/>
    <col min="8709" max="8709" width="11.88671875" bestFit="1" customWidth="1"/>
    <col min="8710" max="8710" width="13.109375" bestFit="1" customWidth="1"/>
    <col min="8712" max="8712" width="11.88671875" bestFit="1" customWidth="1"/>
    <col min="8713" max="8713" width="13.109375" bestFit="1" customWidth="1"/>
    <col min="8961" max="8961" width="19.33203125" bestFit="1" customWidth="1"/>
    <col min="8962" max="8962" width="25" bestFit="1" customWidth="1"/>
    <col min="8963" max="8963" width="12.44140625" bestFit="1" customWidth="1"/>
    <col min="8965" max="8965" width="11.88671875" bestFit="1" customWidth="1"/>
    <col min="8966" max="8966" width="13.109375" bestFit="1" customWidth="1"/>
    <col min="8968" max="8968" width="11.88671875" bestFit="1" customWidth="1"/>
    <col min="8969" max="8969" width="13.109375" bestFit="1" customWidth="1"/>
    <col min="9217" max="9217" width="19.33203125" bestFit="1" customWidth="1"/>
    <col min="9218" max="9218" width="25" bestFit="1" customWidth="1"/>
    <col min="9219" max="9219" width="12.44140625" bestFit="1" customWidth="1"/>
    <col min="9221" max="9221" width="11.88671875" bestFit="1" customWidth="1"/>
    <col min="9222" max="9222" width="13.109375" bestFit="1" customWidth="1"/>
    <col min="9224" max="9224" width="11.88671875" bestFit="1" customWidth="1"/>
    <col min="9225" max="9225" width="13.109375" bestFit="1" customWidth="1"/>
    <col min="9473" max="9473" width="19.33203125" bestFit="1" customWidth="1"/>
    <col min="9474" max="9474" width="25" bestFit="1" customWidth="1"/>
    <col min="9475" max="9475" width="12.44140625" bestFit="1" customWidth="1"/>
    <col min="9477" max="9477" width="11.88671875" bestFit="1" customWidth="1"/>
    <col min="9478" max="9478" width="13.109375" bestFit="1" customWidth="1"/>
    <col min="9480" max="9480" width="11.88671875" bestFit="1" customWidth="1"/>
    <col min="9481" max="9481" width="13.109375" bestFit="1" customWidth="1"/>
    <col min="9729" max="9729" width="19.33203125" bestFit="1" customWidth="1"/>
    <col min="9730" max="9730" width="25" bestFit="1" customWidth="1"/>
    <col min="9731" max="9731" width="12.44140625" bestFit="1" customWidth="1"/>
    <col min="9733" max="9733" width="11.88671875" bestFit="1" customWidth="1"/>
    <col min="9734" max="9734" width="13.109375" bestFit="1" customWidth="1"/>
    <col min="9736" max="9736" width="11.88671875" bestFit="1" customWidth="1"/>
    <col min="9737" max="9737" width="13.109375" bestFit="1" customWidth="1"/>
    <col min="9985" max="9985" width="19.33203125" bestFit="1" customWidth="1"/>
    <col min="9986" max="9986" width="25" bestFit="1" customWidth="1"/>
    <col min="9987" max="9987" width="12.44140625" bestFit="1" customWidth="1"/>
    <col min="9989" max="9989" width="11.88671875" bestFit="1" customWidth="1"/>
    <col min="9990" max="9990" width="13.109375" bestFit="1" customWidth="1"/>
    <col min="9992" max="9992" width="11.88671875" bestFit="1" customWidth="1"/>
    <col min="9993" max="9993" width="13.109375" bestFit="1" customWidth="1"/>
    <col min="10241" max="10241" width="19.33203125" bestFit="1" customWidth="1"/>
    <col min="10242" max="10242" width="25" bestFit="1" customWidth="1"/>
    <col min="10243" max="10243" width="12.44140625" bestFit="1" customWidth="1"/>
    <col min="10245" max="10245" width="11.88671875" bestFit="1" customWidth="1"/>
    <col min="10246" max="10246" width="13.109375" bestFit="1" customWidth="1"/>
    <col min="10248" max="10248" width="11.88671875" bestFit="1" customWidth="1"/>
    <col min="10249" max="10249" width="13.109375" bestFit="1" customWidth="1"/>
    <col min="10497" max="10497" width="19.33203125" bestFit="1" customWidth="1"/>
    <col min="10498" max="10498" width="25" bestFit="1" customWidth="1"/>
    <col min="10499" max="10499" width="12.44140625" bestFit="1" customWidth="1"/>
    <col min="10501" max="10501" width="11.88671875" bestFit="1" customWidth="1"/>
    <col min="10502" max="10502" width="13.109375" bestFit="1" customWidth="1"/>
    <col min="10504" max="10504" width="11.88671875" bestFit="1" customWidth="1"/>
    <col min="10505" max="10505" width="13.109375" bestFit="1" customWidth="1"/>
    <col min="10753" max="10753" width="19.33203125" bestFit="1" customWidth="1"/>
    <col min="10754" max="10754" width="25" bestFit="1" customWidth="1"/>
    <col min="10755" max="10755" width="12.44140625" bestFit="1" customWidth="1"/>
    <col min="10757" max="10757" width="11.88671875" bestFit="1" customWidth="1"/>
    <col min="10758" max="10758" width="13.109375" bestFit="1" customWidth="1"/>
    <col min="10760" max="10760" width="11.88671875" bestFit="1" customWidth="1"/>
    <col min="10761" max="10761" width="13.109375" bestFit="1" customWidth="1"/>
    <col min="11009" max="11009" width="19.33203125" bestFit="1" customWidth="1"/>
    <col min="11010" max="11010" width="25" bestFit="1" customWidth="1"/>
    <col min="11011" max="11011" width="12.44140625" bestFit="1" customWidth="1"/>
    <col min="11013" max="11013" width="11.88671875" bestFit="1" customWidth="1"/>
    <col min="11014" max="11014" width="13.109375" bestFit="1" customWidth="1"/>
    <col min="11016" max="11016" width="11.88671875" bestFit="1" customWidth="1"/>
    <col min="11017" max="11017" width="13.109375" bestFit="1" customWidth="1"/>
    <col min="11265" max="11265" width="19.33203125" bestFit="1" customWidth="1"/>
    <col min="11266" max="11266" width="25" bestFit="1" customWidth="1"/>
    <col min="11267" max="11267" width="12.44140625" bestFit="1" customWidth="1"/>
    <col min="11269" max="11269" width="11.88671875" bestFit="1" customWidth="1"/>
    <col min="11270" max="11270" width="13.109375" bestFit="1" customWidth="1"/>
    <col min="11272" max="11272" width="11.88671875" bestFit="1" customWidth="1"/>
    <col min="11273" max="11273" width="13.109375" bestFit="1" customWidth="1"/>
    <col min="11521" max="11521" width="19.33203125" bestFit="1" customWidth="1"/>
    <col min="11522" max="11522" width="25" bestFit="1" customWidth="1"/>
    <col min="11523" max="11523" width="12.44140625" bestFit="1" customWidth="1"/>
    <col min="11525" max="11525" width="11.88671875" bestFit="1" customWidth="1"/>
    <col min="11526" max="11526" width="13.109375" bestFit="1" customWidth="1"/>
    <col min="11528" max="11528" width="11.88671875" bestFit="1" customWidth="1"/>
    <col min="11529" max="11529" width="13.109375" bestFit="1" customWidth="1"/>
    <col min="11777" max="11777" width="19.33203125" bestFit="1" customWidth="1"/>
    <col min="11778" max="11778" width="25" bestFit="1" customWidth="1"/>
    <col min="11779" max="11779" width="12.44140625" bestFit="1" customWidth="1"/>
    <col min="11781" max="11781" width="11.88671875" bestFit="1" customWidth="1"/>
    <col min="11782" max="11782" width="13.109375" bestFit="1" customWidth="1"/>
    <col min="11784" max="11784" width="11.88671875" bestFit="1" customWidth="1"/>
    <col min="11785" max="11785" width="13.109375" bestFit="1" customWidth="1"/>
    <col min="12033" max="12033" width="19.33203125" bestFit="1" customWidth="1"/>
    <col min="12034" max="12034" width="25" bestFit="1" customWidth="1"/>
    <col min="12035" max="12035" width="12.44140625" bestFit="1" customWidth="1"/>
    <col min="12037" max="12037" width="11.88671875" bestFit="1" customWidth="1"/>
    <col min="12038" max="12038" width="13.109375" bestFit="1" customWidth="1"/>
    <col min="12040" max="12040" width="11.88671875" bestFit="1" customWidth="1"/>
    <col min="12041" max="12041" width="13.109375" bestFit="1" customWidth="1"/>
    <col min="12289" max="12289" width="19.33203125" bestFit="1" customWidth="1"/>
    <col min="12290" max="12290" width="25" bestFit="1" customWidth="1"/>
    <col min="12291" max="12291" width="12.44140625" bestFit="1" customWidth="1"/>
    <col min="12293" max="12293" width="11.88671875" bestFit="1" customWidth="1"/>
    <col min="12294" max="12294" width="13.109375" bestFit="1" customWidth="1"/>
    <col min="12296" max="12296" width="11.88671875" bestFit="1" customWidth="1"/>
    <col min="12297" max="12297" width="13.109375" bestFit="1" customWidth="1"/>
    <col min="12545" max="12545" width="19.33203125" bestFit="1" customWidth="1"/>
    <col min="12546" max="12546" width="25" bestFit="1" customWidth="1"/>
    <col min="12547" max="12547" width="12.44140625" bestFit="1" customWidth="1"/>
    <col min="12549" max="12549" width="11.88671875" bestFit="1" customWidth="1"/>
    <col min="12550" max="12550" width="13.109375" bestFit="1" customWidth="1"/>
    <col min="12552" max="12552" width="11.88671875" bestFit="1" customWidth="1"/>
    <col min="12553" max="12553" width="13.109375" bestFit="1" customWidth="1"/>
    <col min="12801" max="12801" width="19.33203125" bestFit="1" customWidth="1"/>
    <col min="12802" max="12802" width="25" bestFit="1" customWidth="1"/>
    <col min="12803" max="12803" width="12.44140625" bestFit="1" customWidth="1"/>
    <col min="12805" max="12805" width="11.88671875" bestFit="1" customWidth="1"/>
    <col min="12806" max="12806" width="13.109375" bestFit="1" customWidth="1"/>
    <col min="12808" max="12808" width="11.88671875" bestFit="1" customWidth="1"/>
    <col min="12809" max="12809" width="13.109375" bestFit="1" customWidth="1"/>
    <col min="13057" max="13057" width="19.33203125" bestFit="1" customWidth="1"/>
    <col min="13058" max="13058" width="25" bestFit="1" customWidth="1"/>
    <col min="13059" max="13059" width="12.44140625" bestFit="1" customWidth="1"/>
    <col min="13061" max="13061" width="11.88671875" bestFit="1" customWidth="1"/>
    <col min="13062" max="13062" width="13.109375" bestFit="1" customWidth="1"/>
    <col min="13064" max="13064" width="11.88671875" bestFit="1" customWidth="1"/>
    <col min="13065" max="13065" width="13.109375" bestFit="1" customWidth="1"/>
    <col min="13313" max="13313" width="19.33203125" bestFit="1" customWidth="1"/>
    <col min="13314" max="13314" width="25" bestFit="1" customWidth="1"/>
    <col min="13315" max="13315" width="12.44140625" bestFit="1" customWidth="1"/>
    <col min="13317" max="13317" width="11.88671875" bestFit="1" customWidth="1"/>
    <col min="13318" max="13318" width="13.109375" bestFit="1" customWidth="1"/>
    <col min="13320" max="13320" width="11.88671875" bestFit="1" customWidth="1"/>
    <col min="13321" max="13321" width="13.109375" bestFit="1" customWidth="1"/>
    <col min="13569" max="13569" width="19.33203125" bestFit="1" customWidth="1"/>
    <col min="13570" max="13570" width="25" bestFit="1" customWidth="1"/>
    <col min="13571" max="13571" width="12.44140625" bestFit="1" customWidth="1"/>
    <col min="13573" max="13573" width="11.88671875" bestFit="1" customWidth="1"/>
    <col min="13574" max="13574" width="13.109375" bestFit="1" customWidth="1"/>
    <col min="13576" max="13576" width="11.88671875" bestFit="1" customWidth="1"/>
    <col min="13577" max="13577" width="13.109375" bestFit="1" customWidth="1"/>
    <col min="13825" max="13825" width="19.33203125" bestFit="1" customWidth="1"/>
    <col min="13826" max="13826" width="25" bestFit="1" customWidth="1"/>
    <col min="13827" max="13827" width="12.44140625" bestFit="1" customWidth="1"/>
    <col min="13829" max="13829" width="11.88671875" bestFit="1" customWidth="1"/>
    <col min="13830" max="13830" width="13.109375" bestFit="1" customWidth="1"/>
    <col min="13832" max="13832" width="11.88671875" bestFit="1" customWidth="1"/>
    <col min="13833" max="13833" width="13.109375" bestFit="1" customWidth="1"/>
    <col min="14081" max="14081" width="19.33203125" bestFit="1" customWidth="1"/>
    <col min="14082" max="14082" width="25" bestFit="1" customWidth="1"/>
    <col min="14083" max="14083" width="12.44140625" bestFit="1" customWidth="1"/>
    <col min="14085" max="14085" width="11.88671875" bestFit="1" customWidth="1"/>
    <col min="14086" max="14086" width="13.109375" bestFit="1" customWidth="1"/>
    <col min="14088" max="14088" width="11.88671875" bestFit="1" customWidth="1"/>
    <col min="14089" max="14089" width="13.109375" bestFit="1" customWidth="1"/>
    <col min="14337" max="14337" width="19.33203125" bestFit="1" customWidth="1"/>
    <col min="14338" max="14338" width="25" bestFit="1" customWidth="1"/>
    <col min="14339" max="14339" width="12.44140625" bestFit="1" customWidth="1"/>
    <col min="14341" max="14341" width="11.88671875" bestFit="1" customWidth="1"/>
    <col min="14342" max="14342" width="13.109375" bestFit="1" customWidth="1"/>
    <col min="14344" max="14344" width="11.88671875" bestFit="1" customWidth="1"/>
    <col min="14345" max="14345" width="13.109375" bestFit="1" customWidth="1"/>
    <col min="14593" max="14593" width="19.33203125" bestFit="1" customWidth="1"/>
    <col min="14594" max="14594" width="25" bestFit="1" customWidth="1"/>
    <col min="14595" max="14595" width="12.44140625" bestFit="1" customWidth="1"/>
    <col min="14597" max="14597" width="11.88671875" bestFit="1" customWidth="1"/>
    <col min="14598" max="14598" width="13.109375" bestFit="1" customWidth="1"/>
    <col min="14600" max="14600" width="11.88671875" bestFit="1" customWidth="1"/>
    <col min="14601" max="14601" width="13.109375" bestFit="1" customWidth="1"/>
    <col min="14849" max="14849" width="19.33203125" bestFit="1" customWidth="1"/>
    <col min="14850" max="14850" width="25" bestFit="1" customWidth="1"/>
    <col min="14851" max="14851" width="12.44140625" bestFit="1" customWidth="1"/>
    <col min="14853" max="14853" width="11.88671875" bestFit="1" customWidth="1"/>
    <col min="14854" max="14854" width="13.109375" bestFit="1" customWidth="1"/>
    <col min="14856" max="14856" width="11.88671875" bestFit="1" customWidth="1"/>
    <col min="14857" max="14857" width="13.109375" bestFit="1" customWidth="1"/>
    <col min="15105" max="15105" width="19.33203125" bestFit="1" customWidth="1"/>
    <col min="15106" max="15106" width="25" bestFit="1" customWidth="1"/>
    <col min="15107" max="15107" width="12.44140625" bestFit="1" customWidth="1"/>
    <col min="15109" max="15109" width="11.88671875" bestFit="1" customWidth="1"/>
    <col min="15110" max="15110" width="13.109375" bestFit="1" customWidth="1"/>
    <col min="15112" max="15112" width="11.88671875" bestFit="1" customWidth="1"/>
    <col min="15113" max="15113" width="13.109375" bestFit="1" customWidth="1"/>
    <col min="15361" max="15361" width="19.33203125" bestFit="1" customWidth="1"/>
    <col min="15362" max="15362" width="25" bestFit="1" customWidth="1"/>
    <col min="15363" max="15363" width="12.44140625" bestFit="1" customWidth="1"/>
    <col min="15365" max="15365" width="11.88671875" bestFit="1" customWidth="1"/>
    <col min="15366" max="15366" width="13.109375" bestFit="1" customWidth="1"/>
    <col min="15368" max="15368" width="11.88671875" bestFit="1" customWidth="1"/>
    <col min="15369" max="15369" width="13.109375" bestFit="1" customWidth="1"/>
    <col min="15617" max="15617" width="19.33203125" bestFit="1" customWidth="1"/>
    <col min="15618" max="15618" width="25" bestFit="1" customWidth="1"/>
    <col min="15619" max="15619" width="12.44140625" bestFit="1" customWidth="1"/>
    <col min="15621" max="15621" width="11.88671875" bestFit="1" customWidth="1"/>
    <col min="15622" max="15622" width="13.109375" bestFit="1" customWidth="1"/>
    <col min="15624" max="15624" width="11.88671875" bestFit="1" customWidth="1"/>
    <col min="15625" max="15625" width="13.109375" bestFit="1" customWidth="1"/>
    <col min="15873" max="15873" width="19.33203125" bestFit="1" customWidth="1"/>
    <col min="15874" max="15874" width="25" bestFit="1" customWidth="1"/>
    <col min="15875" max="15875" width="12.44140625" bestFit="1" customWidth="1"/>
    <col min="15877" max="15877" width="11.88671875" bestFit="1" customWidth="1"/>
    <col min="15878" max="15878" width="13.109375" bestFit="1" customWidth="1"/>
    <col min="15880" max="15880" width="11.88671875" bestFit="1" customWidth="1"/>
    <col min="15881" max="15881" width="13.109375" bestFit="1" customWidth="1"/>
    <col min="16129" max="16129" width="19.33203125" bestFit="1" customWidth="1"/>
    <col min="16130" max="16130" width="25" bestFit="1" customWidth="1"/>
    <col min="16131" max="16131" width="12.44140625" bestFit="1" customWidth="1"/>
    <col min="16133" max="16133" width="11.88671875" bestFit="1" customWidth="1"/>
    <col min="16134" max="16134" width="13.109375" bestFit="1" customWidth="1"/>
    <col min="16136" max="16136" width="11.88671875" bestFit="1" customWidth="1"/>
    <col min="16137" max="16137" width="13.109375" bestFit="1" customWidth="1"/>
  </cols>
  <sheetData>
    <row r="1" spans="1:9" x14ac:dyDescent="0.3">
      <c r="A1" s="91" t="s">
        <v>97</v>
      </c>
      <c r="B1" s="91"/>
      <c r="H1" s="1" t="s">
        <v>98</v>
      </c>
      <c r="I1" s="1" t="s">
        <v>99</v>
      </c>
    </row>
    <row r="2" spans="1:9" x14ac:dyDescent="0.3">
      <c r="A2" s="1" t="s">
        <v>94</v>
      </c>
      <c r="B2" s="50">
        <v>180000</v>
      </c>
      <c r="H2" s="4">
        <f>FV(B6,B7,B10,,0)</f>
        <v>0</v>
      </c>
      <c r="I2" s="53" t="e">
        <f>B2*(B6/((1+B6)^B7-1))</f>
        <v>#DIV/0!</v>
      </c>
    </row>
    <row r="3" spans="1:9" x14ac:dyDescent="0.3">
      <c r="A3" s="1" t="s">
        <v>56</v>
      </c>
      <c r="B3" s="96">
        <v>0.08</v>
      </c>
    </row>
    <row r="4" spans="1:9" x14ac:dyDescent="0.3">
      <c r="A4" s="1" t="s">
        <v>38</v>
      </c>
      <c r="B4" s="1">
        <v>12</v>
      </c>
    </row>
    <row r="5" spans="1:9" x14ac:dyDescent="0.3">
      <c r="A5" s="1" t="s">
        <v>76</v>
      </c>
      <c r="B5" s="1">
        <v>18</v>
      </c>
    </row>
    <row r="6" spans="1:9" x14ac:dyDescent="0.3">
      <c r="A6" s="1" t="s">
        <v>95</v>
      </c>
      <c r="B6" s="99"/>
    </row>
    <row r="7" spans="1:9" x14ac:dyDescent="0.3">
      <c r="A7" s="1" t="s">
        <v>6</v>
      </c>
      <c r="B7" s="31"/>
    </row>
    <row r="8" spans="1:9" x14ac:dyDescent="0.3">
      <c r="A8" s="1" t="s">
        <v>157</v>
      </c>
      <c r="B8" s="1"/>
    </row>
    <row r="9" spans="1:9" x14ac:dyDescent="0.3">
      <c r="A9" s="1" t="s">
        <v>96</v>
      </c>
      <c r="B9" s="44"/>
    </row>
    <row r="10" spans="1:9" x14ac:dyDescent="0.3">
      <c r="A10" s="1" t="s">
        <v>96</v>
      </c>
      <c r="B10" s="51"/>
    </row>
    <row r="11" spans="1:9" ht="28.8" x14ac:dyDescent="0.3">
      <c r="A11" s="1" t="s">
        <v>81</v>
      </c>
      <c r="B11" s="45" t="str">
        <f>IF(B10="","","If I want to save for my daughter's college education, I should invest "&amp;DOLLAR(-B10)&amp;" at the "&amp;IF(B8=0,"end",IF(B8=1,"beginning",""))&amp;" of each period (where i ="&amp;TEXT(B3,"0.00%")&amp;", n = "&amp;B4&amp;", x = "&amp;B5&amp;"). ")</f>
        <v/>
      </c>
      <c r="C11" s="46"/>
      <c r="D11" s="46"/>
      <c r="E11" s="46"/>
      <c r="F11" s="46"/>
      <c r="G11" s="47"/>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11"/>
  <sheetViews>
    <sheetView zoomScale="115" zoomScaleNormal="115" workbookViewId="0"/>
  </sheetViews>
  <sheetFormatPr defaultRowHeight="14.4" x14ac:dyDescent="0.3"/>
  <cols>
    <col min="1" max="1" width="27.109375" bestFit="1" customWidth="1"/>
    <col min="2" max="2" width="25" bestFit="1" customWidth="1"/>
    <col min="3" max="3" width="12.44140625" bestFit="1" customWidth="1"/>
    <col min="5" max="5" width="11.88671875" bestFit="1" customWidth="1"/>
    <col min="6" max="6" width="13.109375" bestFit="1" customWidth="1"/>
    <col min="8" max="8" width="11.88671875" bestFit="1" customWidth="1"/>
    <col min="9" max="9" width="13.109375" bestFit="1" customWidth="1"/>
    <col min="257" max="257" width="19.33203125" bestFit="1" customWidth="1"/>
    <col min="258" max="258" width="25" bestFit="1" customWidth="1"/>
    <col min="259" max="259" width="12.44140625" bestFit="1" customWidth="1"/>
    <col min="261" max="261" width="11.88671875" bestFit="1" customWidth="1"/>
    <col min="262" max="262" width="13.109375" bestFit="1" customWidth="1"/>
    <col min="264" max="264" width="11.88671875" bestFit="1" customWidth="1"/>
    <col min="265" max="265" width="13.109375" bestFit="1" customWidth="1"/>
    <col min="513" max="513" width="19.33203125" bestFit="1" customWidth="1"/>
    <col min="514" max="514" width="25" bestFit="1" customWidth="1"/>
    <col min="515" max="515" width="12.44140625" bestFit="1" customWidth="1"/>
    <col min="517" max="517" width="11.88671875" bestFit="1" customWidth="1"/>
    <col min="518" max="518" width="13.109375" bestFit="1" customWidth="1"/>
    <col min="520" max="520" width="11.88671875" bestFit="1" customWidth="1"/>
    <col min="521" max="521" width="13.109375" bestFit="1" customWidth="1"/>
    <col min="769" max="769" width="19.33203125" bestFit="1" customWidth="1"/>
    <col min="770" max="770" width="25" bestFit="1" customWidth="1"/>
    <col min="771" max="771" width="12.44140625" bestFit="1" customWidth="1"/>
    <col min="773" max="773" width="11.88671875" bestFit="1" customWidth="1"/>
    <col min="774" max="774" width="13.109375" bestFit="1" customWidth="1"/>
    <col min="776" max="776" width="11.88671875" bestFit="1" customWidth="1"/>
    <col min="777" max="777" width="13.109375" bestFit="1" customWidth="1"/>
    <col min="1025" max="1025" width="19.33203125" bestFit="1" customWidth="1"/>
    <col min="1026" max="1026" width="25" bestFit="1" customWidth="1"/>
    <col min="1027" max="1027" width="12.44140625" bestFit="1" customWidth="1"/>
    <col min="1029" max="1029" width="11.88671875" bestFit="1" customWidth="1"/>
    <col min="1030" max="1030" width="13.109375" bestFit="1" customWidth="1"/>
    <col min="1032" max="1032" width="11.88671875" bestFit="1" customWidth="1"/>
    <col min="1033" max="1033" width="13.109375" bestFit="1" customWidth="1"/>
    <col min="1281" max="1281" width="19.33203125" bestFit="1" customWidth="1"/>
    <col min="1282" max="1282" width="25" bestFit="1" customWidth="1"/>
    <col min="1283" max="1283" width="12.44140625" bestFit="1" customWidth="1"/>
    <col min="1285" max="1285" width="11.88671875" bestFit="1" customWidth="1"/>
    <col min="1286" max="1286" width="13.109375" bestFit="1" customWidth="1"/>
    <col min="1288" max="1288" width="11.88671875" bestFit="1" customWidth="1"/>
    <col min="1289" max="1289" width="13.109375" bestFit="1" customWidth="1"/>
    <col min="1537" max="1537" width="19.33203125" bestFit="1" customWidth="1"/>
    <col min="1538" max="1538" width="25" bestFit="1" customWidth="1"/>
    <col min="1539" max="1539" width="12.44140625" bestFit="1" customWidth="1"/>
    <col min="1541" max="1541" width="11.88671875" bestFit="1" customWidth="1"/>
    <col min="1542" max="1542" width="13.109375" bestFit="1" customWidth="1"/>
    <col min="1544" max="1544" width="11.88671875" bestFit="1" customWidth="1"/>
    <col min="1545" max="1545" width="13.109375" bestFit="1" customWidth="1"/>
    <col min="1793" max="1793" width="19.33203125" bestFit="1" customWidth="1"/>
    <col min="1794" max="1794" width="25" bestFit="1" customWidth="1"/>
    <col min="1795" max="1795" width="12.44140625" bestFit="1" customWidth="1"/>
    <col min="1797" max="1797" width="11.88671875" bestFit="1" customWidth="1"/>
    <col min="1798" max="1798" width="13.109375" bestFit="1" customWidth="1"/>
    <col min="1800" max="1800" width="11.88671875" bestFit="1" customWidth="1"/>
    <col min="1801" max="1801" width="13.109375" bestFit="1" customWidth="1"/>
    <col min="2049" max="2049" width="19.33203125" bestFit="1" customWidth="1"/>
    <col min="2050" max="2050" width="25" bestFit="1" customWidth="1"/>
    <col min="2051" max="2051" width="12.44140625" bestFit="1" customWidth="1"/>
    <col min="2053" max="2053" width="11.88671875" bestFit="1" customWidth="1"/>
    <col min="2054" max="2054" width="13.109375" bestFit="1" customWidth="1"/>
    <col min="2056" max="2056" width="11.88671875" bestFit="1" customWidth="1"/>
    <col min="2057" max="2057" width="13.109375" bestFit="1" customWidth="1"/>
    <col min="2305" max="2305" width="19.33203125" bestFit="1" customWidth="1"/>
    <col min="2306" max="2306" width="25" bestFit="1" customWidth="1"/>
    <col min="2307" max="2307" width="12.44140625" bestFit="1" customWidth="1"/>
    <col min="2309" max="2309" width="11.88671875" bestFit="1" customWidth="1"/>
    <col min="2310" max="2310" width="13.109375" bestFit="1" customWidth="1"/>
    <col min="2312" max="2312" width="11.88671875" bestFit="1" customWidth="1"/>
    <col min="2313" max="2313" width="13.109375" bestFit="1" customWidth="1"/>
    <col min="2561" max="2561" width="19.33203125" bestFit="1" customWidth="1"/>
    <col min="2562" max="2562" width="25" bestFit="1" customWidth="1"/>
    <col min="2563" max="2563" width="12.44140625" bestFit="1" customWidth="1"/>
    <col min="2565" max="2565" width="11.88671875" bestFit="1" customWidth="1"/>
    <col min="2566" max="2566" width="13.109375" bestFit="1" customWidth="1"/>
    <col min="2568" max="2568" width="11.88671875" bestFit="1" customWidth="1"/>
    <col min="2569" max="2569" width="13.109375" bestFit="1" customWidth="1"/>
    <col min="2817" max="2817" width="19.33203125" bestFit="1" customWidth="1"/>
    <col min="2818" max="2818" width="25" bestFit="1" customWidth="1"/>
    <col min="2819" max="2819" width="12.44140625" bestFit="1" customWidth="1"/>
    <col min="2821" max="2821" width="11.88671875" bestFit="1" customWidth="1"/>
    <col min="2822" max="2822" width="13.109375" bestFit="1" customWidth="1"/>
    <col min="2824" max="2824" width="11.88671875" bestFit="1" customWidth="1"/>
    <col min="2825" max="2825" width="13.109375" bestFit="1" customWidth="1"/>
    <col min="3073" max="3073" width="19.33203125" bestFit="1" customWidth="1"/>
    <col min="3074" max="3074" width="25" bestFit="1" customWidth="1"/>
    <col min="3075" max="3075" width="12.44140625" bestFit="1" customWidth="1"/>
    <col min="3077" max="3077" width="11.88671875" bestFit="1" customWidth="1"/>
    <col min="3078" max="3078" width="13.109375" bestFit="1" customWidth="1"/>
    <col min="3080" max="3080" width="11.88671875" bestFit="1" customWidth="1"/>
    <col min="3081" max="3081" width="13.109375" bestFit="1" customWidth="1"/>
    <col min="3329" max="3329" width="19.33203125" bestFit="1" customWidth="1"/>
    <col min="3330" max="3330" width="25" bestFit="1" customWidth="1"/>
    <col min="3331" max="3331" width="12.44140625" bestFit="1" customWidth="1"/>
    <col min="3333" max="3333" width="11.88671875" bestFit="1" customWidth="1"/>
    <col min="3334" max="3334" width="13.109375" bestFit="1" customWidth="1"/>
    <col min="3336" max="3336" width="11.88671875" bestFit="1" customWidth="1"/>
    <col min="3337" max="3337" width="13.109375" bestFit="1" customWidth="1"/>
    <col min="3585" max="3585" width="19.33203125" bestFit="1" customWidth="1"/>
    <col min="3586" max="3586" width="25" bestFit="1" customWidth="1"/>
    <col min="3587" max="3587" width="12.44140625" bestFit="1" customWidth="1"/>
    <col min="3589" max="3589" width="11.88671875" bestFit="1" customWidth="1"/>
    <col min="3590" max="3590" width="13.109375" bestFit="1" customWidth="1"/>
    <col min="3592" max="3592" width="11.88671875" bestFit="1" customWidth="1"/>
    <col min="3593" max="3593" width="13.109375" bestFit="1" customWidth="1"/>
    <col min="3841" max="3841" width="19.33203125" bestFit="1" customWidth="1"/>
    <col min="3842" max="3842" width="25" bestFit="1" customWidth="1"/>
    <col min="3843" max="3843" width="12.44140625" bestFit="1" customWidth="1"/>
    <col min="3845" max="3845" width="11.88671875" bestFit="1" customWidth="1"/>
    <col min="3846" max="3846" width="13.109375" bestFit="1" customWidth="1"/>
    <col min="3848" max="3848" width="11.88671875" bestFit="1" customWidth="1"/>
    <col min="3849" max="3849" width="13.109375" bestFit="1" customWidth="1"/>
    <col min="4097" max="4097" width="19.33203125" bestFit="1" customWidth="1"/>
    <col min="4098" max="4098" width="25" bestFit="1" customWidth="1"/>
    <col min="4099" max="4099" width="12.44140625" bestFit="1" customWidth="1"/>
    <col min="4101" max="4101" width="11.88671875" bestFit="1" customWidth="1"/>
    <col min="4102" max="4102" width="13.109375" bestFit="1" customWidth="1"/>
    <col min="4104" max="4104" width="11.88671875" bestFit="1" customWidth="1"/>
    <col min="4105" max="4105" width="13.109375" bestFit="1" customWidth="1"/>
    <col min="4353" max="4353" width="19.33203125" bestFit="1" customWidth="1"/>
    <col min="4354" max="4354" width="25" bestFit="1" customWidth="1"/>
    <col min="4355" max="4355" width="12.44140625" bestFit="1" customWidth="1"/>
    <col min="4357" max="4357" width="11.88671875" bestFit="1" customWidth="1"/>
    <col min="4358" max="4358" width="13.109375" bestFit="1" customWidth="1"/>
    <col min="4360" max="4360" width="11.88671875" bestFit="1" customWidth="1"/>
    <col min="4361" max="4361" width="13.109375" bestFit="1" customWidth="1"/>
    <col min="4609" max="4609" width="19.33203125" bestFit="1" customWidth="1"/>
    <col min="4610" max="4610" width="25" bestFit="1" customWidth="1"/>
    <col min="4611" max="4611" width="12.44140625" bestFit="1" customWidth="1"/>
    <col min="4613" max="4613" width="11.88671875" bestFit="1" customWidth="1"/>
    <col min="4614" max="4614" width="13.109375" bestFit="1" customWidth="1"/>
    <col min="4616" max="4616" width="11.88671875" bestFit="1" customWidth="1"/>
    <col min="4617" max="4617" width="13.109375" bestFit="1" customWidth="1"/>
    <col min="4865" max="4865" width="19.33203125" bestFit="1" customWidth="1"/>
    <col min="4866" max="4866" width="25" bestFit="1" customWidth="1"/>
    <col min="4867" max="4867" width="12.44140625" bestFit="1" customWidth="1"/>
    <col min="4869" max="4869" width="11.88671875" bestFit="1" customWidth="1"/>
    <col min="4870" max="4870" width="13.109375" bestFit="1" customWidth="1"/>
    <col min="4872" max="4872" width="11.88671875" bestFit="1" customWidth="1"/>
    <col min="4873" max="4873" width="13.109375" bestFit="1" customWidth="1"/>
    <col min="5121" max="5121" width="19.33203125" bestFit="1" customWidth="1"/>
    <col min="5122" max="5122" width="25" bestFit="1" customWidth="1"/>
    <col min="5123" max="5123" width="12.44140625" bestFit="1" customWidth="1"/>
    <col min="5125" max="5125" width="11.88671875" bestFit="1" customWidth="1"/>
    <col min="5126" max="5126" width="13.109375" bestFit="1" customWidth="1"/>
    <col min="5128" max="5128" width="11.88671875" bestFit="1" customWidth="1"/>
    <col min="5129" max="5129" width="13.109375" bestFit="1" customWidth="1"/>
    <col min="5377" max="5377" width="19.33203125" bestFit="1" customWidth="1"/>
    <col min="5378" max="5378" width="25" bestFit="1" customWidth="1"/>
    <col min="5379" max="5379" width="12.44140625" bestFit="1" customWidth="1"/>
    <col min="5381" max="5381" width="11.88671875" bestFit="1" customWidth="1"/>
    <col min="5382" max="5382" width="13.109375" bestFit="1" customWidth="1"/>
    <col min="5384" max="5384" width="11.88671875" bestFit="1" customWidth="1"/>
    <col min="5385" max="5385" width="13.109375" bestFit="1" customWidth="1"/>
    <col min="5633" max="5633" width="19.33203125" bestFit="1" customWidth="1"/>
    <col min="5634" max="5634" width="25" bestFit="1" customWidth="1"/>
    <col min="5635" max="5635" width="12.44140625" bestFit="1" customWidth="1"/>
    <col min="5637" max="5637" width="11.88671875" bestFit="1" customWidth="1"/>
    <col min="5638" max="5638" width="13.109375" bestFit="1" customWidth="1"/>
    <col min="5640" max="5640" width="11.88671875" bestFit="1" customWidth="1"/>
    <col min="5641" max="5641" width="13.109375" bestFit="1" customWidth="1"/>
    <col min="5889" max="5889" width="19.33203125" bestFit="1" customWidth="1"/>
    <col min="5890" max="5890" width="25" bestFit="1" customWidth="1"/>
    <col min="5891" max="5891" width="12.44140625" bestFit="1" customWidth="1"/>
    <col min="5893" max="5893" width="11.88671875" bestFit="1" customWidth="1"/>
    <col min="5894" max="5894" width="13.109375" bestFit="1" customWidth="1"/>
    <col min="5896" max="5896" width="11.88671875" bestFit="1" customWidth="1"/>
    <col min="5897" max="5897" width="13.109375" bestFit="1" customWidth="1"/>
    <col min="6145" max="6145" width="19.33203125" bestFit="1" customWidth="1"/>
    <col min="6146" max="6146" width="25" bestFit="1" customWidth="1"/>
    <col min="6147" max="6147" width="12.44140625" bestFit="1" customWidth="1"/>
    <col min="6149" max="6149" width="11.88671875" bestFit="1" customWidth="1"/>
    <col min="6150" max="6150" width="13.109375" bestFit="1" customWidth="1"/>
    <col min="6152" max="6152" width="11.88671875" bestFit="1" customWidth="1"/>
    <col min="6153" max="6153" width="13.109375" bestFit="1" customWidth="1"/>
    <col min="6401" max="6401" width="19.33203125" bestFit="1" customWidth="1"/>
    <col min="6402" max="6402" width="25" bestFit="1" customWidth="1"/>
    <col min="6403" max="6403" width="12.44140625" bestFit="1" customWidth="1"/>
    <col min="6405" max="6405" width="11.88671875" bestFit="1" customWidth="1"/>
    <col min="6406" max="6406" width="13.109375" bestFit="1" customWidth="1"/>
    <col min="6408" max="6408" width="11.88671875" bestFit="1" customWidth="1"/>
    <col min="6409" max="6409" width="13.109375" bestFit="1" customWidth="1"/>
    <col min="6657" max="6657" width="19.33203125" bestFit="1" customWidth="1"/>
    <col min="6658" max="6658" width="25" bestFit="1" customWidth="1"/>
    <col min="6659" max="6659" width="12.44140625" bestFit="1" customWidth="1"/>
    <col min="6661" max="6661" width="11.88671875" bestFit="1" customWidth="1"/>
    <col min="6662" max="6662" width="13.109375" bestFit="1" customWidth="1"/>
    <col min="6664" max="6664" width="11.88671875" bestFit="1" customWidth="1"/>
    <col min="6665" max="6665" width="13.109375" bestFit="1" customWidth="1"/>
    <col min="6913" max="6913" width="19.33203125" bestFit="1" customWidth="1"/>
    <col min="6914" max="6914" width="25" bestFit="1" customWidth="1"/>
    <col min="6915" max="6915" width="12.44140625" bestFit="1" customWidth="1"/>
    <col min="6917" max="6917" width="11.88671875" bestFit="1" customWidth="1"/>
    <col min="6918" max="6918" width="13.109375" bestFit="1" customWidth="1"/>
    <col min="6920" max="6920" width="11.88671875" bestFit="1" customWidth="1"/>
    <col min="6921" max="6921" width="13.109375" bestFit="1" customWidth="1"/>
    <col min="7169" max="7169" width="19.33203125" bestFit="1" customWidth="1"/>
    <col min="7170" max="7170" width="25" bestFit="1" customWidth="1"/>
    <col min="7171" max="7171" width="12.44140625" bestFit="1" customWidth="1"/>
    <col min="7173" max="7173" width="11.88671875" bestFit="1" customWidth="1"/>
    <col min="7174" max="7174" width="13.109375" bestFit="1" customWidth="1"/>
    <col min="7176" max="7176" width="11.88671875" bestFit="1" customWidth="1"/>
    <col min="7177" max="7177" width="13.109375" bestFit="1" customWidth="1"/>
    <col min="7425" max="7425" width="19.33203125" bestFit="1" customWidth="1"/>
    <col min="7426" max="7426" width="25" bestFit="1" customWidth="1"/>
    <col min="7427" max="7427" width="12.44140625" bestFit="1" customWidth="1"/>
    <col min="7429" max="7429" width="11.88671875" bestFit="1" customWidth="1"/>
    <col min="7430" max="7430" width="13.109375" bestFit="1" customWidth="1"/>
    <col min="7432" max="7432" width="11.88671875" bestFit="1" customWidth="1"/>
    <col min="7433" max="7433" width="13.109375" bestFit="1" customWidth="1"/>
    <col min="7681" max="7681" width="19.33203125" bestFit="1" customWidth="1"/>
    <col min="7682" max="7682" width="25" bestFit="1" customWidth="1"/>
    <col min="7683" max="7683" width="12.44140625" bestFit="1" customWidth="1"/>
    <col min="7685" max="7685" width="11.88671875" bestFit="1" customWidth="1"/>
    <col min="7686" max="7686" width="13.109375" bestFit="1" customWidth="1"/>
    <col min="7688" max="7688" width="11.88671875" bestFit="1" customWidth="1"/>
    <col min="7689" max="7689" width="13.109375" bestFit="1" customWidth="1"/>
    <col min="7937" max="7937" width="19.33203125" bestFit="1" customWidth="1"/>
    <col min="7938" max="7938" width="25" bestFit="1" customWidth="1"/>
    <col min="7939" max="7939" width="12.44140625" bestFit="1" customWidth="1"/>
    <col min="7941" max="7941" width="11.88671875" bestFit="1" customWidth="1"/>
    <col min="7942" max="7942" width="13.109375" bestFit="1" customWidth="1"/>
    <col min="7944" max="7944" width="11.88671875" bestFit="1" customWidth="1"/>
    <col min="7945" max="7945" width="13.109375" bestFit="1" customWidth="1"/>
    <col min="8193" max="8193" width="19.33203125" bestFit="1" customWidth="1"/>
    <col min="8194" max="8194" width="25" bestFit="1" customWidth="1"/>
    <col min="8195" max="8195" width="12.44140625" bestFit="1" customWidth="1"/>
    <col min="8197" max="8197" width="11.88671875" bestFit="1" customWidth="1"/>
    <col min="8198" max="8198" width="13.109375" bestFit="1" customWidth="1"/>
    <col min="8200" max="8200" width="11.88671875" bestFit="1" customWidth="1"/>
    <col min="8201" max="8201" width="13.109375" bestFit="1" customWidth="1"/>
    <col min="8449" max="8449" width="19.33203125" bestFit="1" customWidth="1"/>
    <col min="8450" max="8450" width="25" bestFit="1" customWidth="1"/>
    <col min="8451" max="8451" width="12.44140625" bestFit="1" customWidth="1"/>
    <col min="8453" max="8453" width="11.88671875" bestFit="1" customWidth="1"/>
    <col min="8454" max="8454" width="13.109375" bestFit="1" customWidth="1"/>
    <col min="8456" max="8456" width="11.88671875" bestFit="1" customWidth="1"/>
    <col min="8457" max="8457" width="13.109375" bestFit="1" customWidth="1"/>
    <col min="8705" max="8705" width="19.33203125" bestFit="1" customWidth="1"/>
    <col min="8706" max="8706" width="25" bestFit="1" customWidth="1"/>
    <col min="8707" max="8707" width="12.44140625" bestFit="1" customWidth="1"/>
    <col min="8709" max="8709" width="11.88671875" bestFit="1" customWidth="1"/>
    <col min="8710" max="8710" width="13.109375" bestFit="1" customWidth="1"/>
    <col min="8712" max="8712" width="11.88671875" bestFit="1" customWidth="1"/>
    <col min="8713" max="8713" width="13.109375" bestFit="1" customWidth="1"/>
    <col min="8961" max="8961" width="19.33203125" bestFit="1" customWidth="1"/>
    <col min="8962" max="8962" width="25" bestFit="1" customWidth="1"/>
    <col min="8963" max="8963" width="12.44140625" bestFit="1" customWidth="1"/>
    <col min="8965" max="8965" width="11.88671875" bestFit="1" customWidth="1"/>
    <col min="8966" max="8966" width="13.109375" bestFit="1" customWidth="1"/>
    <col min="8968" max="8968" width="11.88671875" bestFit="1" customWidth="1"/>
    <col min="8969" max="8969" width="13.109375" bestFit="1" customWidth="1"/>
    <col min="9217" max="9217" width="19.33203125" bestFit="1" customWidth="1"/>
    <col min="9218" max="9218" width="25" bestFit="1" customWidth="1"/>
    <col min="9219" max="9219" width="12.44140625" bestFit="1" customWidth="1"/>
    <col min="9221" max="9221" width="11.88671875" bestFit="1" customWidth="1"/>
    <col min="9222" max="9222" width="13.109375" bestFit="1" customWidth="1"/>
    <col min="9224" max="9224" width="11.88671875" bestFit="1" customWidth="1"/>
    <col min="9225" max="9225" width="13.109375" bestFit="1" customWidth="1"/>
    <col min="9473" max="9473" width="19.33203125" bestFit="1" customWidth="1"/>
    <col min="9474" max="9474" width="25" bestFit="1" customWidth="1"/>
    <col min="9475" max="9475" width="12.44140625" bestFit="1" customWidth="1"/>
    <col min="9477" max="9477" width="11.88671875" bestFit="1" customWidth="1"/>
    <col min="9478" max="9478" width="13.109375" bestFit="1" customWidth="1"/>
    <col min="9480" max="9480" width="11.88671875" bestFit="1" customWidth="1"/>
    <col min="9481" max="9481" width="13.109375" bestFit="1" customWidth="1"/>
    <col min="9729" max="9729" width="19.33203125" bestFit="1" customWidth="1"/>
    <col min="9730" max="9730" width="25" bestFit="1" customWidth="1"/>
    <col min="9731" max="9731" width="12.44140625" bestFit="1" customWidth="1"/>
    <col min="9733" max="9733" width="11.88671875" bestFit="1" customWidth="1"/>
    <col min="9734" max="9734" width="13.109375" bestFit="1" customWidth="1"/>
    <col min="9736" max="9736" width="11.88671875" bestFit="1" customWidth="1"/>
    <col min="9737" max="9737" width="13.109375" bestFit="1" customWidth="1"/>
    <col min="9985" max="9985" width="19.33203125" bestFit="1" customWidth="1"/>
    <col min="9986" max="9986" width="25" bestFit="1" customWidth="1"/>
    <col min="9987" max="9987" width="12.44140625" bestFit="1" customWidth="1"/>
    <col min="9989" max="9989" width="11.88671875" bestFit="1" customWidth="1"/>
    <col min="9990" max="9990" width="13.109375" bestFit="1" customWidth="1"/>
    <col min="9992" max="9992" width="11.88671875" bestFit="1" customWidth="1"/>
    <col min="9993" max="9993" width="13.109375" bestFit="1" customWidth="1"/>
    <col min="10241" max="10241" width="19.33203125" bestFit="1" customWidth="1"/>
    <col min="10242" max="10242" width="25" bestFit="1" customWidth="1"/>
    <col min="10243" max="10243" width="12.44140625" bestFit="1" customWidth="1"/>
    <col min="10245" max="10245" width="11.88671875" bestFit="1" customWidth="1"/>
    <col min="10246" max="10246" width="13.109375" bestFit="1" customWidth="1"/>
    <col min="10248" max="10248" width="11.88671875" bestFit="1" customWidth="1"/>
    <col min="10249" max="10249" width="13.109375" bestFit="1" customWidth="1"/>
    <col min="10497" max="10497" width="19.33203125" bestFit="1" customWidth="1"/>
    <col min="10498" max="10498" width="25" bestFit="1" customWidth="1"/>
    <col min="10499" max="10499" width="12.44140625" bestFit="1" customWidth="1"/>
    <col min="10501" max="10501" width="11.88671875" bestFit="1" customWidth="1"/>
    <col min="10502" max="10502" width="13.109375" bestFit="1" customWidth="1"/>
    <col min="10504" max="10504" width="11.88671875" bestFit="1" customWidth="1"/>
    <col min="10505" max="10505" width="13.109375" bestFit="1" customWidth="1"/>
    <col min="10753" max="10753" width="19.33203125" bestFit="1" customWidth="1"/>
    <col min="10754" max="10754" width="25" bestFit="1" customWidth="1"/>
    <col min="10755" max="10755" width="12.44140625" bestFit="1" customWidth="1"/>
    <col min="10757" max="10757" width="11.88671875" bestFit="1" customWidth="1"/>
    <col min="10758" max="10758" width="13.109375" bestFit="1" customWidth="1"/>
    <col min="10760" max="10760" width="11.88671875" bestFit="1" customWidth="1"/>
    <col min="10761" max="10761" width="13.109375" bestFit="1" customWidth="1"/>
    <col min="11009" max="11009" width="19.33203125" bestFit="1" customWidth="1"/>
    <col min="11010" max="11010" width="25" bestFit="1" customWidth="1"/>
    <col min="11011" max="11011" width="12.44140625" bestFit="1" customWidth="1"/>
    <col min="11013" max="11013" width="11.88671875" bestFit="1" customWidth="1"/>
    <col min="11014" max="11014" width="13.109375" bestFit="1" customWidth="1"/>
    <col min="11016" max="11016" width="11.88671875" bestFit="1" customWidth="1"/>
    <col min="11017" max="11017" width="13.109375" bestFit="1" customWidth="1"/>
    <col min="11265" max="11265" width="19.33203125" bestFit="1" customWidth="1"/>
    <col min="11266" max="11266" width="25" bestFit="1" customWidth="1"/>
    <col min="11267" max="11267" width="12.44140625" bestFit="1" customWidth="1"/>
    <col min="11269" max="11269" width="11.88671875" bestFit="1" customWidth="1"/>
    <col min="11270" max="11270" width="13.109375" bestFit="1" customWidth="1"/>
    <col min="11272" max="11272" width="11.88671875" bestFit="1" customWidth="1"/>
    <col min="11273" max="11273" width="13.109375" bestFit="1" customWidth="1"/>
    <col min="11521" max="11521" width="19.33203125" bestFit="1" customWidth="1"/>
    <col min="11522" max="11522" width="25" bestFit="1" customWidth="1"/>
    <col min="11523" max="11523" width="12.44140625" bestFit="1" customWidth="1"/>
    <col min="11525" max="11525" width="11.88671875" bestFit="1" customWidth="1"/>
    <col min="11526" max="11526" width="13.109375" bestFit="1" customWidth="1"/>
    <col min="11528" max="11528" width="11.88671875" bestFit="1" customWidth="1"/>
    <col min="11529" max="11529" width="13.109375" bestFit="1" customWidth="1"/>
    <col min="11777" max="11777" width="19.33203125" bestFit="1" customWidth="1"/>
    <col min="11778" max="11778" width="25" bestFit="1" customWidth="1"/>
    <col min="11779" max="11779" width="12.44140625" bestFit="1" customWidth="1"/>
    <col min="11781" max="11781" width="11.88671875" bestFit="1" customWidth="1"/>
    <col min="11782" max="11782" width="13.109375" bestFit="1" customWidth="1"/>
    <col min="11784" max="11784" width="11.88671875" bestFit="1" customWidth="1"/>
    <col min="11785" max="11785" width="13.109375" bestFit="1" customWidth="1"/>
    <col min="12033" max="12033" width="19.33203125" bestFit="1" customWidth="1"/>
    <col min="12034" max="12034" width="25" bestFit="1" customWidth="1"/>
    <col min="12035" max="12035" width="12.44140625" bestFit="1" customWidth="1"/>
    <col min="12037" max="12037" width="11.88671875" bestFit="1" customWidth="1"/>
    <col min="12038" max="12038" width="13.109375" bestFit="1" customWidth="1"/>
    <col min="12040" max="12040" width="11.88671875" bestFit="1" customWidth="1"/>
    <col min="12041" max="12041" width="13.109375" bestFit="1" customWidth="1"/>
    <col min="12289" max="12289" width="19.33203125" bestFit="1" customWidth="1"/>
    <col min="12290" max="12290" width="25" bestFit="1" customWidth="1"/>
    <col min="12291" max="12291" width="12.44140625" bestFit="1" customWidth="1"/>
    <col min="12293" max="12293" width="11.88671875" bestFit="1" customWidth="1"/>
    <col min="12294" max="12294" width="13.109375" bestFit="1" customWidth="1"/>
    <col min="12296" max="12296" width="11.88671875" bestFit="1" customWidth="1"/>
    <col min="12297" max="12297" width="13.109375" bestFit="1" customWidth="1"/>
    <col min="12545" max="12545" width="19.33203125" bestFit="1" customWidth="1"/>
    <col min="12546" max="12546" width="25" bestFit="1" customWidth="1"/>
    <col min="12547" max="12547" width="12.44140625" bestFit="1" customWidth="1"/>
    <col min="12549" max="12549" width="11.88671875" bestFit="1" customWidth="1"/>
    <col min="12550" max="12550" width="13.109375" bestFit="1" customWidth="1"/>
    <col min="12552" max="12552" width="11.88671875" bestFit="1" customWidth="1"/>
    <col min="12553" max="12553" width="13.109375" bestFit="1" customWidth="1"/>
    <col min="12801" max="12801" width="19.33203125" bestFit="1" customWidth="1"/>
    <col min="12802" max="12802" width="25" bestFit="1" customWidth="1"/>
    <col min="12803" max="12803" width="12.44140625" bestFit="1" customWidth="1"/>
    <col min="12805" max="12805" width="11.88671875" bestFit="1" customWidth="1"/>
    <col min="12806" max="12806" width="13.109375" bestFit="1" customWidth="1"/>
    <col min="12808" max="12808" width="11.88671875" bestFit="1" customWidth="1"/>
    <col min="12809" max="12809" width="13.109375" bestFit="1" customWidth="1"/>
    <col min="13057" max="13057" width="19.33203125" bestFit="1" customWidth="1"/>
    <col min="13058" max="13058" width="25" bestFit="1" customWidth="1"/>
    <col min="13059" max="13059" width="12.44140625" bestFit="1" customWidth="1"/>
    <col min="13061" max="13061" width="11.88671875" bestFit="1" customWidth="1"/>
    <col min="13062" max="13062" width="13.109375" bestFit="1" customWidth="1"/>
    <col min="13064" max="13064" width="11.88671875" bestFit="1" customWidth="1"/>
    <col min="13065" max="13065" width="13.109375" bestFit="1" customWidth="1"/>
    <col min="13313" max="13313" width="19.33203125" bestFit="1" customWidth="1"/>
    <col min="13314" max="13314" width="25" bestFit="1" customWidth="1"/>
    <col min="13315" max="13315" width="12.44140625" bestFit="1" customWidth="1"/>
    <col min="13317" max="13317" width="11.88671875" bestFit="1" customWidth="1"/>
    <col min="13318" max="13318" width="13.109375" bestFit="1" customWidth="1"/>
    <col min="13320" max="13320" width="11.88671875" bestFit="1" customWidth="1"/>
    <col min="13321" max="13321" width="13.109375" bestFit="1" customWidth="1"/>
    <col min="13569" max="13569" width="19.33203125" bestFit="1" customWidth="1"/>
    <col min="13570" max="13570" width="25" bestFit="1" customWidth="1"/>
    <col min="13571" max="13571" width="12.44140625" bestFit="1" customWidth="1"/>
    <col min="13573" max="13573" width="11.88671875" bestFit="1" customWidth="1"/>
    <col min="13574" max="13574" width="13.109375" bestFit="1" customWidth="1"/>
    <col min="13576" max="13576" width="11.88671875" bestFit="1" customWidth="1"/>
    <col min="13577" max="13577" width="13.109375" bestFit="1" customWidth="1"/>
    <col min="13825" max="13825" width="19.33203125" bestFit="1" customWidth="1"/>
    <col min="13826" max="13826" width="25" bestFit="1" customWidth="1"/>
    <col min="13827" max="13827" width="12.44140625" bestFit="1" customWidth="1"/>
    <col min="13829" max="13829" width="11.88671875" bestFit="1" customWidth="1"/>
    <col min="13830" max="13830" width="13.109375" bestFit="1" customWidth="1"/>
    <col min="13832" max="13832" width="11.88671875" bestFit="1" customWidth="1"/>
    <col min="13833" max="13833" width="13.109375" bestFit="1" customWidth="1"/>
    <col min="14081" max="14081" width="19.33203125" bestFit="1" customWidth="1"/>
    <col min="14082" max="14082" width="25" bestFit="1" customWidth="1"/>
    <col min="14083" max="14083" width="12.44140625" bestFit="1" customWidth="1"/>
    <col min="14085" max="14085" width="11.88671875" bestFit="1" customWidth="1"/>
    <col min="14086" max="14086" width="13.109375" bestFit="1" customWidth="1"/>
    <col min="14088" max="14088" width="11.88671875" bestFit="1" customWidth="1"/>
    <col min="14089" max="14089" width="13.109375" bestFit="1" customWidth="1"/>
    <col min="14337" max="14337" width="19.33203125" bestFit="1" customWidth="1"/>
    <col min="14338" max="14338" width="25" bestFit="1" customWidth="1"/>
    <col min="14339" max="14339" width="12.44140625" bestFit="1" customWidth="1"/>
    <col min="14341" max="14341" width="11.88671875" bestFit="1" customWidth="1"/>
    <col min="14342" max="14342" width="13.109375" bestFit="1" customWidth="1"/>
    <col min="14344" max="14344" width="11.88671875" bestFit="1" customWidth="1"/>
    <col min="14345" max="14345" width="13.109375" bestFit="1" customWidth="1"/>
    <col min="14593" max="14593" width="19.33203125" bestFit="1" customWidth="1"/>
    <col min="14594" max="14594" width="25" bestFit="1" customWidth="1"/>
    <col min="14595" max="14595" width="12.44140625" bestFit="1" customWidth="1"/>
    <col min="14597" max="14597" width="11.88671875" bestFit="1" customWidth="1"/>
    <col min="14598" max="14598" width="13.109375" bestFit="1" customWidth="1"/>
    <col min="14600" max="14600" width="11.88671875" bestFit="1" customWidth="1"/>
    <col min="14601" max="14601" width="13.109375" bestFit="1" customWidth="1"/>
    <col min="14849" max="14849" width="19.33203125" bestFit="1" customWidth="1"/>
    <col min="14850" max="14850" width="25" bestFit="1" customWidth="1"/>
    <col min="14851" max="14851" width="12.44140625" bestFit="1" customWidth="1"/>
    <col min="14853" max="14853" width="11.88671875" bestFit="1" customWidth="1"/>
    <col min="14854" max="14854" width="13.109375" bestFit="1" customWidth="1"/>
    <col min="14856" max="14856" width="11.88671875" bestFit="1" customWidth="1"/>
    <col min="14857" max="14857" width="13.109375" bestFit="1" customWidth="1"/>
    <col min="15105" max="15105" width="19.33203125" bestFit="1" customWidth="1"/>
    <col min="15106" max="15106" width="25" bestFit="1" customWidth="1"/>
    <col min="15107" max="15107" width="12.44140625" bestFit="1" customWidth="1"/>
    <col min="15109" max="15109" width="11.88671875" bestFit="1" customWidth="1"/>
    <col min="15110" max="15110" width="13.109375" bestFit="1" customWidth="1"/>
    <col min="15112" max="15112" width="11.88671875" bestFit="1" customWidth="1"/>
    <col min="15113" max="15113" width="13.109375" bestFit="1" customWidth="1"/>
    <col min="15361" max="15361" width="19.33203125" bestFit="1" customWidth="1"/>
    <col min="15362" max="15362" width="25" bestFit="1" customWidth="1"/>
    <col min="15363" max="15363" width="12.44140625" bestFit="1" customWidth="1"/>
    <col min="15365" max="15365" width="11.88671875" bestFit="1" customWidth="1"/>
    <col min="15366" max="15366" width="13.109375" bestFit="1" customWidth="1"/>
    <col min="15368" max="15368" width="11.88671875" bestFit="1" customWidth="1"/>
    <col min="15369" max="15369" width="13.109375" bestFit="1" customWidth="1"/>
    <col min="15617" max="15617" width="19.33203125" bestFit="1" customWidth="1"/>
    <col min="15618" max="15618" width="25" bestFit="1" customWidth="1"/>
    <col min="15619" max="15619" width="12.44140625" bestFit="1" customWidth="1"/>
    <col min="15621" max="15621" width="11.88671875" bestFit="1" customWidth="1"/>
    <col min="15622" max="15622" width="13.109375" bestFit="1" customWidth="1"/>
    <col min="15624" max="15624" width="11.88671875" bestFit="1" customWidth="1"/>
    <col min="15625" max="15625" width="13.109375" bestFit="1" customWidth="1"/>
    <col min="15873" max="15873" width="19.33203125" bestFit="1" customWidth="1"/>
    <col min="15874" max="15874" width="25" bestFit="1" customWidth="1"/>
    <col min="15875" max="15875" width="12.44140625" bestFit="1" customWidth="1"/>
    <col min="15877" max="15877" width="11.88671875" bestFit="1" customWidth="1"/>
    <col min="15878" max="15878" width="13.109375" bestFit="1" customWidth="1"/>
    <col min="15880" max="15880" width="11.88671875" bestFit="1" customWidth="1"/>
    <col min="15881" max="15881" width="13.109375" bestFit="1" customWidth="1"/>
    <col min="16129" max="16129" width="19.33203125" bestFit="1" customWidth="1"/>
    <col min="16130" max="16130" width="25" bestFit="1" customWidth="1"/>
    <col min="16131" max="16131" width="12.44140625" bestFit="1" customWidth="1"/>
    <col min="16133" max="16133" width="11.88671875" bestFit="1" customWidth="1"/>
    <col min="16134" max="16134" width="13.109375" bestFit="1" customWidth="1"/>
    <col min="16136" max="16136" width="11.88671875" bestFit="1" customWidth="1"/>
    <col min="16137" max="16137" width="13.109375" bestFit="1" customWidth="1"/>
  </cols>
  <sheetData>
    <row r="1" spans="1:9" x14ac:dyDescent="0.3">
      <c r="A1" s="91" t="s">
        <v>97</v>
      </c>
      <c r="B1" s="91"/>
      <c r="H1" s="1" t="s">
        <v>98</v>
      </c>
      <c r="I1" s="1" t="s">
        <v>99</v>
      </c>
    </row>
    <row r="2" spans="1:9" x14ac:dyDescent="0.3">
      <c r="A2" s="1" t="s">
        <v>94</v>
      </c>
      <c r="B2" s="50">
        <v>250000</v>
      </c>
      <c r="H2" s="4">
        <f>FV(B6,B7,B10,,0)</f>
        <v>250000.00000000579</v>
      </c>
      <c r="I2" s="53">
        <f>B2*(B6/((1+B6)^B7-1))</f>
        <v>370.95744124385368</v>
      </c>
    </row>
    <row r="3" spans="1:9" x14ac:dyDescent="0.3">
      <c r="A3" s="1" t="s">
        <v>56</v>
      </c>
      <c r="B3" s="96">
        <v>0.11</v>
      </c>
    </row>
    <row r="4" spans="1:9" x14ac:dyDescent="0.3">
      <c r="A4" s="1" t="s">
        <v>38</v>
      </c>
      <c r="B4" s="1">
        <v>12</v>
      </c>
    </row>
    <row r="5" spans="1:9" x14ac:dyDescent="0.3">
      <c r="A5" s="1" t="s">
        <v>76</v>
      </c>
      <c r="B5" s="1">
        <v>18</v>
      </c>
    </row>
    <row r="6" spans="1:9" x14ac:dyDescent="0.3">
      <c r="A6" s="1" t="s">
        <v>95</v>
      </c>
      <c r="B6" s="99">
        <f>B3/B4</f>
        <v>9.1666666666666667E-3</v>
      </c>
    </row>
    <row r="7" spans="1:9" x14ac:dyDescent="0.3">
      <c r="A7" s="1" t="s">
        <v>6</v>
      </c>
      <c r="B7" s="31">
        <f>B5*B4</f>
        <v>216</v>
      </c>
    </row>
    <row r="8" spans="1:9" x14ac:dyDescent="0.3">
      <c r="A8" s="1" t="s">
        <v>157</v>
      </c>
      <c r="B8" s="1"/>
    </row>
    <row r="9" spans="1:9" x14ac:dyDescent="0.3">
      <c r="A9" s="1" t="s">
        <v>96</v>
      </c>
      <c r="B9" s="44">
        <f>B2/(((1+B6)^B7-1)/B6)</f>
        <v>370.95744124385374</v>
      </c>
    </row>
    <row r="10" spans="1:9" x14ac:dyDescent="0.3">
      <c r="A10" s="1" t="s">
        <v>96</v>
      </c>
      <c r="B10" s="51">
        <f>PMT(B6,B7,,B2)</f>
        <v>-370.95744124386232</v>
      </c>
    </row>
    <row r="11" spans="1:9" ht="28.8" x14ac:dyDescent="0.3">
      <c r="A11" s="1" t="s">
        <v>81</v>
      </c>
      <c r="B11" s="45" t="str">
        <f>IF(B10="","","If I want to save for my daughter's college education, I should invest "&amp;DOLLAR(-B10)&amp;" at the "&amp;IF(B8=0,"end",IF(B8=1,"beginning",""))&amp;" of each period (where i ="&amp;TEXT(B3,"0.00%")&amp;", n = "&amp;B4&amp;", x = "&amp;B5&amp;"). ")</f>
        <v xml:space="preserve">If I want to save for my daughter's college education, I should invest $370.96 at the end of each period (where i =11.00%, n = 12, x = 18). </v>
      </c>
      <c r="C11" s="46"/>
      <c r="D11" s="46"/>
      <c r="E11" s="46"/>
      <c r="F11" s="46"/>
      <c r="G11" s="4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00FF"/>
  </sheetPr>
  <dimension ref="A1:H17"/>
  <sheetViews>
    <sheetView zoomScaleNormal="100" workbookViewId="0"/>
  </sheetViews>
  <sheetFormatPr defaultRowHeight="14.4" x14ac:dyDescent="0.3"/>
  <cols>
    <col min="1" max="1" width="22.5546875" customWidth="1"/>
    <col min="6" max="6" width="11.6640625" bestFit="1" customWidth="1"/>
    <col min="257" max="257" width="22.5546875" customWidth="1"/>
    <col min="513" max="513" width="22.5546875" customWidth="1"/>
    <col min="769" max="769" width="22.5546875" customWidth="1"/>
    <col min="1025" max="1025" width="22.5546875" customWidth="1"/>
    <col min="1281" max="1281" width="22.5546875" customWidth="1"/>
    <col min="1537" max="1537" width="22.5546875" customWidth="1"/>
    <col min="1793" max="1793" width="22.5546875" customWidth="1"/>
    <col min="2049" max="2049" width="22.5546875" customWidth="1"/>
    <col min="2305" max="2305" width="22.5546875" customWidth="1"/>
    <col min="2561" max="2561" width="22.5546875" customWidth="1"/>
    <col min="2817" max="2817" width="22.5546875" customWidth="1"/>
    <col min="3073" max="3073" width="22.5546875" customWidth="1"/>
    <col min="3329" max="3329" width="22.5546875" customWidth="1"/>
    <col min="3585" max="3585" width="22.5546875" customWidth="1"/>
    <col min="3841" max="3841" width="22.5546875" customWidth="1"/>
    <col min="4097" max="4097" width="22.5546875" customWidth="1"/>
    <col min="4353" max="4353" width="22.5546875" customWidth="1"/>
    <col min="4609" max="4609" width="22.5546875" customWidth="1"/>
    <col min="4865" max="4865" width="22.5546875" customWidth="1"/>
    <col min="5121" max="5121" width="22.5546875" customWidth="1"/>
    <col min="5377" max="5377" width="22.5546875" customWidth="1"/>
    <col min="5633" max="5633" width="22.5546875" customWidth="1"/>
    <col min="5889" max="5889" width="22.5546875" customWidth="1"/>
    <col min="6145" max="6145" width="22.5546875" customWidth="1"/>
    <col min="6401" max="6401" width="22.5546875" customWidth="1"/>
    <col min="6657" max="6657" width="22.5546875" customWidth="1"/>
    <col min="6913" max="6913" width="22.5546875" customWidth="1"/>
    <col min="7169" max="7169" width="22.5546875" customWidth="1"/>
    <col min="7425" max="7425" width="22.5546875" customWidth="1"/>
    <col min="7681" max="7681" width="22.5546875" customWidth="1"/>
    <col min="7937" max="7937" width="22.5546875" customWidth="1"/>
    <col min="8193" max="8193" width="22.5546875" customWidth="1"/>
    <col min="8449" max="8449" width="22.5546875" customWidth="1"/>
    <col min="8705" max="8705" width="22.5546875" customWidth="1"/>
    <col min="8961" max="8961" width="22.5546875" customWidth="1"/>
    <col min="9217" max="9217" width="22.5546875" customWidth="1"/>
    <col min="9473" max="9473" width="22.5546875" customWidth="1"/>
    <col min="9729" max="9729" width="22.5546875" customWidth="1"/>
    <col min="9985" max="9985" width="22.5546875" customWidth="1"/>
    <col min="10241" max="10241" width="22.5546875" customWidth="1"/>
    <col min="10497" max="10497" width="22.5546875" customWidth="1"/>
    <col min="10753" max="10753" width="22.5546875" customWidth="1"/>
    <col min="11009" max="11009" width="22.5546875" customWidth="1"/>
    <col min="11265" max="11265" width="22.5546875" customWidth="1"/>
    <col min="11521" max="11521" width="22.5546875" customWidth="1"/>
    <col min="11777" max="11777" width="22.5546875" customWidth="1"/>
    <col min="12033" max="12033" width="22.5546875" customWidth="1"/>
    <col min="12289" max="12289" width="22.5546875" customWidth="1"/>
    <col min="12545" max="12545" width="22.5546875" customWidth="1"/>
    <col min="12801" max="12801" width="22.5546875" customWidth="1"/>
    <col min="13057" max="13057" width="22.5546875" customWidth="1"/>
    <col min="13313" max="13313" width="22.5546875" customWidth="1"/>
    <col min="13569" max="13569" width="22.5546875" customWidth="1"/>
    <col min="13825" max="13825" width="22.5546875" customWidth="1"/>
    <col min="14081" max="14081" width="22.5546875" customWidth="1"/>
    <col min="14337" max="14337" width="22.5546875" customWidth="1"/>
    <col min="14593" max="14593" width="22.5546875" customWidth="1"/>
    <col min="14849" max="14849" width="22.5546875" customWidth="1"/>
    <col min="15105" max="15105" width="22.5546875" customWidth="1"/>
    <col min="15361" max="15361" width="22.5546875" customWidth="1"/>
    <col min="15617" max="15617" width="22.5546875" customWidth="1"/>
    <col min="15873" max="15873" width="22.5546875" customWidth="1"/>
    <col min="16129" max="16129" width="22.5546875" customWidth="1"/>
  </cols>
  <sheetData>
    <row r="1" spans="1:8" ht="57.6" x14ac:dyDescent="0.3">
      <c r="A1" s="25" t="str">
        <f>"If we want to withdraw "&amp;DOLLAR(B2)&amp;" at the end of each year (these are cash flows in the future), for the next "&amp;B5&amp;" years, how much do we have to deposit in the bank today (Present Value) if the APR is "&amp;TEXT(B3,"0.00%")&amp;" compounded "&amp;B4&amp;" time a year?"</f>
        <v>If we want to withdraw $50.00 at the end of each year (these are cash flows in the future), for the next 3 years, how much do we have to deposit in the bank today (Present Value) if the APR is 12.00% compounded 1 time a year?</v>
      </c>
      <c r="B1" s="25"/>
      <c r="C1" s="95"/>
      <c r="D1" s="95"/>
      <c r="E1" s="92"/>
    </row>
    <row r="2" spans="1:8" x14ac:dyDescent="0.3">
      <c r="A2" s="1" t="s">
        <v>96</v>
      </c>
      <c r="B2" s="1">
        <v>50</v>
      </c>
    </row>
    <row r="3" spans="1:8" x14ac:dyDescent="0.3">
      <c r="A3" s="1" t="s">
        <v>100</v>
      </c>
      <c r="B3" s="1">
        <v>0.12</v>
      </c>
      <c r="C3" t="s">
        <v>160</v>
      </c>
    </row>
    <row r="4" spans="1:8" x14ac:dyDescent="0.3">
      <c r="A4" s="1" t="s">
        <v>38</v>
      </c>
      <c r="B4" s="1">
        <v>1</v>
      </c>
    </row>
    <row r="5" spans="1:8" x14ac:dyDescent="0.3">
      <c r="A5" s="1" t="s">
        <v>76</v>
      </c>
      <c r="B5" s="1">
        <v>3</v>
      </c>
      <c r="D5" s="1" t="s">
        <v>5</v>
      </c>
      <c r="E5" s="2"/>
      <c r="F5" s="1" t="s">
        <v>173</v>
      </c>
    </row>
    <row r="6" spans="1:8" x14ac:dyDescent="0.3">
      <c r="A6" s="1" t="s">
        <v>101</v>
      </c>
      <c r="B6" s="31"/>
      <c r="D6" s="1" t="s">
        <v>172</v>
      </c>
      <c r="E6" s="2"/>
      <c r="F6" s="1" t="s">
        <v>12</v>
      </c>
    </row>
    <row r="7" spans="1:8" x14ac:dyDescent="0.3">
      <c r="A7" s="1" t="s">
        <v>101</v>
      </c>
      <c r="B7" s="54"/>
    </row>
    <row r="8" spans="1:8" ht="69.599999999999994" customHeight="1" x14ac:dyDescent="0.3">
      <c r="A8" s="55" t="s">
        <v>81</v>
      </c>
      <c r="B8" s="33" t="str">
        <f>IF(B7="","","If we want to withdraw "&amp;DOLLAR(B2)&amp;" at the end of each year (these are cash flows in the future), for the next "&amp;B5&amp;" years, we would have to deposit "&amp;DOLLAR(B7)&amp;" in the bank today (Present Value) and the APR would have to be "&amp;TEXT(B3,"0.00%")&amp;" compounded "&amp;B4&amp;" time a year.")</f>
        <v/>
      </c>
      <c r="C8" s="46"/>
      <c r="D8" s="46"/>
      <c r="E8" s="46"/>
      <c r="F8" s="46"/>
      <c r="G8" s="46"/>
      <c r="H8" s="47"/>
    </row>
    <row r="10" spans="1:8" x14ac:dyDescent="0.3">
      <c r="A10" t="s">
        <v>102</v>
      </c>
    </row>
    <row r="11" spans="1:8" x14ac:dyDescent="0.3">
      <c r="A11" s="1" t="s">
        <v>25</v>
      </c>
      <c r="B11" s="1" t="s">
        <v>103</v>
      </c>
      <c r="C11" s="1"/>
    </row>
    <row r="12" spans="1:8" x14ac:dyDescent="0.3">
      <c r="A12" s="1">
        <v>0</v>
      </c>
      <c r="B12" s="1"/>
      <c r="C12" s="1"/>
      <c r="G12" s="1" t="s">
        <v>87</v>
      </c>
      <c r="H12" s="1" t="s">
        <v>87</v>
      </c>
    </row>
    <row r="13" spans="1:8" x14ac:dyDescent="0.3">
      <c r="A13" s="1">
        <v>1</v>
      </c>
      <c r="B13" s="1">
        <f>$B$2</f>
        <v>50</v>
      </c>
      <c r="C13" s="22"/>
      <c r="G13" s="1">
        <f>B13/((1+$B$3/$B$4)^A13)</f>
        <v>44.642857142857139</v>
      </c>
      <c r="H13" s="1">
        <f>B13/((1+$B$3/$B$4)^ROWS(B13:$B$13))</f>
        <v>44.642857142857139</v>
      </c>
    </row>
    <row r="14" spans="1:8" x14ac:dyDescent="0.3">
      <c r="A14" s="1">
        <v>2</v>
      </c>
      <c r="B14" s="1">
        <f>$B$2</f>
        <v>50</v>
      </c>
      <c r="C14" s="22"/>
      <c r="G14" s="1">
        <f>B14/((1+$B$3/$B$4)^A14)</f>
        <v>39.859693877551017</v>
      </c>
      <c r="H14" s="1">
        <f>B14/((1+$B$3/$B$4)^ROWS(B$13:$B14))</f>
        <v>39.859693877551017</v>
      </c>
    </row>
    <row r="15" spans="1:8" x14ac:dyDescent="0.3">
      <c r="A15" s="1">
        <v>3</v>
      </c>
      <c r="B15" s="1">
        <f>$B$2</f>
        <v>50</v>
      </c>
      <c r="C15" s="22"/>
      <c r="G15" s="1">
        <f>B15/((1+$B$3/$B$4)^A15)</f>
        <v>35.589012390670547</v>
      </c>
      <c r="H15" s="1">
        <f>B15/((1+$B$3/$B$4)^ROWS(B$13:$B15))</f>
        <v>35.589012390670547</v>
      </c>
    </row>
    <row r="16" spans="1:8" ht="15" thickBot="1" x14ac:dyDescent="0.35">
      <c r="C16" s="24"/>
      <c r="G16" s="1">
        <f>SUM(G13:G15)</f>
        <v>120.09156341107871</v>
      </c>
      <c r="H16" s="1">
        <f>SUM(H13:H15)</f>
        <v>120.09156341107871</v>
      </c>
    </row>
    <row r="17" ht="15" thickTop="1" x14ac:dyDescent="0.3"/>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H17"/>
  <sheetViews>
    <sheetView workbookViewId="0"/>
  </sheetViews>
  <sheetFormatPr defaultRowHeight="14.4" x14ac:dyDescent="0.3"/>
  <cols>
    <col min="1" max="1" width="22.5546875" customWidth="1"/>
    <col min="257" max="257" width="22.5546875" customWidth="1"/>
    <col min="513" max="513" width="22.5546875" customWidth="1"/>
    <col min="769" max="769" width="22.5546875" customWidth="1"/>
    <col min="1025" max="1025" width="22.5546875" customWidth="1"/>
    <col min="1281" max="1281" width="22.5546875" customWidth="1"/>
    <col min="1537" max="1537" width="22.5546875" customWidth="1"/>
    <col min="1793" max="1793" width="22.5546875" customWidth="1"/>
    <col min="2049" max="2049" width="22.5546875" customWidth="1"/>
    <col min="2305" max="2305" width="22.5546875" customWidth="1"/>
    <col min="2561" max="2561" width="22.5546875" customWidth="1"/>
    <col min="2817" max="2817" width="22.5546875" customWidth="1"/>
    <col min="3073" max="3073" width="22.5546875" customWidth="1"/>
    <col min="3329" max="3329" width="22.5546875" customWidth="1"/>
    <col min="3585" max="3585" width="22.5546875" customWidth="1"/>
    <col min="3841" max="3841" width="22.5546875" customWidth="1"/>
    <col min="4097" max="4097" width="22.5546875" customWidth="1"/>
    <col min="4353" max="4353" width="22.5546875" customWidth="1"/>
    <col min="4609" max="4609" width="22.5546875" customWidth="1"/>
    <col min="4865" max="4865" width="22.5546875" customWidth="1"/>
    <col min="5121" max="5121" width="22.5546875" customWidth="1"/>
    <col min="5377" max="5377" width="22.5546875" customWidth="1"/>
    <col min="5633" max="5633" width="22.5546875" customWidth="1"/>
    <col min="5889" max="5889" width="22.5546875" customWidth="1"/>
    <col min="6145" max="6145" width="22.5546875" customWidth="1"/>
    <col min="6401" max="6401" width="22.5546875" customWidth="1"/>
    <col min="6657" max="6657" width="22.5546875" customWidth="1"/>
    <col min="6913" max="6913" width="22.5546875" customWidth="1"/>
    <col min="7169" max="7169" width="22.5546875" customWidth="1"/>
    <col min="7425" max="7425" width="22.5546875" customWidth="1"/>
    <col min="7681" max="7681" width="22.5546875" customWidth="1"/>
    <col min="7937" max="7937" width="22.5546875" customWidth="1"/>
    <col min="8193" max="8193" width="22.5546875" customWidth="1"/>
    <col min="8449" max="8449" width="22.5546875" customWidth="1"/>
    <col min="8705" max="8705" width="22.5546875" customWidth="1"/>
    <col min="8961" max="8961" width="22.5546875" customWidth="1"/>
    <col min="9217" max="9217" width="22.5546875" customWidth="1"/>
    <col min="9473" max="9473" width="22.5546875" customWidth="1"/>
    <col min="9729" max="9729" width="22.5546875" customWidth="1"/>
    <col min="9985" max="9985" width="22.5546875" customWidth="1"/>
    <col min="10241" max="10241" width="22.5546875" customWidth="1"/>
    <col min="10497" max="10497" width="22.5546875" customWidth="1"/>
    <col min="10753" max="10753" width="22.5546875" customWidth="1"/>
    <col min="11009" max="11009" width="22.5546875" customWidth="1"/>
    <col min="11265" max="11265" width="22.5546875" customWidth="1"/>
    <col min="11521" max="11521" width="22.5546875" customWidth="1"/>
    <col min="11777" max="11777" width="22.5546875" customWidth="1"/>
    <col min="12033" max="12033" width="22.5546875" customWidth="1"/>
    <col min="12289" max="12289" width="22.5546875" customWidth="1"/>
    <col min="12545" max="12545" width="22.5546875" customWidth="1"/>
    <col min="12801" max="12801" width="22.5546875" customWidth="1"/>
    <col min="13057" max="13057" width="22.5546875" customWidth="1"/>
    <col min="13313" max="13313" width="22.5546875" customWidth="1"/>
    <col min="13569" max="13569" width="22.5546875" customWidth="1"/>
    <col min="13825" max="13825" width="22.5546875" customWidth="1"/>
    <col min="14081" max="14081" width="22.5546875" customWidth="1"/>
    <col min="14337" max="14337" width="22.5546875" customWidth="1"/>
    <col min="14593" max="14593" width="22.5546875" customWidth="1"/>
    <col min="14849" max="14849" width="22.5546875" customWidth="1"/>
    <col min="15105" max="15105" width="22.5546875" customWidth="1"/>
    <col min="15361" max="15361" width="22.5546875" customWidth="1"/>
    <col min="15617" max="15617" width="22.5546875" customWidth="1"/>
    <col min="15873" max="15873" width="22.5546875" customWidth="1"/>
    <col min="16129" max="16129" width="22.5546875" customWidth="1"/>
  </cols>
  <sheetData>
    <row r="1" spans="1:8" ht="57.6" x14ac:dyDescent="0.3">
      <c r="A1" s="25" t="str">
        <f>"If we want to withdraw "&amp;DOLLAR(B2)&amp;" at the end of each year (these are cash flows in the future), for the next "&amp;B5&amp;" years, how much do we have to deposit in the bank today (Present Value) if the APR is "&amp;TEXT(B3,"0.00%")&amp;" compounded "&amp;B4&amp;" time a year?"</f>
        <v>If we want to withdraw $50.00 at the end of each year (these are cash flows in the future), for the next 3 years, how much do we have to deposit in the bank today (Present Value) if the APR is 12.00% compounded 1 time a year?</v>
      </c>
      <c r="B1" s="25"/>
      <c r="C1" s="95"/>
      <c r="D1" s="95"/>
      <c r="E1" s="92"/>
    </row>
    <row r="2" spans="1:8" x14ac:dyDescent="0.3">
      <c r="A2" s="1" t="s">
        <v>96</v>
      </c>
      <c r="B2" s="1">
        <v>50</v>
      </c>
    </row>
    <row r="3" spans="1:8" x14ac:dyDescent="0.3">
      <c r="A3" s="1" t="s">
        <v>100</v>
      </c>
      <c r="B3" s="1">
        <v>0.12</v>
      </c>
      <c r="C3" t="s">
        <v>160</v>
      </c>
    </row>
    <row r="4" spans="1:8" x14ac:dyDescent="0.3">
      <c r="A4" s="1" t="s">
        <v>38</v>
      </c>
      <c r="B4" s="1">
        <v>1</v>
      </c>
    </row>
    <row r="5" spans="1:8" x14ac:dyDescent="0.3">
      <c r="A5" s="1" t="s">
        <v>76</v>
      </c>
      <c r="B5" s="1">
        <v>3</v>
      </c>
      <c r="D5" s="1" t="s">
        <v>5</v>
      </c>
      <c r="E5" s="2">
        <f>B3/B4</f>
        <v>0.12</v>
      </c>
      <c r="F5" s="1" t="s">
        <v>173</v>
      </c>
    </row>
    <row r="6" spans="1:8" x14ac:dyDescent="0.3">
      <c r="A6" s="1" t="s">
        <v>101</v>
      </c>
      <c r="B6" s="31">
        <f>B2*(1-(1+E5)^-E6)/E5</f>
        <v>120.09156341107881</v>
      </c>
      <c r="D6" s="1" t="s">
        <v>172</v>
      </c>
      <c r="E6" s="2">
        <f>B5*B4</f>
        <v>3</v>
      </c>
      <c r="F6" s="1" t="s">
        <v>12</v>
      </c>
    </row>
    <row r="7" spans="1:8" x14ac:dyDescent="0.3">
      <c r="A7" s="1" t="s">
        <v>101</v>
      </c>
      <c r="B7" s="54">
        <f>PV(E5,E6,B2)</f>
        <v>-120.09156341107881</v>
      </c>
    </row>
    <row r="8" spans="1:8" ht="57.6" x14ac:dyDescent="0.3">
      <c r="A8" s="55" t="s">
        <v>81</v>
      </c>
      <c r="B8" s="33" t="str">
        <f>IF(B7="","","If we want to withdraw "&amp;DOLLAR(B2)&amp;" at the end of each year (these are cash flows in the future), for the next "&amp;B5&amp;" years, we would have to deposit "&amp;DOLLAR(B7)&amp;" in the bank today (Present Value) and the APR would have to be "&amp;TEXT(B3,"0.00%")&amp;" compounded "&amp;B4&amp;" time a year.")</f>
        <v>If we want to withdraw $50.00 at the end of each year (these are cash flows in the future), for the next 3 years, we would have to deposit ($120.09) in the bank today (Present Value) and the APR would have to be 12.00% compounded 1 time a year.</v>
      </c>
      <c r="C8" s="46"/>
      <c r="D8" s="46"/>
      <c r="E8" s="46"/>
      <c r="F8" s="46"/>
      <c r="G8" s="46"/>
      <c r="H8" s="47"/>
    </row>
    <row r="10" spans="1:8" x14ac:dyDescent="0.3">
      <c r="A10" t="s">
        <v>102</v>
      </c>
    </row>
    <row r="11" spans="1:8" x14ac:dyDescent="0.3">
      <c r="A11" s="1" t="s">
        <v>25</v>
      </c>
      <c r="B11" s="1" t="s">
        <v>103</v>
      </c>
      <c r="C11" s="1"/>
    </row>
    <row r="12" spans="1:8" x14ac:dyDescent="0.3">
      <c r="A12" s="1">
        <v>0</v>
      </c>
      <c r="B12" s="1"/>
      <c r="C12" s="1"/>
      <c r="G12" s="1" t="s">
        <v>87</v>
      </c>
      <c r="H12" s="1" t="s">
        <v>87</v>
      </c>
    </row>
    <row r="13" spans="1:8" x14ac:dyDescent="0.3">
      <c r="A13" s="1">
        <v>1</v>
      </c>
      <c r="B13" s="1">
        <f>$B$2</f>
        <v>50</v>
      </c>
      <c r="C13" s="22">
        <f>PV($B$3/$B$4,A13,,B13)</f>
        <v>-44.642857142857139</v>
      </c>
      <c r="G13" s="1">
        <f>B13/((1+$B$3/$B$4)^A13)</f>
        <v>44.642857142857139</v>
      </c>
      <c r="H13" s="1">
        <f>B13/((1+$B$3/$B$4)^ROWS(B13:$B$13))</f>
        <v>44.642857142857139</v>
      </c>
    </row>
    <row r="14" spans="1:8" x14ac:dyDescent="0.3">
      <c r="A14" s="1">
        <v>2</v>
      </c>
      <c r="B14" s="1">
        <f>$B$2</f>
        <v>50</v>
      </c>
      <c r="C14" s="22">
        <f t="shared" ref="C14:C15" si="0">PV($B$3/$B$4,A14,,B14)</f>
        <v>-39.859693877551017</v>
      </c>
      <c r="G14" s="1">
        <f>B14/((1+$B$3/$B$4)^A14)</f>
        <v>39.859693877551017</v>
      </c>
      <c r="H14" s="1">
        <f>B14/((1+$B$3/$B$4)^ROWS(B$13:$B14))</f>
        <v>39.859693877551017</v>
      </c>
    </row>
    <row r="15" spans="1:8" x14ac:dyDescent="0.3">
      <c r="A15" s="1">
        <v>3</v>
      </c>
      <c r="B15" s="1">
        <f>$B$2</f>
        <v>50</v>
      </c>
      <c r="C15" s="22">
        <f t="shared" si="0"/>
        <v>-35.589012390670547</v>
      </c>
      <c r="G15" s="1">
        <f>B15/((1+$B$3/$B$4)^A15)</f>
        <v>35.589012390670547</v>
      </c>
      <c r="H15" s="1">
        <f>B15/((1+$B$3/$B$4)^ROWS(B$13:$B15))</f>
        <v>35.589012390670547</v>
      </c>
    </row>
    <row r="16" spans="1:8" ht="15" thickBot="1" x14ac:dyDescent="0.35">
      <c r="C16" s="24">
        <f>SUM(C13:C15)</f>
        <v>-120.09156341107871</v>
      </c>
      <c r="G16" s="1">
        <f>SUM(G13:G15)</f>
        <v>120.09156341107871</v>
      </c>
      <c r="H16" s="1">
        <f>SUM(H13:H15)</f>
        <v>120.09156341107871</v>
      </c>
    </row>
    <row r="17" ht="15" thickTop="1" x14ac:dyDescent="0.3"/>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2"/>
  <sheetViews>
    <sheetView workbookViewId="0"/>
  </sheetViews>
  <sheetFormatPr defaultRowHeight="14.4" x14ac:dyDescent="0.3"/>
  <sheetData>
    <row r="1" spans="1:10" x14ac:dyDescent="0.3">
      <c r="A1" s="1" t="s">
        <v>14</v>
      </c>
      <c r="B1" s="1" t="s">
        <v>15</v>
      </c>
      <c r="C1" s="1" t="s">
        <v>16</v>
      </c>
      <c r="D1" s="1" t="s">
        <v>17</v>
      </c>
      <c r="E1" s="1" t="s">
        <v>18</v>
      </c>
      <c r="F1" s="1" t="s">
        <v>19</v>
      </c>
      <c r="G1" s="1" t="s">
        <v>20</v>
      </c>
      <c r="H1" s="1" t="s">
        <v>21</v>
      </c>
      <c r="I1" s="1"/>
      <c r="J1" s="1" t="s">
        <v>202</v>
      </c>
    </row>
    <row r="2" spans="1:10" x14ac:dyDescent="0.3">
      <c r="A2" s="1"/>
      <c r="B2" s="1">
        <v>3000</v>
      </c>
      <c r="C2" s="1">
        <v>3000</v>
      </c>
      <c r="D2" s="1">
        <v>3000</v>
      </c>
      <c r="E2" s="1">
        <v>3000</v>
      </c>
      <c r="F2" s="1">
        <v>3000</v>
      </c>
      <c r="G2" s="1">
        <v>3000</v>
      </c>
      <c r="H2" s="1">
        <v>3000</v>
      </c>
      <c r="I2" s="1" t="s">
        <v>200</v>
      </c>
      <c r="J2" s="1">
        <v>3000</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00FF"/>
  </sheetPr>
  <dimension ref="A1:E22"/>
  <sheetViews>
    <sheetView zoomScale="115" zoomScaleNormal="115" workbookViewId="0"/>
  </sheetViews>
  <sheetFormatPr defaultRowHeight="14.4" x14ac:dyDescent="0.3"/>
  <cols>
    <col min="1" max="1" width="24.44140625" customWidth="1"/>
    <col min="2" max="2" width="16.33203125" bestFit="1" customWidth="1"/>
    <col min="3" max="5" width="17.33203125" customWidth="1"/>
    <col min="257" max="257" width="24.44140625" customWidth="1"/>
    <col min="258" max="258" width="16.33203125" bestFit="1" customWidth="1"/>
    <col min="259" max="261" width="17.33203125" customWidth="1"/>
    <col min="513" max="513" width="24.44140625" customWidth="1"/>
    <col min="514" max="514" width="16.33203125" bestFit="1" customWidth="1"/>
    <col min="515" max="517" width="17.33203125" customWidth="1"/>
    <col min="769" max="769" width="24.44140625" customWidth="1"/>
    <col min="770" max="770" width="16.33203125" bestFit="1" customWidth="1"/>
    <col min="771" max="773" width="17.33203125" customWidth="1"/>
    <col min="1025" max="1025" width="24.44140625" customWidth="1"/>
    <col min="1026" max="1026" width="16.33203125" bestFit="1" customWidth="1"/>
    <col min="1027" max="1029" width="17.33203125" customWidth="1"/>
    <col min="1281" max="1281" width="24.44140625" customWidth="1"/>
    <col min="1282" max="1282" width="16.33203125" bestFit="1" customWidth="1"/>
    <col min="1283" max="1285" width="17.33203125" customWidth="1"/>
    <col min="1537" max="1537" width="24.44140625" customWidth="1"/>
    <col min="1538" max="1538" width="16.33203125" bestFit="1" customWidth="1"/>
    <col min="1539" max="1541" width="17.33203125" customWidth="1"/>
    <col min="1793" max="1793" width="24.44140625" customWidth="1"/>
    <col min="1794" max="1794" width="16.33203125" bestFit="1" customWidth="1"/>
    <col min="1795" max="1797" width="17.33203125" customWidth="1"/>
    <col min="2049" max="2049" width="24.44140625" customWidth="1"/>
    <col min="2050" max="2050" width="16.33203125" bestFit="1" customWidth="1"/>
    <col min="2051" max="2053" width="17.33203125" customWidth="1"/>
    <col min="2305" max="2305" width="24.44140625" customWidth="1"/>
    <col min="2306" max="2306" width="16.33203125" bestFit="1" customWidth="1"/>
    <col min="2307" max="2309" width="17.33203125" customWidth="1"/>
    <col min="2561" max="2561" width="24.44140625" customWidth="1"/>
    <col min="2562" max="2562" width="16.33203125" bestFit="1" customWidth="1"/>
    <col min="2563" max="2565" width="17.33203125" customWidth="1"/>
    <col min="2817" max="2817" width="24.44140625" customWidth="1"/>
    <col min="2818" max="2818" width="16.33203125" bestFit="1" customWidth="1"/>
    <col min="2819" max="2821" width="17.33203125" customWidth="1"/>
    <col min="3073" max="3073" width="24.44140625" customWidth="1"/>
    <col min="3074" max="3074" width="16.33203125" bestFit="1" customWidth="1"/>
    <col min="3075" max="3077" width="17.33203125" customWidth="1"/>
    <col min="3329" max="3329" width="24.44140625" customWidth="1"/>
    <col min="3330" max="3330" width="16.33203125" bestFit="1" customWidth="1"/>
    <col min="3331" max="3333" width="17.33203125" customWidth="1"/>
    <col min="3585" max="3585" width="24.44140625" customWidth="1"/>
    <col min="3586" max="3586" width="16.33203125" bestFit="1" customWidth="1"/>
    <col min="3587" max="3589" width="17.33203125" customWidth="1"/>
    <col min="3841" max="3841" width="24.44140625" customWidth="1"/>
    <col min="3842" max="3842" width="16.33203125" bestFit="1" customWidth="1"/>
    <col min="3843" max="3845" width="17.33203125" customWidth="1"/>
    <col min="4097" max="4097" width="24.44140625" customWidth="1"/>
    <col min="4098" max="4098" width="16.33203125" bestFit="1" customWidth="1"/>
    <col min="4099" max="4101" width="17.33203125" customWidth="1"/>
    <col min="4353" max="4353" width="24.44140625" customWidth="1"/>
    <col min="4354" max="4354" width="16.33203125" bestFit="1" customWidth="1"/>
    <col min="4355" max="4357" width="17.33203125" customWidth="1"/>
    <col min="4609" max="4609" width="24.44140625" customWidth="1"/>
    <col min="4610" max="4610" width="16.33203125" bestFit="1" customWidth="1"/>
    <col min="4611" max="4613" width="17.33203125" customWidth="1"/>
    <col min="4865" max="4865" width="24.44140625" customWidth="1"/>
    <col min="4866" max="4866" width="16.33203125" bestFit="1" customWidth="1"/>
    <col min="4867" max="4869" width="17.33203125" customWidth="1"/>
    <col min="5121" max="5121" width="24.44140625" customWidth="1"/>
    <col min="5122" max="5122" width="16.33203125" bestFit="1" customWidth="1"/>
    <col min="5123" max="5125" width="17.33203125" customWidth="1"/>
    <col min="5377" max="5377" width="24.44140625" customWidth="1"/>
    <col min="5378" max="5378" width="16.33203125" bestFit="1" customWidth="1"/>
    <col min="5379" max="5381" width="17.33203125" customWidth="1"/>
    <col min="5633" max="5633" width="24.44140625" customWidth="1"/>
    <col min="5634" max="5634" width="16.33203125" bestFit="1" customWidth="1"/>
    <col min="5635" max="5637" width="17.33203125" customWidth="1"/>
    <col min="5889" max="5889" width="24.44140625" customWidth="1"/>
    <col min="5890" max="5890" width="16.33203125" bestFit="1" customWidth="1"/>
    <col min="5891" max="5893" width="17.33203125" customWidth="1"/>
    <col min="6145" max="6145" width="24.44140625" customWidth="1"/>
    <col min="6146" max="6146" width="16.33203125" bestFit="1" customWidth="1"/>
    <col min="6147" max="6149" width="17.33203125" customWidth="1"/>
    <col min="6401" max="6401" width="24.44140625" customWidth="1"/>
    <col min="6402" max="6402" width="16.33203125" bestFit="1" customWidth="1"/>
    <col min="6403" max="6405" width="17.33203125" customWidth="1"/>
    <col min="6657" max="6657" width="24.44140625" customWidth="1"/>
    <col min="6658" max="6658" width="16.33203125" bestFit="1" customWidth="1"/>
    <col min="6659" max="6661" width="17.33203125" customWidth="1"/>
    <col min="6913" max="6913" width="24.44140625" customWidth="1"/>
    <col min="6914" max="6914" width="16.33203125" bestFit="1" customWidth="1"/>
    <col min="6915" max="6917" width="17.33203125" customWidth="1"/>
    <col min="7169" max="7169" width="24.44140625" customWidth="1"/>
    <col min="7170" max="7170" width="16.33203125" bestFit="1" customWidth="1"/>
    <col min="7171" max="7173" width="17.33203125" customWidth="1"/>
    <col min="7425" max="7425" width="24.44140625" customWidth="1"/>
    <col min="7426" max="7426" width="16.33203125" bestFit="1" customWidth="1"/>
    <col min="7427" max="7429" width="17.33203125" customWidth="1"/>
    <col min="7681" max="7681" width="24.44140625" customWidth="1"/>
    <col min="7682" max="7682" width="16.33203125" bestFit="1" customWidth="1"/>
    <col min="7683" max="7685" width="17.33203125" customWidth="1"/>
    <col min="7937" max="7937" width="24.44140625" customWidth="1"/>
    <col min="7938" max="7938" width="16.33203125" bestFit="1" customWidth="1"/>
    <col min="7939" max="7941" width="17.33203125" customWidth="1"/>
    <col min="8193" max="8193" width="24.44140625" customWidth="1"/>
    <col min="8194" max="8194" width="16.33203125" bestFit="1" customWidth="1"/>
    <col min="8195" max="8197" width="17.33203125" customWidth="1"/>
    <col min="8449" max="8449" width="24.44140625" customWidth="1"/>
    <col min="8450" max="8450" width="16.33203125" bestFit="1" customWidth="1"/>
    <col min="8451" max="8453" width="17.33203125" customWidth="1"/>
    <col min="8705" max="8705" width="24.44140625" customWidth="1"/>
    <col min="8706" max="8706" width="16.33203125" bestFit="1" customWidth="1"/>
    <col min="8707" max="8709" width="17.33203125" customWidth="1"/>
    <col min="8961" max="8961" width="24.44140625" customWidth="1"/>
    <col min="8962" max="8962" width="16.33203125" bestFit="1" customWidth="1"/>
    <col min="8963" max="8965" width="17.33203125" customWidth="1"/>
    <col min="9217" max="9217" width="24.44140625" customWidth="1"/>
    <col min="9218" max="9218" width="16.33203125" bestFit="1" customWidth="1"/>
    <col min="9219" max="9221" width="17.33203125" customWidth="1"/>
    <col min="9473" max="9473" width="24.44140625" customWidth="1"/>
    <col min="9474" max="9474" width="16.33203125" bestFit="1" customWidth="1"/>
    <col min="9475" max="9477" width="17.33203125" customWidth="1"/>
    <col min="9729" max="9729" width="24.44140625" customWidth="1"/>
    <col min="9730" max="9730" width="16.33203125" bestFit="1" customWidth="1"/>
    <col min="9731" max="9733" width="17.33203125" customWidth="1"/>
    <col min="9985" max="9985" width="24.44140625" customWidth="1"/>
    <col min="9986" max="9986" width="16.33203125" bestFit="1" customWidth="1"/>
    <col min="9987" max="9989" width="17.33203125" customWidth="1"/>
    <col min="10241" max="10241" width="24.44140625" customWidth="1"/>
    <col min="10242" max="10242" width="16.33203125" bestFit="1" customWidth="1"/>
    <col min="10243" max="10245" width="17.33203125" customWidth="1"/>
    <col min="10497" max="10497" width="24.44140625" customWidth="1"/>
    <col min="10498" max="10498" width="16.33203125" bestFit="1" customWidth="1"/>
    <col min="10499" max="10501" width="17.33203125" customWidth="1"/>
    <col min="10753" max="10753" width="24.44140625" customWidth="1"/>
    <col min="10754" max="10754" width="16.33203125" bestFit="1" customWidth="1"/>
    <col min="10755" max="10757" width="17.33203125" customWidth="1"/>
    <col min="11009" max="11009" width="24.44140625" customWidth="1"/>
    <col min="11010" max="11010" width="16.33203125" bestFit="1" customWidth="1"/>
    <col min="11011" max="11013" width="17.33203125" customWidth="1"/>
    <col min="11265" max="11265" width="24.44140625" customWidth="1"/>
    <col min="11266" max="11266" width="16.33203125" bestFit="1" customWidth="1"/>
    <col min="11267" max="11269" width="17.33203125" customWidth="1"/>
    <col min="11521" max="11521" width="24.44140625" customWidth="1"/>
    <col min="11522" max="11522" width="16.33203125" bestFit="1" customWidth="1"/>
    <col min="11523" max="11525" width="17.33203125" customWidth="1"/>
    <col min="11777" max="11777" width="24.44140625" customWidth="1"/>
    <col min="11778" max="11778" width="16.33203125" bestFit="1" customWidth="1"/>
    <col min="11779" max="11781" width="17.33203125" customWidth="1"/>
    <col min="12033" max="12033" width="24.44140625" customWidth="1"/>
    <col min="12034" max="12034" width="16.33203125" bestFit="1" customWidth="1"/>
    <col min="12035" max="12037" width="17.33203125" customWidth="1"/>
    <col min="12289" max="12289" width="24.44140625" customWidth="1"/>
    <col min="12290" max="12290" width="16.33203125" bestFit="1" customWidth="1"/>
    <col min="12291" max="12293" width="17.33203125" customWidth="1"/>
    <col min="12545" max="12545" width="24.44140625" customWidth="1"/>
    <col min="12546" max="12546" width="16.33203125" bestFit="1" customWidth="1"/>
    <col min="12547" max="12549" width="17.33203125" customWidth="1"/>
    <col min="12801" max="12801" width="24.44140625" customWidth="1"/>
    <col min="12802" max="12802" width="16.33203125" bestFit="1" customWidth="1"/>
    <col min="12803" max="12805" width="17.33203125" customWidth="1"/>
    <col min="13057" max="13057" width="24.44140625" customWidth="1"/>
    <col min="13058" max="13058" width="16.33203125" bestFit="1" customWidth="1"/>
    <col min="13059" max="13061" width="17.33203125" customWidth="1"/>
    <col min="13313" max="13313" width="24.44140625" customWidth="1"/>
    <col min="13314" max="13314" width="16.33203125" bestFit="1" customWidth="1"/>
    <col min="13315" max="13317" width="17.33203125" customWidth="1"/>
    <col min="13569" max="13569" width="24.44140625" customWidth="1"/>
    <col min="13570" max="13570" width="16.33203125" bestFit="1" customWidth="1"/>
    <col min="13571" max="13573" width="17.33203125" customWidth="1"/>
    <col min="13825" max="13825" width="24.44140625" customWidth="1"/>
    <col min="13826" max="13826" width="16.33203125" bestFit="1" customWidth="1"/>
    <col min="13827" max="13829" width="17.33203125" customWidth="1"/>
    <col min="14081" max="14081" width="24.44140625" customWidth="1"/>
    <col min="14082" max="14082" width="16.33203125" bestFit="1" customWidth="1"/>
    <col min="14083" max="14085" width="17.33203125" customWidth="1"/>
    <col min="14337" max="14337" width="24.44140625" customWidth="1"/>
    <col min="14338" max="14338" width="16.33203125" bestFit="1" customWidth="1"/>
    <col min="14339" max="14341" width="17.33203125" customWidth="1"/>
    <col min="14593" max="14593" width="24.44140625" customWidth="1"/>
    <col min="14594" max="14594" width="16.33203125" bestFit="1" customWidth="1"/>
    <col min="14595" max="14597" width="17.33203125" customWidth="1"/>
    <col min="14849" max="14849" width="24.44140625" customWidth="1"/>
    <col min="14850" max="14850" width="16.33203125" bestFit="1" customWidth="1"/>
    <col min="14851" max="14853" width="17.33203125" customWidth="1"/>
    <col min="15105" max="15105" width="24.44140625" customWidth="1"/>
    <col min="15106" max="15106" width="16.33203125" bestFit="1" customWidth="1"/>
    <col min="15107" max="15109" width="17.33203125" customWidth="1"/>
    <col min="15361" max="15361" width="24.44140625" customWidth="1"/>
    <col min="15362" max="15362" width="16.33203125" bestFit="1" customWidth="1"/>
    <col min="15363" max="15365" width="17.33203125" customWidth="1"/>
    <col min="15617" max="15617" width="24.44140625" customWidth="1"/>
    <col min="15618" max="15618" width="16.33203125" bestFit="1" customWidth="1"/>
    <col min="15619" max="15621" width="17.33203125" customWidth="1"/>
    <col min="15873" max="15873" width="24.44140625" customWidth="1"/>
    <col min="15874" max="15874" width="16.33203125" bestFit="1" customWidth="1"/>
    <col min="15875" max="15877" width="17.33203125" customWidth="1"/>
    <col min="16129" max="16129" width="24.44140625" customWidth="1"/>
    <col min="16130" max="16130" width="16.33203125" bestFit="1" customWidth="1"/>
    <col min="16131" max="16133" width="17.33203125" customWidth="1"/>
  </cols>
  <sheetData>
    <row r="1" spans="1:5" ht="28.8" x14ac:dyDescent="0.3">
      <c r="A1" s="25" t="str">
        <f>"Ex 28: How much do you have to have in the bank when you retire if you want to withdraw "&amp;DOLLAR(-B2)&amp;" at the end of each period for the next "&amp;B5&amp;" years and you can earn "&amp;TEXT(B3,"0.00%")&amp;" compounded "&amp;B4&amp;" times a year?"</f>
        <v>Ex 28: How much do you have to have in the bank when you retire if you want to withdraw ($3,000.00) at the end of each period for the next 35 years and you can earn 6.00% compounded 12 times a year?</v>
      </c>
      <c r="B1" s="25"/>
      <c r="C1" s="95"/>
      <c r="D1" s="95"/>
      <c r="E1" s="92"/>
    </row>
    <row r="2" spans="1:5" x14ac:dyDescent="0.3">
      <c r="A2" s="1" t="s">
        <v>96</v>
      </c>
      <c r="B2" s="1">
        <v>3000</v>
      </c>
    </row>
    <row r="3" spans="1:5" x14ac:dyDescent="0.3">
      <c r="A3" s="1" t="s">
        <v>104</v>
      </c>
      <c r="B3" s="1">
        <v>0.06</v>
      </c>
    </row>
    <row r="4" spans="1:5" x14ac:dyDescent="0.3">
      <c r="A4" s="1" t="s">
        <v>38</v>
      </c>
      <c r="B4" s="1">
        <v>12</v>
      </c>
    </row>
    <row r="5" spans="1:5" x14ac:dyDescent="0.3">
      <c r="A5" s="1" t="s">
        <v>76</v>
      </c>
      <c r="B5" s="1">
        <v>35</v>
      </c>
    </row>
    <row r="6" spans="1:5" x14ac:dyDescent="0.3">
      <c r="A6" s="1" t="s">
        <v>101</v>
      </c>
      <c r="B6" s="57"/>
    </row>
    <row r="7" spans="1:5" x14ac:dyDescent="0.3">
      <c r="A7" s="1" t="s">
        <v>101</v>
      </c>
      <c r="B7" s="59"/>
    </row>
    <row r="8" spans="1:5" ht="43.2" x14ac:dyDescent="0.3">
      <c r="A8" s="55" t="s">
        <v>81</v>
      </c>
      <c r="B8" s="45" t="str">
        <f>IF(B7="","","You have to have "&amp;DOLLAR(-B7)&amp;" in the bank when you retire if you want to withdraw "&amp;DOLLAR(-B2)&amp;" at the end of each period for the next "&amp;B5&amp;" years and you can earn "&amp;TEXT(B3,"0.00%")&amp;" compounded "&amp;B4&amp;" times a year.")</f>
        <v/>
      </c>
      <c r="C8" s="46"/>
      <c r="D8" s="46"/>
      <c r="E8" s="47"/>
    </row>
    <row r="10" spans="1:5" ht="28.8" x14ac:dyDescent="0.3">
      <c r="A10" s="25" t="str">
        <f>"Ex 29: If you need "&amp;DOLLAR(-PV(B3/B4,B5*B4,B2))&amp;" when you retire, how much do you need to invest each period if you are "&amp;B14&amp;" and you plan to retire when you are "&amp;B15&amp;" (i = "&amp;TEXT(B12,"0.00%")&amp;", n = "&amp;B13&amp;")."</f>
        <v>Ex 29: If you need $526,140.68 when you retire, how much do you need to invest each period if you are 28 and you plan to retire when you are 70 (i = 10.00%, n = 12).</v>
      </c>
      <c r="B10" s="25"/>
      <c r="C10" s="95"/>
      <c r="D10" s="95"/>
      <c r="E10" s="92"/>
    </row>
    <row r="11" spans="1:5" x14ac:dyDescent="0.3">
      <c r="A11" s="1" t="s">
        <v>94</v>
      </c>
      <c r="B11" s="4">
        <f>-B7</f>
        <v>0</v>
      </c>
    </row>
    <row r="12" spans="1:5" x14ac:dyDescent="0.3">
      <c r="A12" s="1" t="s">
        <v>100</v>
      </c>
      <c r="B12" s="1">
        <v>0.1</v>
      </c>
    </row>
    <row r="13" spans="1:5" x14ac:dyDescent="0.3">
      <c r="A13" s="1" t="s">
        <v>38</v>
      </c>
      <c r="B13" s="1">
        <v>12</v>
      </c>
    </row>
    <row r="14" spans="1:5" x14ac:dyDescent="0.3">
      <c r="A14" s="1" t="s">
        <v>105</v>
      </c>
      <c r="B14" s="1">
        <v>28</v>
      </c>
    </row>
    <row r="15" spans="1:5" x14ac:dyDescent="0.3">
      <c r="A15" s="1" t="s">
        <v>106</v>
      </c>
      <c r="B15" s="1">
        <v>70</v>
      </c>
    </row>
    <row r="16" spans="1:5" x14ac:dyDescent="0.3">
      <c r="A16" s="1" t="s">
        <v>76</v>
      </c>
      <c r="B16" s="31"/>
    </row>
    <row r="17" spans="1:5" x14ac:dyDescent="0.3">
      <c r="A17" s="1" t="s">
        <v>96</v>
      </c>
      <c r="B17" s="56"/>
    </row>
    <row r="18" spans="1:5" x14ac:dyDescent="0.3">
      <c r="A18" s="1" t="s">
        <v>96</v>
      </c>
      <c r="B18" s="57"/>
    </row>
    <row r="19" spans="1:5" x14ac:dyDescent="0.3">
      <c r="A19" s="1" t="s">
        <v>107</v>
      </c>
      <c r="B19" s="56"/>
      <c r="D19" s="58"/>
    </row>
    <row r="20" spans="1:5" x14ac:dyDescent="0.3">
      <c r="A20" s="1" t="s">
        <v>108</v>
      </c>
      <c r="B20" s="56"/>
      <c r="D20" s="58"/>
    </row>
    <row r="21" spans="1:5" x14ac:dyDescent="0.3">
      <c r="A21" s="1" t="s">
        <v>109</v>
      </c>
      <c r="B21" s="56"/>
      <c r="D21" s="58"/>
    </row>
    <row r="22" spans="1:5" x14ac:dyDescent="0.3">
      <c r="A22" s="1" t="s">
        <v>81</v>
      </c>
      <c r="B22" s="45" t="str">
        <f>IF(B18="","","If we invest "&amp;DOLLAR(-B18)&amp;" for "&amp;B16*B13&amp;" months at an APR of "&amp;TEXT(B12,"0.00%")&amp;" compounded "&amp;B13&amp;" times a year, we will be able to then withdraw "&amp;DOLLAR(B2)&amp;" for "&amp;B4*B5&amp;" months for a total net gain of "&amp;DOLLAR(B21)&amp;".")</f>
        <v/>
      </c>
      <c r="C22" s="46"/>
      <c r="D22" s="46"/>
      <c r="E22" s="47"/>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E22"/>
  <sheetViews>
    <sheetView workbookViewId="0"/>
  </sheetViews>
  <sheetFormatPr defaultRowHeight="14.4" x14ac:dyDescent="0.3"/>
  <cols>
    <col min="1" max="1" width="24.44140625" customWidth="1"/>
    <col min="2" max="2" width="16.33203125" bestFit="1" customWidth="1"/>
    <col min="3" max="5" width="17.33203125" customWidth="1"/>
    <col min="257" max="257" width="24.44140625" customWidth="1"/>
    <col min="258" max="258" width="16.33203125" bestFit="1" customWidth="1"/>
    <col min="259" max="261" width="17.33203125" customWidth="1"/>
    <col min="513" max="513" width="24.44140625" customWidth="1"/>
    <col min="514" max="514" width="16.33203125" bestFit="1" customWidth="1"/>
    <col min="515" max="517" width="17.33203125" customWidth="1"/>
    <col min="769" max="769" width="24.44140625" customWidth="1"/>
    <col min="770" max="770" width="16.33203125" bestFit="1" customWidth="1"/>
    <col min="771" max="773" width="17.33203125" customWidth="1"/>
    <col min="1025" max="1025" width="24.44140625" customWidth="1"/>
    <col min="1026" max="1026" width="16.33203125" bestFit="1" customWidth="1"/>
    <col min="1027" max="1029" width="17.33203125" customWidth="1"/>
    <col min="1281" max="1281" width="24.44140625" customWidth="1"/>
    <col min="1282" max="1282" width="16.33203125" bestFit="1" customWidth="1"/>
    <col min="1283" max="1285" width="17.33203125" customWidth="1"/>
    <col min="1537" max="1537" width="24.44140625" customWidth="1"/>
    <col min="1538" max="1538" width="16.33203125" bestFit="1" customWidth="1"/>
    <col min="1539" max="1541" width="17.33203125" customWidth="1"/>
    <col min="1793" max="1793" width="24.44140625" customWidth="1"/>
    <col min="1794" max="1794" width="16.33203125" bestFit="1" customWidth="1"/>
    <col min="1795" max="1797" width="17.33203125" customWidth="1"/>
    <col min="2049" max="2049" width="24.44140625" customWidth="1"/>
    <col min="2050" max="2050" width="16.33203125" bestFit="1" customWidth="1"/>
    <col min="2051" max="2053" width="17.33203125" customWidth="1"/>
    <col min="2305" max="2305" width="24.44140625" customWidth="1"/>
    <col min="2306" max="2306" width="16.33203125" bestFit="1" customWidth="1"/>
    <col min="2307" max="2309" width="17.33203125" customWidth="1"/>
    <col min="2561" max="2561" width="24.44140625" customWidth="1"/>
    <col min="2562" max="2562" width="16.33203125" bestFit="1" customWidth="1"/>
    <col min="2563" max="2565" width="17.33203125" customWidth="1"/>
    <col min="2817" max="2817" width="24.44140625" customWidth="1"/>
    <col min="2818" max="2818" width="16.33203125" bestFit="1" customWidth="1"/>
    <col min="2819" max="2821" width="17.33203125" customWidth="1"/>
    <col min="3073" max="3073" width="24.44140625" customWidth="1"/>
    <col min="3074" max="3074" width="16.33203125" bestFit="1" customWidth="1"/>
    <col min="3075" max="3077" width="17.33203125" customWidth="1"/>
    <col min="3329" max="3329" width="24.44140625" customWidth="1"/>
    <col min="3330" max="3330" width="16.33203125" bestFit="1" customWidth="1"/>
    <col min="3331" max="3333" width="17.33203125" customWidth="1"/>
    <col min="3585" max="3585" width="24.44140625" customWidth="1"/>
    <col min="3586" max="3586" width="16.33203125" bestFit="1" customWidth="1"/>
    <col min="3587" max="3589" width="17.33203125" customWidth="1"/>
    <col min="3841" max="3841" width="24.44140625" customWidth="1"/>
    <col min="3842" max="3842" width="16.33203125" bestFit="1" customWidth="1"/>
    <col min="3843" max="3845" width="17.33203125" customWidth="1"/>
    <col min="4097" max="4097" width="24.44140625" customWidth="1"/>
    <col min="4098" max="4098" width="16.33203125" bestFit="1" customWidth="1"/>
    <col min="4099" max="4101" width="17.33203125" customWidth="1"/>
    <col min="4353" max="4353" width="24.44140625" customWidth="1"/>
    <col min="4354" max="4354" width="16.33203125" bestFit="1" customWidth="1"/>
    <col min="4355" max="4357" width="17.33203125" customWidth="1"/>
    <col min="4609" max="4609" width="24.44140625" customWidth="1"/>
    <col min="4610" max="4610" width="16.33203125" bestFit="1" customWidth="1"/>
    <col min="4611" max="4613" width="17.33203125" customWidth="1"/>
    <col min="4865" max="4865" width="24.44140625" customWidth="1"/>
    <col min="4866" max="4866" width="16.33203125" bestFit="1" customWidth="1"/>
    <col min="4867" max="4869" width="17.33203125" customWidth="1"/>
    <col min="5121" max="5121" width="24.44140625" customWidth="1"/>
    <col min="5122" max="5122" width="16.33203125" bestFit="1" customWidth="1"/>
    <col min="5123" max="5125" width="17.33203125" customWidth="1"/>
    <col min="5377" max="5377" width="24.44140625" customWidth="1"/>
    <col min="5378" max="5378" width="16.33203125" bestFit="1" customWidth="1"/>
    <col min="5379" max="5381" width="17.33203125" customWidth="1"/>
    <col min="5633" max="5633" width="24.44140625" customWidth="1"/>
    <col min="5634" max="5634" width="16.33203125" bestFit="1" customWidth="1"/>
    <col min="5635" max="5637" width="17.33203125" customWidth="1"/>
    <col min="5889" max="5889" width="24.44140625" customWidth="1"/>
    <col min="5890" max="5890" width="16.33203125" bestFit="1" customWidth="1"/>
    <col min="5891" max="5893" width="17.33203125" customWidth="1"/>
    <col min="6145" max="6145" width="24.44140625" customWidth="1"/>
    <col min="6146" max="6146" width="16.33203125" bestFit="1" customWidth="1"/>
    <col min="6147" max="6149" width="17.33203125" customWidth="1"/>
    <col min="6401" max="6401" width="24.44140625" customWidth="1"/>
    <col min="6402" max="6402" width="16.33203125" bestFit="1" customWidth="1"/>
    <col min="6403" max="6405" width="17.33203125" customWidth="1"/>
    <col min="6657" max="6657" width="24.44140625" customWidth="1"/>
    <col min="6658" max="6658" width="16.33203125" bestFit="1" customWidth="1"/>
    <col min="6659" max="6661" width="17.33203125" customWidth="1"/>
    <col min="6913" max="6913" width="24.44140625" customWidth="1"/>
    <col min="6914" max="6914" width="16.33203125" bestFit="1" customWidth="1"/>
    <col min="6915" max="6917" width="17.33203125" customWidth="1"/>
    <col min="7169" max="7169" width="24.44140625" customWidth="1"/>
    <col min="7170" max="7170" width="16.33203125" bestFit="1" customWidth="1"/>
    <col min="7171" max="7173" width="17.33203125" customWidth="1"/>
    <col min="7425" max="7425" width="24.44140625" customWidth="1"/>
    <col min="7426" max="7426" width="16.33203125" bestFit="1" customWidth="1"/>
    <col min="7427" max="7429" width="17.33203125" customWidth="1"/>
    <col min="7681" max="7681" width="24.44140625" customWidth="1"/>
    <col min="7682" max="7682" width="16.33203125" bestFit="1" customWidth="1"/>
    <col min="7683" max="7685" width="17.33203125" customWidth="1"/>
    <col min="7937" max="7937" width="24.44140625" customWidth="1"/>
    <col min="7938" max="7938" width="16.33203125" bestFit="1" customWidth="1"/>
    <col min="7939" max="7941" width="17.33203125" customWidth="1"/>
    <col min="8193" max="8193" width="24.44140625" customWidth="1"/>
    <col min="8194" max="8194" width="16.33203125" bestFit="1" customWidth="1"/>
    <col min="8195" max="8197" width="17.33203125" customWidth="1"/>
    <col min="8449" max="8449" width="24.44140625" customWidth="1"/>
    <col min="8450" max="8450" width="16.33203125" bestFit="1" customWidth="1"/>
    <col min="8451" max="8453" width="17.33203125" customWidth="1"/>
    <col min="8705" max="8705" width="24.44140625" customWidth="1"/>
    <col min="8706" max="8706" width="16.33203125" bestFit="1" customWidth="1"/>
    <col min="8707" max="8709" width="17.33203125" customWidth="1"/>
    <col min="8961" max="8961" width="24.44140625" customWidth="1"/>
    <col min="8962" max="8962" width="16.33203125" bestFit="1" customWidth="1"/>
    <col min="8963" max="8965" width="17.33203125" customWidth="1"/>
    <col min="9217" max="9217" width="24.44140625" customWidth="1"/>
    <col min="9218" max="9218" width="16.33203125" bestFit="1" customWidth="1"/>
    <col min="9219" max="9221" width="17.33203125" customWidth="1"/>
    <col min="9473" max="9473" width="24.44140625" customWidth="1"/>
    <col min="9474" max="9474" width="16.33203125" bestFit="1" customWidth="1"/>
    <col min="9475" max="9477" width="17.33203125" customWidth="1"/>
    <col min="9729" max="9729" width="24.44140625" customWidth="1"/>
    <col min="9730" max="9730" width="16.33203125" bestFit="1" customWidth="1"/>
    <col min="9731" max="9733" width="17.33203125" customWidth="1"/>
    <col min="9985" max="9985" width="24.44140625" customWidth="1"/>
    <col min="9986" max="9986" width="16.33203125" bestFit="1" customWidth="1"/>
    <col min="9987" max="9989" width="17.33203125" customWidth="1"/>
    <col min="10241" max="10241" width="24.44140625" customWidth="1"/>
    <col min="10242" max="10242" width="16.33203125" bestFit="1" customWidth="1"/>
    <col min="10243" max="10245" width="17.33203125" customWidth="1"/>
    <col min="10497" max="10497" width="24.44140625" customWidth="1"/>
    <col min="10498" max="10498" width="16.33203125" bestFit="1" customWidth="1"/>
    <col min="10499" max="10501" width="17.33203125" customWidth="1"/>
    <col min="10753" max="10753" width="24.44140625" customWidth="1"/>
    <col min="10754" max="10754" width="16.33203125" bestFit="1" customWidth="1"/>
    <col min="10755" max="10757" width="17.33203125" customWidth="1"/>
    <col min="11009" max="11009" width="24.44140625" customWidth="1"/>
    <col min="11010" max="11010" width="16.33203125" bestFit="1" customWidth="1"/>
    <col min="11011" max="11013" width="17.33203125" customWidth="1"/>
    <col min="11265" max="11265" width="24.44140625" customWidth="1"/>
    <col min="11266" max="11266" width="16.33203125" bestFit="1" customWidth="1"/>
    <col min="11267" max="11269" width="17.33203125" customWidth="1"/>
    <col min="11521" max="11521" width="24.44140625" customWidth="1"/>
    <col min="11522" max="11522" width="16.33203125" bestFit="1" customWidth="1"/>
    <col min="11523" max="11525" width="17.33203125" customWidth="1"/>
    <col min="11777" max="11777" width="24.44140625" customWidth="1"/>
    <col min="11778" max="11778" width="16.33203125" bestFit="1" customWidth="1"/>
    <col min="11779" max="11781" width="17.33203125" customWidth="1"/>
    <col min="12033" max="12033" width="24.44140625" customWidth="1"/>
    <col min="12034" max="12034" width="16.33203125" bestFit="1" customWidth="1"/>
    <col min="12035" max="12037" width="17.33203125" customWidth="1"/>
    <col min="12289" max="12289" width="24.44140625" customWidth="1"/>
    <col min="12290" max="12290" width="16.33203125" bestFit="1" customWidth="1"/>
    <col min="12291" max="12293" width="17.33203125" customWidth="1"/>
    <col min="12545" max="12545" width="24.44140625" customWidth="1"/>
    <col min="12546" max="12546" width="16.33203125" bestFit="1" customWidth="1"/>
    <col min="12547" max="12549" width="17.33203125" customWidth="1"/>
    <col min="12801" max="12801" width="24.44140625" customWidth="1"/>
    <col min="12802" max="12802" width="16.33203125" bestFit="1" customWidth="1"/>
    <col min="12803" max="12805" width="17.33203125" customWidth="1"/>
    <col min="13057" max="13057" width="24.44140625" customWidth="1"/>
    <col min="13058" max="13058" width="16.33203125" bestFit="1" customWidth="1"/>
    <col min="13059" max="13061" width="17.33203125" customWidth="1"/>
    <col min="13313" max="13313" width="24.44140625" customWidth="1"/>
    <col min="13314" max="13314" width="16.33203125" bestFit="1" customWidth="1"/>
    <col min="13315" max="13317" width="17.33203125" customWidth="1"/>
    <col min="13569" max="13569" width="24.44140625" customWidth="1"/>
    <col min="13570" max="13570" width="16.33203125" bestFit="1" customWidth="1"/>
    <col min="13571" max="13573" width="17.33203125" customWidth="1"/>
    <col min="13825" max="13825" width="24.44140625" customWidth="1"/>
    <col min="13826" max="13826" width="16.33203125" bestFit="1" customWidth="1"/>
    <col min="13827" max="13829" width="17.33203125" customWidth="1"/>
    <col min="14081" max="14081" width="24.44140625" customWidth="1"/>
    <col min="14082" max="14082" width="16.33203125" bestFit="1" customWidth="1"/>
    <col min="14083" max="14085" width="17.33203125" customWidth="1"/>
    <col min="14337" max="14337" width="24.44140625" customWidth="1"/>
    <col min="14338" max="14338" width="16.33203125" bestFit="1" customWidth="1"/>
    <col min="14339" max="14341" width="17.33203125" customWidth="1"/>
    <col min="14593" max="14593" width="24.44140625" customWidth="1"/>
    <col min="14594" max="14594" width="16.33203125" bestFit="1" customWidth="1"/>
    <col min="14595" max="14597" width="17.33203125" customWidth="1"/>
    <col min="14849" max="14849" width="24.44140625" customWidth="1"/>
    <col min="14850" max="14850" width="16.33203125" bestFit="1" customWidth="1"/>
    <col min="14851" max="14853" width="17.33203125" customWidth="1"/>
    <col min="15105" max="15105" width="24.44140625" customWidth="1"/>
    <col min="15106" max="15106" width="16.33203125" bestFit="1" customWidth="1"/>
    <col min="15107" max="15109" width="17.33203125" customWidth="1"/>
    <col min="15361" max="15361" width="24.44140625" customWidth="1"/>
    <col min="15362" max="15362" width="16.33203125" bestFit="1" customWidth="1"/>
    <col min="15363" max="15365" width="17.33203125" customWidth="1"/>
    <col min="15617" max="15617" width="24.44140625" customWidth="1"/>
    <col min="15618" max="15618" width="16.33203125" bestFit="1" customWidth="1"/>
    <col min="15619" max="15621" width="17.33203125" customWidth="1"/>
    <col min="15873" max="15873" width="24.44140625" customWidth="1"/>
    <col min="15874" max="15874" width="16.33203125" bestFit="1" customWidth="1"/>
    <col min="15875" max="15877" width="17.33203125" customWidth="1"/>
    <col min="16129" max="16129" width="24.44140625" customWidth="1"/>
    <col min="16130" max="16130" width="16.33203125" bestFit="1" customWidth="1"/>
    <col min="16131" max="16133" width="17.33203125" customWidth="1"/>
  </cols>
  <sheetData>
    <row r="1" spans="1:5" ht="28.8" x14ac:dyDescent="0.3">
      <c r="A1" s="25" t="str">
        <f>"Ex 28: How much do you have to have in the bank when you retire if you want to withdraw "&amp;DOLLAR(-B2)&amp;" at the end of each period for the next "&amp;B5&amp;" years and you can earn "&amp;TEXT(B3,"0.00%")&amp;" compounded "&amp;B4&amp;" times a year?"</f>
        <v>Ex 28: How much do you have to have in the bank when you retire if you want to withdraw ($3,000.00) at the end of each period for the next 35 years and you can earn 6.00% compounded 12 times a year?</v>
      </c>
      <c r="B1" s="25"/>
      <c r="C1" s="95"/>
      <c r="D1" s="95"/>
      <c r="E1" s="92"/>
    </row>
    <row r="2" spans="1:5" x14ac:dyDescent="0.3">
      <c r="A2" s="1" t="s">
        <v>96</v>
      </c>
      <c r="B2" s="1">
        <v>3000</v>
      </c>
    </row>
    <row r="3" spans="1:5" x14ac:dyDescent="0.3">
      <c r="A3" s="1" t="s">
        <v>104</v>
      </c>
      <c r="B3" s="1">
        <v>0.06</v>
      </c>
    </row>
    <row r="4" spans="1:5" x14ac:dyDescent="0.3">
      <c r="A4" s="1" t="s">
        <v>38</v>
      </c>
      <c r="B4" s="1">
        <v>12</v>
      </c>
    </row>
    <row r="5" spans="1:5" x14ac:dyDescent="0.3">
      <c r="A5" s="1" t="s">
        <v>76</v>
      </c>
      <c r="B5" s="1">
        <v>35</v>
      </c>
    </row>
    <row r="6" spans="1:5" x14ac:dyDescent="0.3">
      <c r="A6" s="1" t="s">
        <v>101</v>
      </c>
      <c r="B6" s="57">
        <f>PV(B3/B4,B5*B4,B2)</f>
        <v>-526140.67868494533</v>
      </c>
    </row>
    <row r="7" spans="1:5" x14ac:dyDescent="0.3">
      <c r="A7" s="1" t="s">
        <v>101</v>
      </c>
      <c r="B7" s="59">
        <f>PV(B3/B4,B5*B4,B2)</f>
        <v>-526140.67868494533</v>
      </c>
    </row>
    <row r="8" spans="1:5" ht="43.2" x14ac:dyDescent="0.3">
      <c r="A8" s="55" t="s">
        <v>81</v>
      </c>
      <c r="B8" s="45" t="str">
        <f>IF(B7="","","You have to have "&amp;DOLLAR(-B7)&amp;" in the bank when you retire if you want to withdraw "&amp;DOLLAR(-B2)&amp;" at the end of each period for the next "&amp;B5&amp;" years and you can earn "&amp;TEXT(B3,"0.00%")&amp;" compounded "&amp;B4&amp;" times a year.")</f>
        <v>You have to have $526,140.68 in the bank when you retire if you want to withdraw ($3,000.00) at the end of each period for the next 35 years and you can earn 6.00% compounded 12 times a year.</v>
      </c>
      <c r="C8" s="46"/>
      <c r="D8" s="46"/>
      <c r="E8" s="47"/>
    </row>
    <row r="10" spans="1:5" ht="28.8" x14ac:dyDescent="0.3">
      <c r="A10" s="25" t="str">
        <f>"Ex 29: If you need "&amp;DOLLAR(-PV(B3/B4,B5*B4,B2))&amp;" when you retire, how much do you need to invest each period if you are "&amp;B14&amp;" and you plan to retire when you are "&amp;B15&amp;" (i = "&amp;TEXT(B12,"0.00%")&amp;", n = "&amp;B13&amp;")."</f>
        <v>Ex 29: If you need $526,140.68 when you retire, how much do you need to invest each period if you are 28 and you plan to retire when you are 70 (i = 10.00%, n = 12).</v>
      </c>
      <c r="B10" s="25"/>
      <c r="C10" s="95"/>
      <c r="D10" s="95"/>
      <c r="E10" s="92"/>
    </row>
    <row r="11" spans="1:5" x14ac:dyDescent="0.3">
      <c r="A11" s="1" t="s">
        <v>94</v>
      </c>
      <c r="B11" s="4">
        <f>-B7</f>
        <v>526140.67868494533</v>
      </c>
    </row>
    <row r="12" spans="1:5" x14ac:dyDescent="0.3">
      <c r="A12" s="1" t="s">
        <v>100</v>
      </c>
      <c r="B12" s="1">
        <v>0.1</v>
      </c>
    </row>
    <row r="13" spans="1:5" x14ac:dyDescent="0.3">
      <c r="A13" s="1" t="s">
        <v>38</v>
      </c>
      <c r="B13" s="1">
        <v>12</v>
      </c>
    </row>
    <row r="14" spans="1:5" x14ac:dyDescent="0.3">
      <c r="A14" s="1" t="s">
        <v>105</v>
      </c>
      <c r="B14" s="1">
        <v>28</v>
      </c>
    </row>
    <row r="15" spans="1:5" x14ac:dyDescent="0.3">
      <c r="A15" s="1" t="s">
        <v>106</v>
      </c>
      <c r="B15" s="1">
        <v>70</v>
      </c>
    </row>
    <row r="16" spans="1:5" x14ac:dyDescent="0.3">
      <c r="A16" s="1" t="s">
        <v>76</v>
      </c>
      <c r="B16" s="31">
        <f>B15-B14</f>
        <v>42</v>
      </c>
    </row>
    <row r="17" spans="1:5" x14ac:dyDescent="0.3">
      <c r="A17" s="1" t="s">
        <v>96</v>
      </c>
      <c r="B17" s="56"/>
    </row>
    <row r="18" spans="1:5" x14ac:dyDescent="0.3">
      <c r="A18" s="1" t="s">
        <v>96</v>
      </c>
      <c r="B18" s="57">
        <f>PMT(B12/B13,B16*B13,,B11)</f>
        <v>-67.939118858319119</v>
      </c>
    </row>
    <row r="19" spans="1:5" x14ac:dyDescent="0.3">
      <c r="A19" s="1" t="s">
        <v>107</v>
      </c>
      <c r="B19" s="56">
        <f>B18*B16*B13</f>
        <v>-34241.315904592833</v>
      </c>
      <c r="D19" s="58"/>
    </row>
    <row r="20" spans="1:5" x14ac:dyDescent="0.3">
      <c r="A20" s="1" t="s">
        <v>108</v>
      </c>
      <c r="B20" s="56">
        <f>B2*B5*B4</f>
        <v>1260000</v>
      </c>
      <c r="D20" s="58"/>
    </row>
    <row r="21" spans="1:5" x14ac:dyDescent="0.3">
      <c r="A21" s="1" t="s">
        <v>109</v>
      </c>
      <c r="B21" s="56">
        <f>SUM(B19:B20)</f>
        <v>1225758.6840954071</v>
      </c>
      <c r="D21" s="58"/>
    </row>
    <row r="22" spans="1:5" ht="43.2" x14ac:dyDescent="0.3">
      <c r="A22" s="1" t="s">
        <v>81</v>
      </c>
      <c r="B22" s="45" t="str">
        <f>IF(B18="","","If we invest "&amp;DOLLAR(-B18)&amp;" for "&amp;B16*B13&amp;" months at an APR of "&amp;TEXT(B12,"0.00%")&amp;" compounded "&amp;B13&amp;" times a year, we will be able to then withdraw "&amp;DOLLAR(B2)&amp;" for "&amp;B4*B5&amp;" months for a total net gain of "&amp;DOLLAR(B21)&amp;".")</f>
        <v>If we invest $67.94 for 504 months at an APR of 10.00% compounded 12 times a year, we will be able to then withdraw $3,000.00 for 420 months for a total net gain of $1,225,758.68.</v>
      </c>
      <c r="C22" s="46"/>
      <c r="D22" s="46"/>
      <c r="E22" s="47"/>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00FF"/>
  </sheetPr>
  <dimension ref="A1:G11"/>
  <sheetViews>
    <sheetView zoomScale="130" zoomScaleNormal="130" workbookViewId="0"/>
  </sheetViews>
  <sheetFormatPr defaultRowHeight="14.4" x14ac:dyDescent="0.3"/>
  <cols>
    <col min="1" max="1" width="23.6640625" bestFit="1" customWidth="1"/>
    <col min="2" max="2" width="12.5546875" bestFit="1" customWidth="1"/>
    <col min="257" max="257" width="23.6640625" bestFit="1" customWidth="1"/>
    <col min="258" max="258" width="12.5546875" bestFit="1" customWidth="1"/>
    <col min="513" max="513" width="23.6640625" bestFit="1" customWidth="1"/>
    <col min="514" max="514" width="12.5546875" bestFit="1" customWidth="1"/>
    <col min="769" max="769" width="23.6640625" bestFit="1" customWidth="1"/>
    <col min="770" max="770" width="12.5546875" bestFit="1" customWidth="1"/>
    <col min="1025" max="1025" width="23.6640625" bestFit="1" customWidth="1"/>
    <col min="1026" max="1026" width="12.5546875" bestFit="1" customWidth="1"/>
    <col min="1281" max="1281" width="23.6640625" bestFit="1" customWidth="1"/>
    <col min="1282" max="1282" width="12.5546875" bestFit="1" customWidth="1"/>
    <col min="1537" max="1537" width="23.6640625" bestFit="1" customWidth="1"/>
    <col min="1538" max="1538" width="12.5546875" bestFit="1" customWidth="1"/>
    <col min="1793" max="1793" width="23.6640625" bestFit="1" customWidth="1"/>
    <col min="1794" max="1794" width="12.5546875" bestFit="1" customWidth="1"/>
    <col min="2049" max="2049" width="23.6640625" bestFit="1" customWidth="1"/>
    <col min="2050" max="2050" width="12.5546875" bestFit="1" customWidth="1"/>
    <col min="2305" max="2305" width="23.6640625" bestFit="1" customWidth="1"/>
    <col min="2306" max="2306" width="12.5546875" bestFit="1" customWidth="1"/>
    <col min="2561" max="2561" width="23.6640625" bestFit="1" customWidth="1"/>
    <col min="2562" max="2562" width="12.5546875" bestFit="1" customWidth="1"/>
    <col min="2817" max="2817" width="23.6640625" bestFit="1" customWidth="1"/>
    <col min="2818" max="2818" width="12.5546875" bestFit="1" customWidth="1"/>
    <col min="3073" max="3073" width="23.6640625" bestFit="1" customWidth="1"/>
    <col min="3074" max="3074" width="12.5546875" bestFit="1" customWidth="1"/>
    <col min="3329" max="3329" width="23.6640625" bestFit="1" customWidth="1"/>
    <col min="3330" max="3330" width="12.5546875" bestFit="1" customWidth="1"/>
    <col min="3585" max="3585" width="23.6640625" bestFit="1" customWidth="1"/>
    <col min="3586" max="3586" width="12.5546875" bestFit="1" customWidth="1"/>
    <col min="3841" max="3841" width="23.6640625" bestFit="1" customWidth="1"/>
    <col min="3842" max="3842" width="12.5546875" bestFit="1" customWidth="1"/>
    <col min="4097" max="4097" width="23.6640625" bestFit="1" customWidth="1"/>
    <col min="4098" max="4098" width="12.5546875" bestFit="1" customWidth="1"/>
    <col min="4353" max="4353" width="23.6640625" bestFit="1" customWidth="1"/>
    <col min="4354" max="4354" width="12.5546875" bestFit="1" customWidth="1"/>
    <col min="4609" max="4609" width="23.6640625" bestFit="1" customWidth="1"/>
    <col min="4610" max="4610" width="12.5546875" bestFit="1" customWidth="1"/>
    <col min="4865" max="4865" width="23.6640625" bestFit="1" customWidth="1"/>
    <col min="4866" max="4866" width="12.5546875" bestFit="1" customWidth="1"/>
    <col min="5121" max="5121" width="23.6640625" bestFit="1" customWidth="1"/>
    <col min="5122" max="5122" width="12.5546875" bestFit="1" customWidth="1"/>
    <col min="5377" max="5377" width="23.6640625" bestFit="1" customWidth="1"/>
    <col min="5378" max="5378" width="12.5546875" bestFit="1" customWidth="1"/>
    <col min="5633" max="5633" width="23.6640625" bestFit="1" customWidth="1"/>
    <col min="5634" max="5634" width="12.5546875" bestFit="1" customWidth="1"/>
    <col min="5889" max="5889" width="23.6640625" bestFit="1" customWidth="1"/>
    <col min="5890" max="5890" width="12.5546875" bestFit="1" customWidth="1"/>
    <col min="6145" max="6145" width="23.6640625" bestFit="1" customWidth="1"/>
    <col min="6146" max="6146" width="12.5546875" bestFit="1" customWidth="1"/>
    <col min="6401" max="6401" width="23.6640625" bestFit="1" customWidth="1"/>
    <col min="6402" max="6402" width="12.5546875" bestFit="1" customWidth="1"/>
    <col min="6657" max="6657" width="23.6640625" bestFit="1" customWidth="1"/>
    <col min="6658" max="6658" width="12.5546875" bestFit="1" customWidth="1"/>
    <col min="6913" max="6913" width="23.6640625" bestFit="1" customWidth="1"/>
    <col min="6914" max="6914" width="12.5546875" bestFit="1" customWidth="1"/>
    <col min="7169" max="7169" width="23.6640625" bestFit="1" customWidth="1"/>
    <col min="7170" max="7170" width="12.5546875" bestFit="1" customWidth="1"/>
    <col min="7425" max="7425" width="23.6640625" bestFit="1" customWidth="1"/>
    <col min="7426" max="7426" width="12.5546875" bestFit="1" customWidth="1"/>
    <col min="7681" max="7681" width="23.6640625" bestFit="1" customWidth="1"/>
    <col min="7682" max="7682" width="12.5546875" bestFit="1" customWidth="1"/>
    <col min="7937" max="7937" width="23.6640625" bestFit="1" customWidth="1"/>
    <col min="7938" max="7938" width="12.5546875" bestFit="1" customWidth="1"/>
    <col min="8193" max="8193" width="23.6640625" bestFit="1" customWidth="1"/>
    <col min="8194" max="8194" width="12.5546875" bestFit="1" customWidth="1"/>
    <col min="8449" max="8449" width="23.6640625" bestFit="1" customWidth="1"/>
    <col min="8450" max="8450" width="12.5546875" bestFit="1" customWidth="1"/>
    <col min="8705" max="8705" width="23.6640625" bestFit="1" customWidth="1"/>
    <col min="8706" max="8706" width="12.5546875" bestFit="1" customWidth="1"/>
    <col min="8961" max="8961" width="23.6640625" bestFit="1" customWidth="1"/>
    <col min="8962" max="8962" width="12.5546875" bestFit="1" customWidth="1"/>
    <col min="9217" max="9217" width="23.6640625" bestFit="1" customWidth="1"/>
    <col min="9218" max="9218" width="12.5546875" bestFit="1" customWidth="1"/>
    <col min="9473" max="9473" width="23.6640625" bestFit="1" customWidth="1"/>
    <col min="9474" max="9474" width="12.5546875" bestFit="1" customWidth="1"/>
    <col min="9729" max="9729" width="23.6640625" bestFit="1" customWidth="1"/>
    <col min="9730" max="9730" width="12.5546875" bestFit="1" customWidth="1"/>
    <col min="9985" max="9985" width="23.6640625" bestFit="1" customWidth="1"/>
    <col min="9986" max="9986" width="12.5546875" bestFit="1" customWidth="1"/>
    <col min="10241" max="10241" width="23.6640625" bestFit="1" customWidth="1"/>
    <col min="10242" max="10242" width="12.5546875" bestFit="1" customWidth="1"/>
    <col min="10497" max="10497" width="23.6640625" bestFit="1" customWidth="1"/>
    <col min="10498" max="10498" width="12.5546875" bestFit="1" customWidth="1"/>
    <col min="10753" max="10753" width="23.6640625" bestFit="1" customWidth="1"/>
    <col min="10754" max="10754" width="12.5546875" bestFit="1" customWidth="1"/>
    <col min="11009" max="11009" width="23.6640625" bestFit="1" customWidth="1"/>
    <col min="11010" max="11010" width="12.5546875" bestFit="1" customWidth="1"/>
    <col min="11265" max="11265" width="23.6640625" bestFit="1" customWidth="1"/>
    <col min="11266" max="11266" width="12.5546875" bestFit="1" customWidth="1"/>
    <col min="11521" max="11521" width="23.6640625" bestFit="1" customWidth="1"/>
    <col min="11522" max="11522" width="12.5546875" bestFit="1" customWidth="1"/>
    <col min="11777" max="11777" width="23.6640625" bestFit="1" customWidth="1"/>
    <col min="11778" max="11778" width="12.5546875" bestFit="1" customWidth="1"/>
    <col min="12033" max="12033" width="23.6640625" bestFit="1" customWidth="1"/>
    <col min="12034" max="12034" width="12.5546875" bestFit="1" customWidth="1"/>
    <col min="12289" max="12289" width="23.6640625" bestFit="1" customWidth="1"/>
    <col min="12290" max="12290" width="12.5546875" bestFit="1" customWidth="1"/>
    <col min="12545" max="12545" width="23.6640625" bestFit="1" customWidth="1"/>
    <col min="12546" max="12546" width="12.5546875" bestFit="1" customWidth="1"/>
    <col min="12801" max="12801" width="23.6640625" bestFit="1" customWidth="1"/>
    <col min="12802" max="12802" width="12.5546875" bestFit="1" customWidth="1"/>
    <col min="13057" max="13057" width="23.6640625" bestFit="1" customWidth="1"/>
    <col min="13058" max="13058" width="12.5546875" bestFit="1" customWidth="1"/>
    <col min="13313" max="13313" width="23.6640625" bestFit="1" customWidth="1"/>
    <col min="13314" max="13314" width="12.5546875" bestFit="1" customWidth="1"/>
    <col min="13569" max="13569" width="23.6640625" bestFit="1" customWidth="1"/>
    <col min="13570" max="13570" width="12.5546875" bestFit="1" customWidth="1"/>
    <col min="13825" max="13825" width="23.6640625" bestFit="1" customWidth="1"/>
    <col min="13826" max="13826" width="12.5546875" bestFit="1" customWidth="1"/>
    <col min="14081" max="14081" width="23.6640625" bestFit="1" customWidth="1"/>
    <col min="14082" max="14082" width="12.5546875" bestFit="1" customWidth="1"/>
    <col min="14337" max="14337" width="23.6640625" bestFit="1" customWidth="1"/>
    <col min="14338" max="14338" width="12.5546875" bestFit="1" customWidth="1"/>
    <col min="14593" max="14593" width="23.6640625" bestFit="1" customWidth="1"/>
    <col min="14594" max="14594" width="12.5546875" bestFit="1" customWidth="1"/>
    <col min="14849" max="14849" width="23.6640625" bestFit="1" customWidth="1"/>
    <col min="14850" max="14850" width="12.5546875" bestFit="1" customWidth="1"/>
    <col min="15105" max="15105" width="23.6640625" bestFit="1" customWidth="1"/>
    <col min="15106" max="15106" width="12.5546875" bestFit="1" customWidth="1"/>
    <col min="15361" max="15361" width="23.6640625" bestFit="1" customWidth="1"/>
    <col min="15362" max="15362" width="12.5546875" bestFit="1" customWidth="1"/>
    <col min="15617" max="15617" width="23.6640625" bestFit="1" customWidth="1"/>
    <col min="15618" max="15618" width="12.5546875" bestFit="1" customWidth="1"/>
    <col min="15873" max="15873" width="23.6640625" bestFit="1" customWidth="1"/>
    <col min="15874" max="15874" width="12.5546875" bestFit="1" customWidth="1"/>
    <col min="16129" max="16129" width="23.6640625" bestFit="1" customWidth="1"/>
    <col min="16130" max="16130" width="12.5546875" bestFit="1" customWidth="1"/>
  </cols>
  <sheetData>
    <row r="1" spans="1:7" ht="43.2" x14ac:dyDescent="0.3">
      <c r="A1" s="118" t="str">
        <f>"If a new machine will yield a net cash flow of "&amp;DOLLAR(B2)&amp;" per month for the next "&amp;B5&amp;" years and your discount rate is "&amp;TEXT(B3,"0.00%")&amp;" compounded "&amp;B4&amp;" times a year, what is the maximum amount that you should pay for the machine?"</f>
        <v>If a new machine will yield a net cash flow of $10,000.00 per month for the next 5 years and your discount rate is 15.00% compounded 12 times a year, what is the maximum amount that you should pay for the machine?</v>
      </c>
      <c r="B1" s="95"/>
      <c r="C1" s="95"/>
      <c r="D1" s="95"/>
      <c r="E1" s="95"/>
      <c r="F1" s="92"/>
    </row>
    <row r="2" spans="1:7" x14ac:dyDescent="0.3">
      <c r="A2" s="38" t="s">
        <v>96</v>
      </c>
      <c r="B2" s="61">
        <v>10000</v>
      </c>
    </row>
    <row r="3" spans="1:7" x14ac:dyDescent="0.3">
      <c r="A3" s="1" t="s">
        <v>110</v>
      </c>
      <c r="B3" s="62">
        <v>0.15</v>
      </c>
    </row>
    <row r="4" spans="1:7" x14ac:dyDescent="0.3">
      <c r="A4" s="1" t="s">
        <v>38</v>
      </c>
      <c r="B4" s="1">
        <v>12</v>
      </c>
      <c r="D4" s="1" t="s">
        <v>147</v>
      </c>
      <c r="F4" s="1" t="s">
        <v>147</v>
      </c>
    </row>
    <row r="5" spans="1:7" x14ac:dyDescent="0.3">
      <c r="A5" s="1" t="s">
        <v>76</v>
      </c>
      <c r="B5" s="1">
        <v>5</v>
      </c>
      <c r="D5" s="1">
        <v>-400000</v>
      </c>
      <c r="F5" s="1">
        <v>-450000</v>
      </c>
    </row>
    <row r="6" spans="1:7" x14ac:dyDescent="0.3">
      <c r="A6" s="1" t="s">
        <v>101</v>
      </c>
      <c r="B6" s="22"/>
      <c r="D6" s="1"/>
      <c r="F6" s="1"/>
    </row>
    <row r="7" spans="1:7" x14ac:dyDescent="0.3">
      <c r="A7" s="1" t="s">
        <v>101</v>
      </c>
      <c r="B7" s="22"/>
    </row>
    <row r="8" spans="1:7" ht="57.6" x14ac:dyDescent="0.3">
      <c r="A8" s="1" t="s">
        <v>81</v>
      </c>
      <c r="B8" s="45" t="str">
        <f>IF(B7="","","If a new machine will yield a net cash flow of "&amp;DOLLAR(B2)&amp;" per month for the next "&amp;B5&amp;" years and your discount rate is "&amp;TEXT(B3,"0.00%")&amp;" compounded "&amp;B4&amp;" times a year, the the maximum amount that you should pay for the machine is "&amp;DOLLAR(-B7)&amp;".")</f>
        <v/>
      </c>
      <c r="C8" s="46"/>
      <c r="D8" s="46"/>
      <c r="E8" s="46"/>
      <c r="F8" s="46"/>
      <c r="G8" s="47"/>
    </row>
    <row r="11" spans="1:7" x14ac:dyDescent="0.3">
      <c r="A11" t="s">
        <v>201</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11"/>
  <sheetViews>
    <sheetView workbookViewId="0"/>
  </sheetViews>
  <sheetFormatPr defaultRowHeight="14.4" x14ac:dyDescent="0.3"/>
  <cols>
    <col min="1" max="1" width="23.6640625" bestFit="1" customWidth="1"/>
    <col min="2" max="2" width="12.5546875" bestFit="1" customWidth="1"/>
    <col min="257" max="257" width="23.6640625" bestFit="1" customWidth="1"/>
    <col min="258" max="258" width="12.5546875" bestFit="1" customWidth="1"/>
    <col min="513" max="513" width="23.6640625" bestFit="1" customWidth="1"/>
    <col min="514" max="514" width="12.5546875" bestFit="1" customWidth="1"/>
    <col min="769" max="769" width="23.6640625" bestFit="1" customWidth="1"/>
    <col min="770" max="770" width="12.5546875" bestFit="1" customWidth="1"/>
    <col min="1025" max="1025" width="23.6640625" bestFit="1" customWidth="1"/>
    <col min="1026" max="1026" width="12.5546875" bestFit="1" customWidth="1"/>
    <col min="1281" max="1281" width="23.6640625" bestFit="1" customWidth="1"/>
    <col min="1282" max="1282" width="12.5546875" bestFit="1" customWidth="1"/>
    <col min="1537" max="1537" width="23.6640625" bestFit="1" customWidth="1"/>
    <col min="1538" max="1538" width="12.5546875" bestFit="1" customWidth="1"/>
    <col min="1793" max="1793" width="23.6640625" bestFit="1" customWidth="1"/>
    <col min="1794" max="1794" width="12.5546875" bestFit="1" customWidth="1"/>
    <col min="2049" max="2049" width="23.6640625" bestFit="1" customWidth="1"/>
    <col min="2050" max="2050" width="12.5546875" bestFit="1" customWidth="1"/>
    <col min="2305" max="2305" width="23.6640625" bestFit="1" customWidth="1"/>
    <col min="2306" max="2306" width="12.5546875" bestFit="1" customWidth="1"/>
    <col min="2561" max="2561" width="23.6640625" bestFit="1" customWidth="1"/>
    <col min="2562" max="2562" width="12.5546875" bestFit="1" customWidth="1"/>
    <col min="2817" max="2817" width="23.6640625" bestFit="1" customWidth="1"/>
    <col min="2818" max="2818" width="12.5546875" bestFit="1" customWidth="1"/>
    <col min="3073" max="3073" width="23.6640625" bestFit="1" customWidth="1"/>
    <col min="3074" max="3074" width="12.5546875" bestFit="1" customWidth="1"/>
    <col min="3329" max="3329" width="23.6640625" bestFit="1" customWidth="1"/>
    <col min="3330" max="3330" width="12.5546875" bestFit="1" customWidth="1"/>
    <col min="3585" max="3585" width="23.6640625" bestFit="1" customWidth="1"/>
    <col min="3586" max="3586" width="12.5546875" bestFit="1" customWidth="1"/>
    <col min="3841" max="3841" width="23.6640625" bestFit="1" customWidth="1"/>
    <col min="3842" max="3842" width="12.5546875" bestFit="1" customWidth="1"/>
    <col min="4097" max="4097" width="23.6640625" bestFit="1" customWidth="1"/>
    <col min="4098" max="4098" width="12.5546875" bestFit="1" customWidth="1"/>
    <col min="4353" max="4353" width="23.6640625" bestFit="1" customWidth="1"/>
    <col min="4354" max="4354" width="12.5546875" bestFit="1" customWidth="1"/>
    <col min="4609" max="4609" width="23.6640625" bestFit="1" customWidth="1"/>
    <col min="4610" max="4610" width="12.5546875" bestFit="1" customWidth="1"/>
    <col min="4865" max="4865" width="23.6640625" bestFit="1" customWidth="1"/>
    <col min="4866" max="4866" width="12.5546875" bestFit="1" customWidth="1"/>
    <col min="5121" max="5121" width="23.6640625" bestFit="1" customWidth="1"/>
    <col min="5122" max="5122" width="12.5546875" bestFit="1" customWidth="1"/>
    <col min="5377" max="5377" width="23.6640625" bestFit="1" customWidth="1"/>
    <col min="5378" max="5378" width="12.5546875" bestFit="1" customWidth="1"/>
    <col min="5633" max="5633" width="23.6640625" bestFit="1" customWidth="1"/>
    <col min="5634" max="5634" width="12.5546875" bestFit="1" customWidth="1"/>
    <col min="5889" max="5889" width="23.6640625" bestFit="1" customWidth="1"/>
    <col min="5890" max="5890" width="12.5546875" bestFit="1" customWidth="1"/>
    <col min="6145" max="6145" width="23.6640625" bestFit="1" customWidth="1"/>
    <col min="6146" max="6146" width="12.5546875" bestFit="1" customWidth="1"/>
    <col min="6401" max="6401" width="23.6640625" bestFit="1" customWidth="1"/>
    <col min="6402" max="6402" width="12.5546875" bestFit="1" customWidth="1"/>
    <col min="6657" max="6657" width="23.6640625" bestFit="1" customWidth="1"/>
    <col min="6658" max="6658" width="12.5546875" bestFit="1" customWidth="1"/>
    <col min="6913" max="6913" width="23.6640625" bestFit="1" customWidth="1"/>
    <col min="6914" max="6914" width="12.5546875" bestFit="1" customWidth="1"/>
    <col min="7169" max="7169" width="23.6640625" bestFit="1" customWidth="1"/>
    <col min="7170" max="7170" width="12.5546875" bestFit="1" customWidth="1"/>
    <col min="7425" max="7425" width="23.6640625" bestFit="1" customWidth="1"/>
    <col min="7426" max="7426" width="12.5546875" bestFit="1" customWidth="1"/>
    <col min="7681" max="7681" width="23.6640625" bestFit="1" customWidth="1"/>
    <col min="7682" max="7682" width="12.5546875" bestFit="1" customWidth="1"/>
    <col min="7937" max="7937" width="23.6640625" bestFit="1" customWidth="1"/>
    <col min="7938" max="7938" width="12.5546875" bestFit="1" customWidth="1"/>
    <col min="8193" max="8193" width="23.6640625" bestFit="1" customWidth="1"/>
    <col min="8194" max="8194" width="12.5546875" bestFit="1" customWidth="1"/>
    <col min="8449" max="8449" width="23.6640625" bestFit="1" customWidth="1"/>
    <col min="8450" max="8450" width="12.5546875" bestFit="1" customWidth="1"/>
    <col min="8705" max="8705" width="23.6640625" bestFit="1" customWidth="1"/>
    <col min="8706" max="8706" width="12.5546875" bestFit="1" customWidth="1"/>
    <col min="8961" max="8961" width="23.6640625" bestFit="1" customWidth="1"/>
    <col min="8962" max="8962" width="12.5546875" bestFit="1" customWidth="1"/>
    <col min="9217" max="9217" width="23.6640625" bestFit="1" customWidth="1"/>
    <col min="9218" max="9218" width="12.5546875" bestFit="1" customWidth="1"/>
    <col min="9473" max="9473" width="23.6640625" bestFit="1" customWidth="1"/>
    <col min="9474" max="9474" width="12.5546875" bestFit="1" customWidth="1"/>
    <col min="9729" max="9729" width="23.6640625" bestFit="1" customWidth="1"/>
    <col min="9730" max="9730" width="12.5546875" bestFit="1" customWidth="1"/>
    <col min="9985" max="9985" width="23.6640625" bestFit="1" customWidth="1"/>
    <col min="9986" max="9986" width="12.5546875" bestFit="1" customWidth="1"/>
    <col min="10241" max="10241" width="23.6640625" bestFit="1" customWidth="1"/>
    <col min="10242" max="10242" width="12.5546875" bestFit="1" customWidth="1"/>
    <col min="10497" max="10497" width="23.6640625" bestFit="1" customWidth="1"/>
    <col min="10498" max="10498" width="12.5546875" bestFit="1" customWidth="1"/>
    <col min="10753" max="10753" width="23.6640625" bestFit="1" customWidth="1"/>
    <col min="10754" max="10754" width="12.5546875" bestFit="1" customWidth="1"/>
    <col min="11009" max="11009" width="23.6640625" bestFit="1" customWidth="1"/>
    <col min="11010" max="11010" width="12.5546875" bestFit="1" customWidth="1"/>
    <col min="11265" max="11265" width="23.6640625" bestFit="1" customWidth="1"/>
    <col min="11266" max="11266" width="12.5546875" bestFit="1" customWidth="1"/>
    <col min="11521" max="11521" width="23.6640625" bestFit="1" customWidth="1"/>
    <col min="11522" max="11522" width="12.5546875" bestFit="1" customWidth="1"/>
    <col min="11777" max="11777" width="23.6640625" bestFit="1" customWidth="1"/>
    <col min="11778" max="11778" width="12.5546875" bestFit="1" customWidth="1"/>
    <col min="12033" max="12033" width="23.6640625" bestFit="1" customWidth="1"/>
    <col min="12034" max="12034" width="12.5546875" bestFit="1" customWidth="1"/>
    <col min="12289" max="12289" width="23.6640625" bestFit="1" customWidth="1"/>
    <col min="12290" max="12290" width="12.5546875" bestFit="1" customWidth="1"/>
    <col min="12545" max="12545" width="23.6640625" bestFit="1" customWidth="1"/>
    <col min="12546" max="12546" width="12.5546875" bestFit="1" customWidth="1"/>
    <col min="12801" max="12801" width="23.6640625" bestFit="1" customWidth="1"/>
    <col min="12802" max="12802" width="12.5546875" bestFit="1" customWidth="1"/>
    <col min="13057" max="13057" width="23.6640625" bestFit="1" customWidth="1"/>
    <col min="13058" max="13058" width="12.5546875" bestFit="1" customWidth="1"/>
    <col min="13313" max="13313" width="23.6640625" bestFit="1" customWidth="1"/>
    <col min="13314" max="13314" width="12.5546875" bestFit="1" customWidth="1"/>
    <col min="13569" max="13569" width="23.6640625" bestFit="1" customWidth="1"/>
    <col min="13570" max="13570" width="12.5546875" bestFit="1" customWidth="1"/>
    <col min="13825" max="13825" width="23.6640625" bestFit="1" customWidth="1"/>
    <col min="13826" max="13826" width="12.5546875" bestFit="1" customWidth="1"/>
    <col min="14081" max="14081" width="23.6640625" bestFit="1" customWidth="1"/>
    <col min="14082" max="14082" width="12.5546875" bestFit="1" customWidth="1"/>
    <col min="14337" max="14337" width="23.6640625" bestFit="1" customWidth="1"/>
    <col min="14338" max="14338" width="12.5546875" bestFit="1" customWidth="1"/>
    <col min="14593" max="14593" width="23.6640625" bestFit="1" customWidth="1"/>
    <col min="14594" max="14594" width="12.5546875" bestFit="1" customWidth="1"/>
    <col min="14849" max="14849" width="23.6640625" bestFit="1" customWidth="1"/>
    <col min="14850" max="14850" width="12.5546875" bestFit="1" customWidth="1"/>
    <col min="15105" max="15105" width="23.6640625" bestFit="1" customWidth="1"/>
    <col min="15106" max="15106" width="12.5546875" bestFit="1" customWidth="1"/>
    <col min="15361" max="15361" width="23.6640625" bestFit="1" customWidth="1"/>
    <col min="15362" max="15362" width="12.5546875" bestFit="1" customWidth="1"/>
    <col min="15617" max="15617" width="23.6640625" bestFit="1" customWidth="1"/>
    <col min="15618" max="15618" width="12.5546875" bestFit="1" customWidth="1"/>
    <col min="15873" max="15873" width="23.6640625" bestFit="1" customWidth="1"/>
    <col min="15874" max="15874" width="12.5546875" bestFit="1" customWidth="1"/>
    <col min="16129" max="16129" width="23.6640625" bestFit="1" customWidth="1"/>
    <col min="16130" max="16130" width="12.5546875" bestFit="1" customWidth="1"/>
  </cols>
  <sheetData>
    <row r="1" spans="1:7" ht="43.2" x14ac:dyDescent="0.3">
      <c r="A1" s="118" t="str">
        <f>"If a new machine will yield a net cash flow of "&amp;DOLLAR(B2)&amp;" per month for the next "&amp;B5&amp;" years and your discount rate is "&amp;TEXT(B3,"0.00%")&amp;" compounded "&amp;B4&amp;" times a year, what is the maximum amount that you should pay for the machine?"</f>
        <v>If a new machine will yield a net cash flow of $10,000.00 per month for the next 5 years and your discount rate is 15.00% compounded 12 times a year, what is the maximum amount that you should pay for the machine?</v>
      </c>
      <c r="B1" s="95"/>
      <c r="C1" s="95"/>
      <c r="D1" s="95"/>
      <c r="E1" s="95"/>
      <c r="F1" s="92"/>
    </row>
    <row r="2" spans="1:7" x14ac:dyDescent="0.3">
      <c r="A2" s="38" t="s">
        <v>96</v>
      </c>
      <c r="B2" s="61">
        <v>10000</v>
      </c>
    </row>
    <row r="3" spans="1:7" x14ac:dyDescent="0.3">
      <c r="A3" s="1" t="s">
        <v>110</v>
      </c>
      <c r="B3" s="62">
        <v>0.15</v>
      </c>
    </row>
    <row r="4" spans="1:7" x14ac:dyDescent="0.3">
      <c r="A4" s="1" t="s">
        <v>38</v>
      </c>
      <c r="B4" s="1">
        <v>12</v>
      </c>
      <c r="D4" s="1" t="s">
        <v>147</v>
      </c>
      <c r="F4" s="1" t="s">
        <v>147</v>
      </c>
    </row>
    <row r="5" spans="1:7" x14ac:dyDescent="0.3">
      <c r="A5" s="1" t="s">
        <v>76</v>
      </c>
      <c r="B5" s="1">
        <v>5</v>
      </c>
      <c r="D5" s="1">
        <v>-400000</v>
      </c>
      <c r="F5" s="1">
        <v>-450000</v>
      </c>
    </row>
    <row r="6" spans="1:7" x14ac:dyDescent="0.3">
      <c r="A6" s="1" t="s">
        <v>101</v>
      </c>
      <c r="B6" s="22">
        <f>PV(B3/B4,B4*B5,B2)</f>
        <v>-420345.9179450908</v>
      </c>
      <c r="D6" s="1" t="s">
        <v>203</v>
      </c>
      <c r="F6" s="1" t="s">
        <v>204</v>
      </c>
    </row>
    <row r="7" spans="1:7" x14ac:dyDescent="0.3">
      <c r="A7" s="1" t="s">
        <v>101</v>
      </c>
      <c r="B7" s="22">
        <f>PV(B3/B4,B4*B5,B2)</f>
        <v>-420345.9179450908</v>
      </c>
    </row>
    <row r="8" spans="1:7" ht="57.6" x14ac:dyDescent="0.3">
      <c r="A8" s="1" t="s">
        <v>81</v>
      </c>
      <c r="B8" s="45" t="str">
        <f>IF(B7="","","If a new machine will yield a net cash flow of "&amp;DOLLAR(B2)&amp;" per month for the next "&amp;B5&amp;" years and your discount rate is "&amp;TEXT(B3,"0.00%")&amp;" compounded "&amp;B4&amp;" times a year, the the maximum amount that you should pay for the machine is "&amp;DOLLAR(-B7)&amp;".")</f>
        <v>If a new machine will yield a net cash flow of $10,000.00 per month for the next 5 years and your discount rate is 15.00% compounded 12 times a year, the the maximum amount that you should pay for the machine is $420,345.92.</v>
      </c>
      <c r="C8" s="46"/>
      <c r="D8" s="46"/>
      <c r="E8" s="46"/>
      <c r="F8" s="46"/>
      <c r="G8" s="47"/>
    </row>
    <row r="11" spans="1:7" x14ac:dyDescent="0.3">
      <c r="A11" t="s">
        <v>201</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3:I5"/>
  <sheetViews>
    <sheetView zoomScale="160" zoomScaleNormal="160" workbookViewId="0"/>
  </sheetViews>
  <sheetFormatPr defaultRowHeight="14.4" x14ac:dyDescent="0.3"/>
  <cols>
    <col min="1" max="1" width="10.5546875" bestFit="1" customWidth="1"/>
  </cols>
  <sheetData>
    <row r="3" spans="1:9" x14ac:dyDescent="0.3">
      <c r="A3" s="85" t="s">
        <v>14</v>
      </c>
      <c r="B3" s="85" t="s">
        <v>15</v>
      </c>
      <c r="C3" s="85" t="s">
        <v>16</v>
      </c>
      <c r="D3" s="85" t="s">
        <v>17</v>
      </c>
      <c r="E3" s="85" t="s">
        <v>18</v>
      </c>
      <c r="F3" s="85" t="s">
        <v>19</v>
      </c>
      <c r="G3" s="85" t="s">
        <v>20</v>
      </c>
      <c r="H3" s="85" t="s">
        <v>200</v>
      </c>
      <c r="I3" s="85" t="s">
        <v>205</v>
      </c>
    </row>
    <row r="4" spans="1:9" x14ac:dyDescent="0.3">
      <c r="A4" s="119" t="s">
        <v>207</v>
      </c>
      <c r="B4" s="119" t="s">
        <v>206</v>
      </c>
      <c r="C4" s="119" t="s">
        <v>206</v>
      </c>
      <c r="D4" s="119" t="s">
        <v>206</v>
      </c>
      <c r="E4" s="119" t="s">
        <v>206</v>
      </c>
      <c r="F4" s="119" t="s">
        <v>206</v>
      </c>
      <c r="G4" s="119" t="s">
        <v>206</v>
      </c>
      <c r="H4" s="119" t="s">
        <v>200</v>
      </c>
      <c r="I4" s="119" t="s">
        <v>206</v>
      </c>
    </row>
    <row r="5" spans="1:9" x14ac:dyDescent="0.3">
      <c r="A5" s="14">
        <v>300000</v>
      </c>
      <c r="B5" s="1" t="s">
        <v>208</v>
      </c>
      <c r="C5" s="1" t="s">
        <v>208</v>
      </c>
      <c r="D5" s="1" t="s">
        <v>208</v>
      </c>
      <c r="E5" s="1" t="s">
        <v>208</v>
      </c>
      <c r="F5" s="1" t="s">
        <v>208</v>
      </c>
      <c r="G5" s="1" t="s">
        <v>208</v>
      </c>
      <c r="H5" s="1" t="s">
        <v>200</v>
      </c>
      <c r="I5" s="1" t="s">
        <v>208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00FF"/>
  </sheetPr>
  <dimension ref="A1:E8"/>
  <sheetViews>
    <sheetView zoomScale="175" zoomScaleNormal="175" workbookViewId="0"/>
  </sheetViews>
  <sheetFormatPr defaultRowHeight="14.4" x14ac:dyDescent="0.3"/>
  <cols>
    <col min="2" max="2" width="11.5546875" bestFit="1" customWidth="1"/>
    <col min="258" max="258" width="11.5546875" bestFit="1" customWidth="1"/>
    <col min="514" max="514" width="11.5546875" bestFit="1" customWidth="1"/>
    <col min="770" max="770" width="11.5546875" bestFit="1" customWidth="1"/>
    <col min="1026" max="1026" width="11.5546875" bestFit="1" customWidth="1"/>
    <col min="1282" max="1282" width="11.5546875" bestFit="1" customWidth="1"/>
    <col min="1538" max="1538" width="11.5546875" bestFit="1" customWidth="1"/>
    <col min="1794" max="1794" width="11.5546875" bestFit="1" customWidth="1"/>
    <col min="2050" max="2050" width="11.5546875" bestFit="1" customWidth="1"/>
    <col min="2306" max="2306" width="11.5546875" bestFit="1" customWidth="1"/>
    <col min="2562" max="2562" width="11.5546875" bestFit="1" customWidth="1"/>
    <col min="2818" max="2818" width="11.5546875" bestFit="1" customWidth="1"/>
    <col min="3074" max="3074" width="11.5546875" bestFit="1" customWidth="1"/>
    <col min="3330" max="3330" width="11.5546875" bestFit="1" customWidth="1"/>
    <col min="3586" max="3586" width="11.5546875" bestFit="1" customWidth="1"/>
    <col min="3842" max="3842" width="11.5546875" bestFit="1" customWidth="1"/>
    <col min="4098" max="4098" width="11.5546875" bestFit="1" customWidth="1"/>
    <col min="4354" max="4354" width="11.5546875" bestFit="1" customWidth="1"/>
    <col min="4610" max="4610" width="11.5546875" bestFit="1" customWidth="1"/>
    <col min="4866" max="4866" width="11.5546875" bestFit="1" customWidth="1"/>
    <col min="5122" max="5122" width="11.5546875" bestFit="1" customWidth="1"/>
    <col min="5378" max="5378" width="11.5546875" bestFit="1" customWidth="1"/>
    <col min="5634" max="5634" width="11.5546875" bestFit="1" customWidth="1"/>
    <col min="5890" max="5890" width="11.5546875" bestFit="1" customWidth="1"/>
    <col min="6146" max="6146" width="11.5546875" bestFit="1" customWidth="1"/>
    <col min="6402" max="6402" width="11.5546875" bestFit="1" customWidth="1"/>
    <col min="6658" max="6658" width="11.5546875" bestFit="1" customWidth="1"/>
    <col min="6914" max="6914" width="11.5546875" bestFit="1" customWidth="1"/>
    <col min="7170" max="7170" width="11.5546875" bestFit="1" customWidth="1"/>
    <col min="7426" max="7426" width="11.5546875" bestFit="1" customWidth="1"/>
    <col min="7682" max="7682" width="11.5546875" bestFit="1" customWidth="1"/>
    <col min="7938" max="7938" width="11.5546875" bestFit="1" customWidth="1"/>
    <col min="8194" max="8194" width="11.5546875" bestFit="1" customWidth="1"/>
    <col min="8450" max="8450" width="11.5546875" bestFit="1" customWidth="1"/>
    <col min="8706" max="8706" width="11.5546875" bestFit="1" customWidth="1"/>
    <col min="8962" max="8962" width="11.5546875" bestFit="1" customWidth="1"/>
    <col min="9218" max="9218" width="11.5546875" bestFit="1" customWidth="1"/>
    <col min="9474" max="9474" width="11.5546875" bestFit="1" customWidth="1"/>
    <col min="9730" max="9730" width="11.5546875" bestFit="1" customWidth="1"/>
    <col min="9986" max="9986" width="11.5546875" bestFit="1" customWidth="1"/>
    <col min="10242" max="10242" width="11.5546875" bestFit="1" customWidth="1"/>
    <col min="10498" max="10498" width="11.5546875" bestFit="1" customWidth="1"/>
    <col min="10754" max="10754" width="11.5546875" bestFit="1" customWidth="1"/>
    <col min="11010" max="11010" width="11.5546875" bestFit="1" customWidth="1"/>
    <col min="11266" max="11266" width="11.5546875" bestFit="1" customWidth="1"/>
    <col min="11522" max="11522" width="11.5546875" bestFit="1" customWidth="1"/>
    <col min="11778" max="11778" width="11.5546875" bestFit="1" customWidth="1"/>
    <col min="12034" max="12034" width="11.5546875" bestFit="1" customWidth="1"/>
    <col min="12290" max="12290" width="11.5546875" bestFit="1" customWidth="1"/>
    <col min="12546" max="12546" width="11.5546875" bestFit="1" customWidth="1"/>
    <col min="12802" max="12802" width="11.5546875" bestFit="1" customWidth="1"/>
    <col min="13058" max="13058" width="11.5546875" bestFit="1" customWidth="1"/>
    <col min="13314" max="13314" width="11.5546875" bestFit="1" customWidth="1"/>
    <col min="13570" max="13570" width="11.5546875" bestFit="1" customWidth="1"/>
    <col min="13826" max="13826" width="11.5546875" bestFit="1" customWidth="1"/>
    <col min="14082" max="14082" width="11.5546875" bestFit="1" customWidth="1"/>
    <col min="14338" max="14338" width="11.5546875" bestFit="1" customWidth="1"/>
    <col min="14594" max="14594" width="11.5546875" bestFit="1" customWidth="1"/>
    <col min="14850" max="14850" width="11.5546875" bestFit="1" customWidth="1"/>
    <col min="15106" max="15106" width="11.5546875" bestFit="1" customWidth="1"/>
    <col min="15362" max="15362" width="11.5546875" bestFit="1" customWidth="1"/>
    <col min="15618" max="15618" width="11.5546875" bestFit="1" customWidth="1"/>
    <col min="15874" max="15874" width="11.5546875" bestFit="1" customWidth="1"/>
    <col min="16130" max="16130" width="11.5546875" bestFit="1" customWidth="1"/>
  </cols>
  <sheetData>
    <row r="1" spans="1:5" ht="28.95" x14ac:dyDescent="0.3">
      <c r="A1" s="60" t="s">
        <v>111</v>
      </c>
      <c r="B1" s="48"/>
      <c r="C1" s="48"/>
      <c r="D1" s="43"/>
    </row>
    <row r="2" spans="1:5" x14ac:dyDescent="0.3">
      <c r="A2" s="38" t="s">
        <v>101</v>
      </c>
      <c r="B2" s="61">
        <v>300000</v>
      </c>
    </row>
    <row r="3" spans="1:5" x14ac:dyDescent="0.3">
      <c r="A3" s="1" t="s">
        <v>112</v>
      </c>
      <c r="B3" s="34">
        <v>6.5000000000000002E-2</v>
      </c>
    </row>
    <row r="4" spans="1:5" x14ac:dyDescent="0.3">
      <c r="A4" s="1" t="s">
        <v>113</v>
      </c>
      <c r="B4" s="1">
        <v>12</v>
      </c>
    </row>
    <row r="5" spans="1:5" x14ac:dyDescent="0.3">
      <c r="A5" s="1" t="s">
        <v>76</v>
      </c>
      <c r="B5" s="1">
        <v>30</v>
      </c>
    </row>
    <row r="6" spans="1:5" x14ac:dyDescent="0.3">
      <c r="A6" s="1" t="s">
        <v>96</v>
      </c>
      <c r="B6" s="57"/>
    </row>
    <row r="7" spans="1:5" x14ac:dyDescent="0.3">
      <c r="A7" s="1" t="s">
        <v>96</v>
      </c>
      <c r="B7" s="57"/>
    </row>
    <row r="8" spans="1:5" ht="43.2" x14ac:dyDescent="0.3">
      <c r="A8" s="63" t="s">
        <v>81</v>
      </c>
      <c r="B8" s="45" t="str">
        <f>IF(B7="","","At and APR of "&amp;TEXT(B3,"0.00%")&amp;" compounded "&amp;B4&amp;" times a year for "&amp;B5&amp;" years, the monthly PMT is "&amp;DOLLAR(B7)&amp;".")</f>
        <v/>
      </c>
      <c r="C8" s="46"/>
      <c r="D8" s="46"/>
      <c r="E8" s="47"/>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E8"/>
  <sheetViews>
    <sheetView zoomScale="160" zoomScaleNormal="160" workbookViewId="0"/>
  </sheetViews>
  <sheetFormatPr defaultRowHeight="14.4" x14ac:dyDescent="0.3"/>
  <cols>
    <col min="2" max="2" width="11.5546875" bestFit="1" customWidth="1"/>
    <col min="258" max="258" width="11.5546875" bestFit="1" customWidth="1"/>
    <col min="514" max="514" width="11.5546875" bestFit="1" customWidth="1"/>
    <col min="770" max="770" width="11.5546875" bestFit="1" customWidth="1"/>
    <col min="1026" max="1026" width="11.5546875" bestFit="1" customWidth="1"/>
    <col min="1282" max="1282" width="11.5546875" bestFit="1" customWidth="1"/>
    <col min="1538" max="1538" width="11.5546875" bestFit="1" customWidth="1"/>
    <col min="1794" max="1794" width="11.5546875" bestFit="1" customWidth="1"/>
    <col min="2050" max="2050" width="11.5546875" bestFit="1" customWidth="1"/>
    <col min="2306" max="2306" width="11.5546875" bestFit="1" customWidth="1"/>
    <col min="2562" max="2562" width="11.5546875" bestFit="1" customWidth="1"/>
    <col min="2818" max="2818" width="11.5546875" bestFit="1" customWidth="1"/>
    <col min="3074" max="3074" width="11.5546875" bestFit="1" customWidth="1"/>
    <col min="3330" max="3330" width="11.5546875" bestFit="1" customWidth="1"/>
    <col min="3586" max="3586" width="11.5546875" bestFit="1" customWidth="1"/>
    <col min="3842" max="3842" width="11.5546875" bestFit="1" customWidth="1"/>
    <col min="4098" max="4098" width="11.5546875" bestFit="1" customWidth="1"/>
    <col min="4354" max="4354" width="11.5546875" bestFit="1" customWidth="1"/>
    <col min="4610" max="4610" width="11.5546875" bestFit="1" customWidth="1"/>
    <col min="4866" max="4866" width="11.5546875" bestFit="1" customWidth="1"/>
    <col min="5122" max="5122" width="11.5546875" bestFit="1" customWidth="1"/>
    <col min="5378" max="5378" width="11.5546875" bestFit="1" customWidth="1"/>
    <col min="5634" max="5634" width="11.5546875" bestFit="1" customWidth="1"/>
    <col min="5890" max="5890" width="11.5546875" bestFit="1" customWidth="1"/>
    <col min="6146" max="6146" width="11.5546875" bestFit="1" customWidth="1"/>
    <col min="6402" max="6402" width="11.5546875" bestFit="1" customWidth="1"/>
    <col min="6658" max="6658" width="11.5546875" bestFit="1" customWidth="1"/>
    <col min="6914" max="6914" width="11.5546875" bestFit="1" customWidth="1"/>
    <col min="7170" max="7170" width="11.5546875" bestFit="1" customWidth="1"/>
    <col min="7426" max="7426" width="11.5546875" bestFit="1" customWidth="1"/>
    <col min="7682" max="7682" width="11.5546875" bestFit="1" customWidth="1"/>
    <col min="7938" max="7938" width="11.5546875" bestFit="1" customWidth="1"/>
    <col min="8194" max="8194" width="11.5546875" bestFit="1" customWidth="1"/>
    <col min="8450" max="8450" width="11.5546875" bestFit="1" customWidth="1"/>
    <col min="8706" max="8706" width="11.5546875" bestFit="1" customWidth="1"/>
    <col min="8962" max="8962" width="11.5546875" bestFit="1" customWidth="1"/>
    <col min="9218" max="9218" width="11.5546875" bestFit="1" customWidth="1"/>
    <col min="9474" max="9474" width="11.5546875" bestFit="1" customWidth="1"/>
    <col min="9730" max="9730" width="11.5546875" bestFit="1" customWidth="1"/>
    <col min="9986" max="9986" width="11.5546875" bestFit="1" customWidth="1"/>
    <col min="10242" max="10242" width="11.5546875" bestFit="1" customWidth="1"/>
    <col min="10498" max="10498" width="11.5546875" bestFit="1" customWidth="1"/>
    <col min="10754" max="10754" width="11.5546875" bestFit="1" customWidth="1"/>
    <col min="11010" max="11010" width="11.5546875" bestFit="1" customWidth="1"/>
    <col min="11266" max="11266" width="11.5546875" bestFit="1" customWidth="1"/>
    <col min="11522" max="11522" width="11.5546875" bestFit="1" customWidth="1"/>
    <col min="11778" max="11778" width="11.5546875" bestFit="1" customWidth="1"/>
    <col min="12034" max="12034" width="11.5546875" bestFit="1" customWidth="1"/>
    <col min="12290" max="12290" width="11.5546875" bestFit="1" customWidth="1"/>
    <col min="12546" max="12546" width="11.5546875" bestFit="1" customWidth="1"/>
    <col min="12802" max="12802" width="11.5546875" bestFit="1" customWidth="1"/>
    <col min="13058" max="13058" width="11.5546875" bestFit="1" customWidth="1"/>
    <col min="13314" max="13314" width="11.5546875" bestFit="1" customWidth="1"/>
    <col min="13570" max="13570" width="11.5546875" bestFit="1" customWidth="1"/>
    <col min="13826" max="13826" width="11.5546875" bestFit="1" customWidth="1"/>
    <col min="14082" max="14082" width="11.5546875" bestFit="1" customWidth="1"/>
    <col min="14338" max="14338" width="11.5546875" bestFit="1" customWidth="1"/>
    <col min="14594" max="14594" width="11.5546875" bestFit="1" customWidth="1"/>
    <col min="14850" max="14850" width="11.5546875" bestFit="1" customWidth="1"/>
    <col min="15106" max="15106" width="11.5546875" bestFit="1" customWidth="1"/>
    <col min="15362" max="15362" width="11.5546875" bestFit="1" customWidth="1"/>
    <col min="15618" max="15618" width="11.5546875" bestFit="1" customWidth="1"/>
    <col min="15874" max="15874" width="11.5546875" bestFit="1" customWidth="1"/>
    <col min="16130" max="16130" width="11.5546875" bestFit="1" customWidth="1"/>
  </cols>
  <sheetData>
    <row r="1" spans="1:5" ht="28.95" x14ac:dyDescent="0.3">
      <c r="A1" s="60" t="s">
        <v>111</v>
      </c>
      <c r="B1" s="48"/>
      <c r="C1" s="48"/>
      <c r="D1" s="43"/>
    </row>
    <row r="2" spans="1:5" x14ac:dyDescent="0.3">
      <c r="A2" s="38" t="s">
        <v>101</v>
      </c>
      <c r="B2" s="61">
        <v>300000</v>
      </c>
    </row>
    <row r="3" spans="1:5" x14ac:dyDescent="0.3">
      <c r="A3" s="1" t="s">
        <v>112</v>
      </c>
      <c r="B3" s="34">
        <v>6.5000000000000002E-2</v>
      </c>
    </row>
    <row r="4" spans="1:5" x14ac:dyDescent="0.3">
      <c r="A4" s="1" t="s">
        <v>113</v>
      </c>
      <c r="B4" s="1">
        <v>12</v>
      </c>
    </row>
    <row r="5" spans="1:5" x14ac:dyDescent="0.3">
      <c r="A5" s="1" t="s">
        <v>76</v>
      </c>
      <c r="B5" s="1">
        <v>30</v>
      </c>
    </row>
    <row r="6" spans="1:5" x14ac:dyDescent="0.3">
      <c r="A6" s="1" t="s">
        <v>96</v>
      </c>
      <c r="B6" s="56">
        <f>B2/((1-(1+B3/B4)^-(B4*B5))/(B3/B4))</f>
        <v>1896.2040704788981</v>
      </c>
    </row>
    <row r="7" spans="1:5" x14ac:dyDescent="0.3">
      <c r="A7" s="1" t="s">
        <v>96</v>
      </c>
      <c r="B7" s="57">
        <f>PMT(B3/B4,B4*B5,B2)</f>
        <v>-1896.2040704788913</v>
      </c>
    </row>
    <row r="8" spans="1:5" ht="43.2" x14ac:dyDescent="0.3">
      <c r="A8" s="63" t="s">
        <v>81</v>
      </c>
      <c r="B8" s="45" t="str">
        <f>IF(B7="","","At and APR of "&amp;TEXT(B3,"0.00%")&amp;" compounded "&amp;B4&amp;" times a year for "&amp;B5&amp;" years, the monthly PMT is "&amp;DOLLAR(B7)&amp;".")</f>
        <v>At and APR of 6.50% compounded 12 times a year for 30 years, the monthly PMT is ($1,896.20).</v>
      </c>
      <c r="C8" s="46"/>
      <c r="D8" s="46"/>
      <c r="E8" s="47"/>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2060"/>
  </sheetPr>
  <dimension ref="A1:I46"/>
  <sheetViews>
    <sheetView zoomScale="115" zoomScaleNormal="115" workbookViewId="0"/>
  </sheetViews>
  <sheetFormatPr defaultRowHeight="13.2" x14ac:dyDescent="0.25"/>
  <cols>
    <col min="1" max="1" width="2.5546875" style="102" bestFit="1" customWidth="1"/>
    <col min="2" max="2" width="19" style="102" bestFit="1" customWidth="1"/>
    <col min="3" max="3" width="16.5546875" style="102" customWidth="1"/>
    <col min="4" max="4" width="20.44140625" style="102" customWidth="1"/>
    <col min="5" max="5" width="10.5546875" style="102" bestFit="1" customWidth="1"/>
    <col min="6" max="6" width="3.5546875" style="102" customWidth="1"/>
    <col min="7" max="256" width="8.88671875" style="102"/>
    <col min="257" max="257" width="2.5546875" style="102" bestFit="1" customWidth="1"/>
    <col min="258" max="258" width="16.6640625" style="102" customWidth="1"/>
    <col min="259" max="259" width="16.5546875" style="102" customWidth="1"/>
    <col min="260" max="260" width="20.44140625" style="102" customWidth="1"/>
    <col min="261" max="261" width="10.5546875" style="102" bestFit="1" customWidth="1"/>
    <col min="262" max="262" width="3.5546875" style="102" customWidth="1"/>
    <col min="263" max="512" width="8.88671875" style="102"/>
    <col min="513" max="513" width="2.5546875" style="102" bestFit="1" customWidth="1"/>
    <col min="514" max="514" width="16.6640625" style="102" customWidth="1"/>
    <col min="515" max="515" width="16.5546875" style="102" customWidth="1"/>
    <col min="516" max="516" width="20.44140625" style="102" customWidth="1"/>
    <col min="517" max="517" width="10.5546875" style="102" bestFit="1" customWidth="1"/>
    <col min="518" max="518" width="3.5546875" style="102" customWidth="1"/>
    <col min="519" max="768" width="8.88671875" style="102"/>
    <col min="769" max="769" width="2.5546875" style="102" bestFit="1" customWidth="1"/>
    <col min="770" max="770" width="16.6640625" style="102" customWidth="1"/>
    <col min="771" max="771" width="16.5546875" style="102" customWidth="1"/>
    <col min="772" max="772" width="20.44140625" style="102" customWidth="1"/>
    <col min="773" max="773" width="10.5546875" style="102" bestFit="1" customWidth="1"/>
    <col min="774" max="774" width="3.5546875" style="102" customWidth="1"/>
    <col min="775" max="1024" width="8.88671875" style="102"/>
    <col min="1025" max="1025" width="2.5546875" style="102" bestFit="1" customWidth="1"/>
    <col min="1026" max="1026" width="16.6640625" style="102" customWidth="1"/>
    <col min="1027" max="1027" width="16.5546875" style="102" customWidth="1"/>
    <col min="1028" max="1028" width="20.44140625" style="102" customWidth="1"/>
    <col min="1029" max="1029" width="10.5546875" style="102" bestFit="1" customWidth="1"/>
    <col min="1030" max="1030" width="3.5546875" style="102" customWidth="1"/>
    <col min="1031" max="1280" width="8.88671875" style="102"/>
    <col min="1281" max="1281" width="2.5546875" style="102" bestFit="1" customWidth="1"/>
    <col min="1282" max="1282" width="16.6640625" style="102" customWidth="1"/>
    <col min="1283" max="1283" width="16.5546875" style="102" customWidth="1"/>
    <col min="1284" max="1284" width="20.44140625" style="102" customWidth="1"/>
    <col min="1285" max="1285" width="10.5546875" style="102" bestFit="1" customWidth="1"/>
    <col min="1286" max="1286" width="3.5546875" style="102" customWidth="1"/>
    <col min="1287" max="1536" width="8.88671875" style="102"/>
    <col min="1537" max="1537" width="2.5546875" style="102" bestFit="1" customWidth="1"/>
    <col min="1538" max="1538" width="16.6640625" style="102" customWidth="1"/>
    <col min="1539" max="1539" width="16.5546875" style="102" customWidth="1"/>
    <col min="1540" max="1540" width="20.44140625" style="102" customWidth="1"/>
    <col min="1541" max="1541" width="10.5546875" style="102" bestFit="1" customWidth="1"/>
    <col min="1542" max="1542" width="3.5546875" style="102" customWidth="1"/>
    <col min="1543" max="1792" width="8.88671875" style="102"/>
    <col min="1793" max="1793" width="2.5546875" style="102" bestFit="1" customWidth="1"/>
    <col min="1794" max="1794" width="16.6640625" style="102" customWidth="1"/>
    <col min="1795" max="1795" width="16.5546875" style="102" customWidth="1"/>
    <col min="1796" max="1796" width="20.44140625" style="102" customWidth="1"/>
    <col min="1797" max="1797" width="10.5546875" style="102" bestFit="1" customWidth="1"/>
    <col min="1798" max="1798" width="3.5546875" style="102" customWidth="1"/>
    <col min="1799" max="2048" width="8.88671875" style="102"/>
    <col min="2049" max="2049" width="2.5546875" style="102" bestFit="1" customWidth="1"/>
    <col min="2050" max="2050" width="16.6640625" style="102" customWidth="1"/>
    <col min="2051" max="2051" width="16.5546875" style="102" customWidth="1"/>
    <col min="2052" max="2052" width="20.44140625" style="102" customWidth="1"/>
    <col min="2053" max="2053" width="10.5546875" style="102" bestFit="1" customWidth="1"/>
    <col min="2054" max="2054" width="3.5546875" style="102" customWidth="1"/>
    <col min="2055" max="2304" width="8.88671875" style="102"/>
    <col min="2305" max="2305" width="2.5546875" style="102" bestFit="1" customWidth="1"/>
    <col min="2306" max="2306" width="16.6640625" style="102" customWidth="1"/>
    <col min="2307" max="2307" width="16.5546875" style="102" customWidth="1"/>
    <col min="2308" max="2308" width="20.44140625" style="102" customWidth="1"/>
    <col min="2309" max="2309" width="10.5546875" style="102" bestFit="1" customWidth="1"/>
    <col min="2310" max="2310" width="3.5546875" style="102" customWidth="1"/>
    <col min="2311" max="2560" width="8.88671875" style="102"/>
    <col min="2561" max="2561" width="2.5546875" style="102" bestFit="1" customWidth="1"/>
    <col min="2562" max="2562" width="16.6640625" style="102" customWidth="1"/>
    <col min="2563" max="2563" width="16.5546875" style="102" customWidth="1"/>
    <col min="2564" max="2564" width="20.44140625" style="102" customWidth="1"/>
    <col min="2565" max="2565" width="10.5546875" style="102" bestFit="1" customWidth="1"/>
    <col min="2566" max="2566" width="3.5546875" style="102" customWidth="1"/>
    <col min="2567" max="2816" width="8.88671875" style="102"/>
    <col min="2817" max="2817" width="2.5546875" style="102" bestFit="1" customWidth="1"/>
    <col min="2818" max="2818" width="16.6640625" style="102" customWidth="1"/>
    <col min="2819" max="2819" width="16.5546875" style="102" customWidth="1"/>
    <col min="2820" max="2820" width="20.44140625" style="102" customWidth="1"/>
    <col min="2821" max="2821" width="10.5546875" style="102" bestFit="1" customWidth="1"/>
    <col min="2822" max="2822" width="3.5546875" style="102" customWidth="1"/>
    <col min="2823" max="3072" width="8.88671875" style="102"/>
    <col min="3073" max="3073" width="2.5546875" style="102" bestFit="1" customWidth="1"/>
    <col min="3074" max="3074" width="16.6640625" style="102" customWidth="1"/>
    <col min="3075" max="3075" width="16.5546875" style="102" customWidth="1"/>
    <col min="3076" max="3076" width="20.44140625" style="102" customWidth="1"/>
    <col min="3077" max="3077" width="10.5546875" style="102" bestFit="1" customWidth="1"/>
    <col min="3078" max="3078" width="3.5546875" style="102" customWidth="1"/>
    <col min="3079" max="3328" width="8.88671875" style="102"/>
    <col min="3329" max="3329" width="2.5546875" style="102" bestFit="1" customWidth="1"/>
    <col min="3330" max="3330" width="16.6640625" style="102" customWidth="1"/>
    <col min="3331" max="3331" width="16.5546875" style="102" customWidth="1"/>
    <col min="3332" max="3332" width="20.44140625" style="102" customWidth="1"/>
    <col min="3333" max="3333" width="10.5546875" style="102" bestFit="1" customWidth="1"/>
    <col min="3334" max="3334" width="3.5546875" style="102" customWidth="1"/>
    <col min="3335" max="3584" width="8.88671875" style="102"/>
    <col min="3585" max="3585" width="2.5546875" style="102" bestFit="1" customWidth="1"/>
    <col min="3586" max="3586" width="16.6640625" style="102" customWidth="1"/>
    <col min="3587" max="3587" width="16.5546875" style="102" customWidth="1"/>
    <col min="3588" max="3588" width="20.44140625" style="102" customWidth="1"/>
    <col min="3589" max="3589" width="10.5546875" style="102" bestFit="1" customWidth="1"/>
    <col min="3590" max="3590" width="3.5546875" style="102" customWidth="1"/>
    <col min="3591" max="3840" width="8.88671875" style="102"/>
    <col min="3841" max="3841" width="2.5546875" style="102" bestFit="1" customWidth="1"/>
    <col min="3842" max="3842" width="16.6640625" style="102" customWidth="1"/>
    <col min="3843" max="3843" width="16.5546875" style="102" customWidth="1"/>
    <col min="3844" max="3844" width="20.44140625" style="102" customWidth="1"/>
    <col min="3845" max="3845" width="10.5546875" style="102" bestFit="1" customWidth="1"/>
    <col min="3846" max="3846" width="3.5546875" style="102" customWidth="1"/>
    <col min="3847" max="4096" width="8.88671875" style="102"/>
    <col min="4097" max="4097" width="2.5546875" style="102" bestFit="1" customWidth="1"/>
    <col min="4098" max="4098" width="16.6640625" style="102" customWidth="1"/>
    <col min="4099" max="4099" width="16.5546875" style="102" customWidth="1"/>
    <col min="4100" max="4100" width="20.44140625" style="102" customWidth="1"/>
    <col min="4101" max="4101" width="10.5546875" style="102" bestFit="1" customWidth="1"/>
    <col min="4102" max="4102" width="3.5546875" style="102" customWidth="1"/>
    <col min="4103" max="4352" width="8.88671875" style="102"/>
    <col min="4353" max="4353" width="2.5546875" style="102" bestFit="1" customWidth="1"/>
    <col min="4354" max="4354" width="16.6640625" style="102" customWidth="1"/>
    <col min="4355" max="4355" width="16.5546875" style="102" customWidth="1"/>
    <col min="4356" max="4356" width="20.44140625" style="102" customWidth="1"/>
    <col min="4357" max="4357" width="10.5546875" style="102" bestFit="1" customWidth="1"/>
    <col min="4358" max="4358" width="3.5546875" style="102" customWidth="1"/>
    <col min="4359" max="4608" width="8.88671875" style="102"/>
    <col min="4609" max="4609" width="2.5546875" style="102" bestFit="1" customWidth="1"/>
    <col min="4610" max="4610" width="16.6640625" style="102" customWidth="1"/>
    <col min="4611" max="4611" width="16.5546875" style="102" customWidth="1"/>
    <col min="4612" max="4612" width="20.44140625" style="102" customWidth="1"/>
    <col min="4613" max="4613" width="10.5546875" style="102" bestFit="1" customWidth="1"/>
    <col min="4614" max="4614" width="3.5546875" style="102" customWidth="1"/>
    <col min="4615" max="4864" width="8.88671875" style="102"/>
    <col min="4865" max="4865" width="2.5546875" style="102" bestFit="1" customWidth="1"/>
    <col min="4866" max="4866" width="16.6640625" style="102" customWidth="1"/>
    <col min="4867" max="4867" width="16.5546875" style="102" customWidth="1"/>
    <col min="4868" max="4868" width="20.44140625" style="102" customWidth="1"/>
    <col min="4869" max="4869" width="10.5546875" style="102" bestFit="1" customWidth="1"/>
    <col min="4870" max="4870" width="3.5546875" style="102" customWidth="1"/>
    <col min="4871" max="5120" width="8.88671875" style="102"/>
    <col min="5121" max="5121" width="2.5546875" style="102" bestFit="1" customWidth="1"/>
    <col min="5122" max="5122" width="16.6640625" style="102" customWidth="1"/>
    <col min="5123" max="5123" width="16.5546875" style="102" customWidth="1"/>
    <col min="5124" max="5124" width="20.44140625" style="102" customWidth="1"/>
    <col min="5125" max="5125" width="10.5546875" style="102" bestFit="1" customWidth="1"/>
    <col min="5126" max="5126" width="3.5546875" style="102" customWidth="1"/>
    <col min="5127" max="5376" width="8.88671875" style="102"/>
    <col min="5377" max="5377" width="2.5546875" style="102" bestFit="1" customWidth="1"/>
    <col min="5378" max="5378" width="16.6640625" style="102" customWidth="1"/>
    <col min="5379" max="5379" width="16.5546875" style="102" customWidth="1"/>
    <col min="5380" max="5380" width="20.44140625" style="102" customWidth="1"/>
    <col min="5381" max="5381" width="10.5546875" style="102" bestFit="1" customWidth="1"/>
    <col min="5382" max="5382" width="3.5546875" style="102" customWidth="1"/>
    <col min="5383" max="5632" width="8.88671875" style="102"/>
    <col min="5633" max="5633" width="2.5546875" style="102" bestFit="1" customWidth="1"/>
    <col min="5634" max="5634" width="16.6640625" style="102" customWidth="1"/>
    <col min="5635" max="5635" width="16.5546875" style="102" customWidth="1"/>
    <col min="5636" max="5636" width="20.44140625" style="102" customWidth="1"/>
    <col min="5637" max="5637" width="10.5546875" style="102" bestFit="1" customWidth="1"/>
    <col min="5638" max="5638" width="3.5546875" style="102" customWidth="1"/>
    <col min="5639" max="5888" width="8.88671875" style="102"/>
    <col min="5889" max="5889" width="2.5546875" style="102" bestFit="1" customWidth="1"/>
    <col min="5890" max="5890" width="16.6640625" style="102" customWidth="1"/>
    <col min="5891" max="5891" width="16.5546875" style="102" customWidth="1"/>
    <col min="5892" max="5892" width="20.44140625" style="102" customWidth="1"/>
    <col min="5893" max="5893" width="10.5546875" style="102" bestFit="1" customWidth="1"/>
    <col min="5894" max="5894" width="3.5546875" style="102" customWidth="1"/>
    <col min="5895" max="6144" width="8.88671875" style="102"/>
    <col min="6145" max="6145" width="2.5546875" style="102" bestFit="1" customWidth="1"/>
    <col min="6146" max="6146" width="16.6640625" style="102" customWidth="1"/>
    <col min="6147" max="6147" width="16.5546875" style="102" customWidth="1"/>
    <col min="6148" max="6148" width="20.44140625" style="102" customWidth="1"/>
    <col min="6149" max="6149" width="10.5546875" style="102" bestFit="1" customWidth="1"/>
    <col min="6150" max="6150" width="3.5546875" style="102" customWidth="1"/>
    <col min="6151" max="6400" width="8.88671875" style="102"/>
    <col min="6401" max="6401" width="2.5546875" style="102" bestFit="1" customWidth="1"/>
    <col min="6402" max="6402" width="16.6640625" style="102" customWidth="1"/>
    <col min="6403" max="6403" width="16.5546875" style="102" customWidth="1"/>
    <col min="6404" max="6404" width="20.44140625" style="102" customWidth="1"/>
    <col min="6405" max="6405" width="10.5546875" style="102" bestFit="1" customWidth="1"/>
    <col min="6406" max="6406" width="3.5546875" style="102" customWidth="1"/>
    <col min="6407" max="6656" width="8.88671875" style="102"/>
    <col min="6657" max="6657" width="2.5546875" style="102" bestFit="1" customWidth="1"/>
    <col min="6658" max="6658" width="16.6640625" style="102" customWidth="1"/>
    <col min="6659" max="6659" width="16.5546875" style="102" customWidth="1"/>
    <col min="6660" max="6660" width="20.44140625" style="102" customWidth="1"/>
    <col min="6661" max="6661" width="10.5546875" style="102" bestFit="1" customWidth="1"/>
    <col min="6662" max="6662" width="3.5546875" style="102" customWidth="1"/>
    <col min="6663" max="6912" width="8.88671875" style="102"/>
    <col min="6913" max="6913" width="2.5546875" style="102" bestFit="1" customWidth="1"/>
    <col min="6914" max="6914" width="16.6640625" style="102" customWidth="1"/>
    <col min="6915" max="6915" width="16.5546875" style="102" customWidth="1"/>
    <col min="6916" max="6916" width="20.44140625" style="102" customWidth="1"/>
    <col min="6917" max="6917" width="10.5546875" style="102" bestFit="1" customWidth="1"/>
    <col min="6918" max="6918" width="3.5546875" style="102" customWidth="1"/>
    <col min="6919" max="7168" width="8.88671875" style="102"/>
    <col min="7169" max="7169" width="2.5546875" style="102" bestFit="1" customWidth="1"/>
    <col min="7170" max="7170" width="16.6640625" style="102" customWidth="1"/>
    <col min="7171" max="7171" width="16.5546875" style="102" customWidth="1"/>
    <col min="7172" max="7172" width="20.44140625" style="102" customWidth="1"/>
    <col min="7173" max="7173" width="10.5546875" style="102" bestFit="1" customWidth="1"/>
    <col min="7174" max="7174" width="3.5546875" style="102" customWidth="1"/>
    <col min="7175" max="7424" width="8.88671875" style="102"/>
    <col min="7425" max="7425" width="2.5546875" style="102" bestFit="1" customWidth="1"/>
    <col min="7426" max="7426" width="16.6640625" style="102" customWidth="1"/>
    <col min="7427" max="7427" width="16.5546875" style="102" customWidth="1"/>
    <col min="7428" max="7428" width="20.44140625" style="102" customWidth="1"/>
    <col min="7429" max="7429" width="10.5546875" style="102" bestFit="1" customWidth="1"/>
    <col min="7430" max="7430" width="3.5546875" style="102" customWidth="1"/>
    <col min="7431" max="7680" width="8.88671875" style="102"/>
    <col min="7681" max="7681" width="2.5546875" style="102" bestFit="1" customWidth="1"/>
    <col min="7682" max="7682" width="16.6640625" style="102" customWidth="1"/>
    <col min="7683" max="7683" width="16.5546875" style="102" customWidth="1"/>
    <col min="7684" max="7684" width="20.44140625" style="102" customWidth="1"/>
    <col min="7685" max="7685" width="10.5546875" style="102" bestFit="1" customWidth="1"/>
    <col min="7686" max="7686" width="3.5546875" style="102" customWidth="1"/>
    <col min="7687" max="7936" width="8.88671875" style="102"/>
    <col min="7937" max="7937" width="2.5546875" style="102" bestFit="1" customWidth="1"/>
    <col min="7938" max="7938" width="16.6640625" style="102" customWidth="1"/>
    <col min="7939" max="7939" width="16.5546875" style="102" customWidth="1"/>
    <col min="7940" max="7940" width="20.44140625" style="102" customWidth="1"/>
    <col min="7941" max="7941" width="10.5546875" style="102" bestFit="1" customWidth="1"/>
    <col min="7942" max="7942" width="3.5546875" style="102" customWidth="1"/>
    <col min="7943" max="8192" width="8.88671875" style="102"/>
    <col min="8193" max="8193" width="2.5546875" style="102" bestFit="1" customWidth="1"/>
    <col min="8194" max="8194" width="16.6640625" style="102" customWidth="1"/>
    <col min="8195" max="8195" width="16.5546875" style="102" customWidth="1"/>
    <col min="8196" max="8196" width="20.44140625" style="102" customWidth="1"/>
    <col min="8197" max="8197" width="10.5546875" style="102" bestFit="1" customWidth="1"/>
    <col min="8198" max="8198" width="3.5546875" style="102" customWidth="1"/>
    <col min="8199" max="8448" width="8.88671875" style="102"/>
    <col min="8449" max="8449" width="2.5546875" style="102" bestFit="1" customWidth="1"/>
    <col min="8450" max="8450" width="16.6640625" style="102" customWidth="1"/>
    <col min="8451" max="8451" width="16.5546875" style="102" customWidth="1"/>
    <col min="8452" max="8452" width="20.44140625" style="102" customWidth="1"/>
    <col min="8453" max="8453" width="10.5546875" style="102" bestFit="1" customWidth="1"/>
    <col min="8454" max="8454" width="3.5546875" style="102" customWidth="1"/>
    <col min="8455" max="8704" width="8.88671875" style="102"/>
    <col min="8705" max="8705" width="2.5546875" style="102" bestFit="1" customWidth="1"/>
    <col min="8706" max="8706" width="16.6640625" style="102" customWidth="1"/>
    <col min="8707" max="8707" width="16.5546875" style="102" customWidth="1"/>
    <col min="8708" max="8708" width="20.44140625" style="102" customWidth="1"/>
    <col min="8709" max="8709" width="10.5546875" style="102" bestFit="1" customWidth="1"/>
    <col min="8710" max="8710" width="3.5546875" style="102" customWidth="1"/>
    <col min="8711" max="8960" width="8.88671875" style="102"/>
    <col min="8961" max="8961" width="2.5546875" style="102" bestFit="1" customWidth="1"/>
    <col min="8962" max="8962" width="16.6640625" style="102" customWidth="1"/>
    <col min="8963" max="8963" width="16.5546875" style="102" customWidth="1"/>
    <col min="8964" max="8964" width="20.44140625" style="102" customWidth="1"/>
    <col min="8965" max="8965" width="10.5546875" style="102" bestFit="1" customWidth="1"/>
    <col min="8966" max="8966" width="3.5546875" style="102" customWidth="1"/>
    <col min="8967" max="9216" width="8.88671875" style="102"/>
    <col min="9217" max="9217" width="2.5546875" style="102" bestFit="1" customWidth="1"/>
    <col min="9218" max="9218" width="16.6640625" style="102" customWidth="1"/>
    <col min="9219" max="9219" width="16.5546875" style="102" customWidth="1"/>
    <col min="9220" max="9220" width="20.44140625" style="102" customWidth="1"/>
    <col min="9221" max="9221" width="10.5546875" style="102" bestFit="1" customWidth="1"/>
    <col min="9222" max="9222" width="3.5546875" style="102" customWidth="1"/>
    <col min="9223" max="9472" width="8.88671875" style="102"/>
    <col min="9473" max="9473" width="2.5546875" style="102" bestFit="1" customWidth="1"/>
    <col min="9474" max="9474" width="16.6640625" style="102" customWidth="1"/>
    <col min="9475" max="9475" width="16.5546875" style="102" customWidth="1"/>
    <col min="9476" max="9476" width="20.44140625" style="102" customWidth="1"/>
    <col min="9477" max="9477" width="10.5546875" style="102" bestFit="1" customWidth="1"/>
    <col min="9478" max="9478" width="3.5546875" style="102" customWidth="1"/>
    <col min="9479" max="9728" width="8.88671875" style="102"/>
    <col min="9729" max="9729" width="2.5546875" style="102" bestFit="1" customWidth="1"/>
    <col min="9730" max="9730" width="16.6640625" style="102" customWidth="1"/>
    <col min="9731" max="9731" width="16.5546875" style="102" customWidth="1"/>
    <col min="9732" max="9732" width="20.44140625" style="102" customWidth="1"/>
    <col min="9733" max="9733" width="10.5546875" style="102" bestFit="1" customWidth="1"/>
    <col min="9734" max="9734" width="3.5546875" style="102" customWidth="1"/>
    <col min="9735" max="9984" width="8.88671875" style="102"/>
    <col min="9985" max="9985" width="2.5546875" style="102" bestFit="1" customWidth="1"/>
    <col min="9986" max="9986" width="16.6640625" style="102" customWidth="1"/>
    <col min="9987" max="9987" width="16.5546875" style="102" customWidth="1"/>
    <col min="9988" max="9988" width="20.44140625" style="102" customWidth="1"/>
    <col min="9989" max="9989" width="10.5546875" style="102" bestFit="1" customWidth="1"/>
    <col min="9990" max="9990" width="3.5546875" style="102" customWidth="1"/>
    <col min="9991" max="10240" width="8.88671875" style="102"/>
    <col min="10241" max="10241" width="2.5546875" style="102" bestFit="1" customWidth="1"/>
    <col min="10242" max="10242" width="16.6640625" style="102" customWidth="1"/>
    <col min="10243" max="10243" width="16.5546875" style="102" customWidth="1"/>
    <col min="10244" max="10244" width="20.44140625" style="102" customWidth="1"/>
    <col min="10245" max="10245" width="10.5546875" style="102" bestFit="1" customWidth="1"/>
    <col min="10246" max="10246" width="3.5546875" style="102" customWidth="1"/>
    <col min="10247" max="10496" width="8.88671875" style="102"/>
    <col min="10497" max="10497" width="2.5546875" style="102" bestFit="1" customWidth="1"/>
    <col min="10498" max="10498" width="16.6640625" style="102" customWidth="1"/>
    <col min="10499" max="10499" width="16.5546875" style="102" customWidth="1"/>
    <col min="10500" max="10500" width="20.44140625" style="102" customWidth="1"/>
    <col min="10501" max="10501" width="10.5546875" style="102" bestFit="1" customWidth="1"/>
    <col min="10502" max="10502" width="3.5546875" style="102" customWidth="1"/>
    <col min="10503" max="10752" width="8.88671875" style="102"/>
    <col min="10753" max="10753" width="2.5546875" style="102" bestFit="1" customWidth="1"/>
    <col min="10754" max="10754" width="16.6640625" style="102" customWidth="1"/>
    <col min="10755" max="10755" width="16.5546875" style="102" customWidth="1"/>
    <col min="10756" max="10756" width="20.44140625" style="102" customWidth="1"/>
    <col min="10757" max="10757" width="10.5546875" style="102" bestFit="1" customWidth="1"/>
    <col min="10758" max="10758" width="3.5546875" style="102" customWidth="1"/>
    <col min="10759" max="11008" width="8.88671875" style="102"/>
    <col min="11009" max="11009" width="2.5546875" style="102" bestFit="1" customWidth="1"/>
    <col min="11010" max="11010" width="16.6640625" style="102" customWidth="1"/>
    <col min="11011" max="11011" width="16.5546875" style="102" customWidth="1"/>
    <col min="11012" max="11012" width="20.44140625" style="102" customWidth="1"/>
    <col min="11013" max="11013" width="10.5546875" style="102" bestFit="1" customWidth="1"/>
    <col min="11014" max="11014" width="3.5546875" style="102" customWidth="1"/>
    <col min="11015" max="11264" width="8.88671875" style="102"/>
    <col min="11265" max="11265" width="2.5546875" style="102" bestFit="1" customWidth="1"/>
    <col min="11266" max="11266" width="16.6640625" style="102" customWidth="1"/>
    <col min="11267" max="11267" width="16.5546875" style="102" customWidth="1"/>
    <col min="11268" max="11268" width="20.44140625" style="102" customWidth="1"/>
    <col min="11269" max="11269" width="10.5546875" style="102" bestFit="1" customWidth="1"/>
    <col min="11270" max="11270" width="3.5546875" style="102" customWidth="1"/>
    <col min="11271" max="11520" width="8.88671875" style="102"/>
    <col min="11521" max="11521" width="2.5546875" style="102" bestFit="1" customWidth="1"/>
    <col min="11522" max="11522" width="16.6640625" style="102" customWidth="1"/>
    <col min="11523" max="11523" width="16.5546875" style="102" customWidth="1"/>
    <col min="11524" max="11524" width="20.44140625" style="102" customWidth="1"/>
    <col min="11525" max="11525" width="10.5546875" style="102" bestFit="1" customWidth="1"/>
    <col min="11526" max="11526" width="3.5546875" style="102" customWidth="1"/>
    <col min="11527" max="11776" width="8.88671875" style="102"/>
    <col min="11777" max="11777" width="2.5546875" style="102" bestFit="1" customWidth="1"/>
    <col min="11778" max="11778" width="16.6640625" style="102" customWidth="1"/>
    <col min="11779" max="11779" width="16.5546875" style="102" customWidth="1"/>
    <col min="11780" max="11780" width="20.44140625" style="102" customWidth="1"/>
    <col min="11781" max="11781" width="10.5546875" style="102" bestFit="1" customWidth="1"/>
    <col min="11782" max="11782" width="3.5546875" style="102" customWidth="1"/>
    <col min="11783" max="12032" width="8.88671875" style="102"/>
    <col min="12033" max="12033" width="2.5546875" style="102" bestFit="1" customWidth="1"/>
    <col min="12034" max="12034" width="16.6640625" style="102" customWidth="1"/>
    <col min="12035" max="12035" width="16.5546875" style="102" customWidth="1"/>
    <col min="12036" max="12036" width="20.44140625" style="102" customWidth="1"/>
    <col min="12037" max="12037" width="10.5546875" style="102" bestFit="1" customWidth="1"/>
    <col min="12038" max="12038" width="3.5546875" style="102" customWidth="1"/>
    <col min="12039" max="12288" width="8.88671875" style="102"/>
    <col min="12289" max="12289" width="2.5546875" style="102" bestFit="1" customWidth="1"/>
    <col min="12290" max="12290" width="16.6640625" style="102" customWidth="1"/>
    <col min="12291" max="12291" width="16.5546875" style="102" customWidth="1"/>
    <col min="12292" max="12292" width="20.44140625" style="102" customWidth="1"/>
    <col min="12293" max="12293" width="10.5546875" style="102" bestFit="1" customWidth="1"/>
    <col min="12294" max="12294" width="3.5546875" style="102" customWidth="1"/>
    <col min="12295" max="12544" width="8.88671875" style="102"/>
    <col min="12545" max="12545" width="2.5546875" style="102" bestFit="1" customWidth="1"/>
    <col min="12546" max="12546" width="16.6640625" style="102" customWidth="1"/>
    <col min="12547" max="12547" width="16.5546875" style="102" customWidth="1"/>
    <col min="12548" max="12548" width="20.44140625" style="102" customWidth="1"/>
    <col min="12549" max="12549" width="10.5546875" style="102" bestFit="1" customWidth="1"/>
    <col min="12550" max="12550" width="3.5546875" style="102" customWidth="1"/>
    <col min="12551" max="12800" width="8.88671875" style="102"/>
    <col min="12801" max="12801" width="2.5546875" style="102" bestFit="1" customWidth="1"/>
    <col min="12802" max="12802" width="16.6640625" style="102" customWidth="1"/>
    <col min="12803" max="12803" width="16.5546875" style="102" customWidth="1"/>
    <col min="12804" max="12804" width="20.44140625" style="102" customWidth="1"/>
    <col min="12805" max="12805" width="10.5546875" style="102" bestFit="1" customWidth="1"/>
    <col min="12806" max="12806" width="3.5546875" style="102" customWidth="1"/>
    <col min="12807" max="13056" width="8.88671875" style="102"/>
    <col min="13057" max="13057" width="2.5546875" style="102" bestFit="1" customWidth="1"/>
    <col min="13058" max="13058" width="16.6640625" style="102" customWidth="1"/>
    <col min="13059" max="13059" width="16.5546875" style="102" customWidth="1"/>
    <col min="13060" max="13060" width="20.44140625" style="102" customWidth="1"/>
    <col min="13061" max="13061" width="10.5546875" style="102" bestFit="1" customWidth="1"/>
    <col min="13062" max="13062" width="3.5546875" style="102" customWidth="1"/>
    <col min="13063" max="13312" width="8.88671875" style="102"/>
    <col min="13313" max="13313" width="2.5546875" style="102" bestFit="1" customWidth="1"/>
    <col min="13314" max="13314" width="16.6640625" style="102" customWidth="1"/>
    <col min="13315" max="13315" width="16.5546875" style="102" customWidth="1"/>
    <col min="13316" max="13316" width="20.44140625" style="102" customWidth="1"/>
    <col min="13317" max="13317" width="10.5546875" style="102" bestFit="1" customWidth="1"/>
    <col min="13318" max="13318" width="3.5546875" style="102" customWidth="1"/>
    <col min="13319" max="13568" width="8.88671875" style="102"/>
    <col min="13569" max="13569" width="2.5546875" style="102" bestFit="1" customWidth="1"/>
    <col min="13570" max="13570" width="16.6640625" style="102" customWidth="1"/>
    <col min="13571" max="13571" width="16.5546875" style="102" customWidth="1"/>
    <col min="13572" max="13572" width="20.44140625" style="102" customWidth="1"/>
    <col min="13573" max="13573" width="10.5546875" style="102" bestFit="1" customWidth="1"/>
    <col min="13574" max="13574" width="3.5546875" style="102" customWidth="1"/>
    <col min="13575" max="13824" width="8.88671875" style="102"/>
    <col min="13825" max="13825" width="2.5546875" style="102" bestFit="1" customWidth="1"/>
    <col min="13826" max="13826" width="16.6640625" style="102" customWidth="1"/>
    <col min="13827" max="13827" width="16.5546875" style="102" customWidth="1"/>
    <col min="13828" max="13828" width="20.44140625" style="102" customWidth="1"/>
    <col min="13829" max="13829" width="10.5546875" style="102" bestFit="1" customWidth="1"/>
    <col min="13830" max="13830" width="3.5546875" style="102" customWidth="1"/>
    <col min="13831" max="14080" width="8.88671875" style="102"/>
    <col min="14081" max="14081" width="2.5546875" style="102" bestFit="1" customWidth="1"/>
    <col min="14082" max="14082" width="16.6640625" style="102" customWidth="1"/>
    <col min="14083" max="14083" width="16.5546875" style="102" customWidth="1"/>
    <col min="14084" max="14084" width="20.44140625" style="102" customWidth="1"/>
    <col min="14085" max="14085" width="10.5546875" style="102" bestFit="1" customWidth="1"/>
    <col min="14086" max="14086" width="3.5546875" style="102" customWidth="1"/>
    <col min="14087" max="14336" width="8.88671875" style="102"/>
    <col min="14337" max="14337" width="2.5546875" style="102" bestFit="1" customWidth="1"/>
    <col min="14338" max="14338" width="16.6640625" style="102" customWidth="1"/>
    <col min="14339" max="14339" width="16.5546875" style="102" customWidth="1"/>
    <col min="14340" max="14340" width="20.44140625" style="102" customWidth="1"/>
    <col min="14341" max="14341" width="10.5546875" style="102" bestFit="1" customWidth="1"/>
    <col min="14342" max="14342" width="3.5546875" style="102" customWidth="1"/>
    <col min="14343" max="14592" width="8.88671875" style="102"/>
    <col min="14593" max="14593" width="2.5546875" style="102" bestFit="1" customWidth="1"/>
    <col min="14594" max="14594" width="16.6640625" style="102" customWidth="1"/>
    <col min="14595" max="14595" width="16.5546875" style="102" customWidth="1"/>
    <col min="14596" max="14596" width="20.44140625" style="102" customWidth="1"/>
    <col min="14597" max="14597" width="10.5546875" style="102" bestFit="1" customWidth="1"/>
    <col min="14598" max="14598" width="3.5546875" style="102" customWidth="1"/>
    <col min="14599" max="14848" width="8.88671875" style="102"/>
    <col min="14849" max="14849" width="2.5546875" style="102" bestFit="1" customWidth="1"/>
    <col min="14850" max="14850" width="16.6640625" style="102" customWidth="1"/>
    <col min="14851" max="14851" width="16.5546875" style="102" customWidth="1"/>
    <col min="14852" max="14852" width="20.44140625" style="102" customWidth="1"/>
    <col min="14853" max="14853" width="10.5546875" style="102" bestFit="1" customWidth="1"/>
    <col min="14854" max="14854" width="3.5546875" style="102" customWidth="1"/>
    <col min="14855" max="15104" width="8.88671875" style="102"/>
    <col min="15105" max="15105" width="2.5546875" style="102" bestFit="1" customWidth="1"/>
    <col min="15106" max="15106" width="16.6640625" style="102" customWidth="1"/>
    <col min="15107" max="15107" width="16.5546875" style="102" customWidth="1"/>
    <col min="15108" max="15108" width="20.44140625" style="102" customWidth="1"/>
    <col min="15109" max="15109" width="10.5546875" style="102" bestFit="1" customWidth="1"/>
    <col min="15110" max="15110" width="3.5546875" style="102" customWidth="1"/>
    <col min="15111" max="15360" width="8.88671875" style="102"/>
    <col min="15361" max="15361" width="2.5546875" style="102" bestFit="1" customWidth="1"/>
    <col min="15362" max="15362" width="16.6640625" style="102" customWidth="1"/>
    <col min="15363" max="15363" width="16.5546875" style="102" customWidth="1"/>
    <col min="15364" max="15364" width="20.44140625" style="102" customWidth="1"/>
    <col min="15365" max="15365" width="10.5546875" style="102" bestFit="1" customWidth="1"/>
    <col min="15366" max="15366" width="3.5546875" style="102" customWidth="1"/>
    <col min="15367" max="15616" width="8.88671875" style="102"/>
    <col min="15617" max="15617" width="2.5546875" style="102" bestFit="1" customWidth="1"/>
    <col min="15618" max="15618" width="16.6640625" style="102" customWidth="1"/>
    <col min="15619" max="15619" width="16.5546875" style="102" customWidth="1"/>
    <col min="15620" max="15620" width="20.44140625" style="102" customWidth="1"/>
    <col min="15621" max="15621" width="10.5546875" style="102" bestFit="1" customWidth="1"/>
    <col min="15622" max="15622" width="3.5546875" style="102" customWidth="1"/>
    <col min="15623" max="15872" width="8.88671875" style="102"/>
    <col min="15873" max="15873" width="2.5546875" style="102" bestFit="1" customWidth="1"/>
    <col min="15874" max="15874" width="16.6640625" style="102" customWidth="1"/>
    <col min="15875" max="15875" width="16.5546875" style="102" customWidth="1"/>
    <col min="15876" max="15876" width="20.44140625" style="102" customWidth="1"/>
    <col min="15877" max="15877" width="10.5546875" style="102" bestFit="1" customWidth="1"/>
    <col min="15878" max="15878" width="3.5546875" style="102" customWidth="1"/>
    <col min="15879" max="16128" width="8.88671875" style="102"/>
    <col min="16129" max="16129" width="2.5546875" style="102" bestFit="1" customWidth="1"/>
    <col min="16130" max="16130" width="16.6640625" style="102" customWidth="1"/>
    <col min="16131" max="16131" width="16.5546875" style="102" customWidth="1"/>
    <col min="16132" max="16132" width="20.44140625" style="102" customWidth="1"/>
    <col min="16133" max="16133" width="10.5546875" style="102" bestFit="1" customWidth="1"/>
    <col min="16134" max="16134" width="3.5546875" style="102" customWidth="1"/>
    <col min="16135" max="16384" width="8.88671875" style="102"/>
  </cols>
  <sheetData>
    <row r="1" spans="1:6" x14ac:dyDescent="0.25">
      <c r="A1" s="100" t="str">
        <f t="shared" ref="A1:A7" si="0">ROW()&amp;")"</f>
        <v>1)</v>
      </c>
      <c r="B1" s="101" t="s">
        <v>174</v>
      </c>
      <c r="C1" s="101"/>
      <c r="D1" s="101"/>
      <c r="E1" s="101"/>
      <c r="F1" s="101"/>
    </row>
    <row r="2" spans="1:6" ht="39.6" x14ac:dyDescent="0.25">
      <c r="A2" s="100" t="str">
        <f t="shared" si="0"/>
        <v>2)</v>
      </c>
      <c r="B2" s="101" t="s">
        <v>175</v>
      </c>
      <c r="C2" s="101"/>
      <c r="D2" s="101"/>
      <c r="E2" s="101"/>
      <c r="F2" s="101"/>
    </row>
    <row r="3" spans="1:6" ht="26.4" x14ac:dyDescent="0.25">
      <c r="A3" s="100" t="str">
        <f t="shared" si="0"/>
        <v>3)</v>
      </c>
      <c r="B3" s="101" t="s">
        <v>176</v>
      </c>
      <c r="C3" s="101"/>
      <c r="D3" s="101"/>
      <c r="E3" s="101"/>
      <c r="F3" s="101"/>
    </row>
    <row r="4" spans="1:6" ht="26.4" x14ac:dyDescent="0.25">
      <c r="A4" s="100" t="str">
        <f t="shared" si="0"/>
        <v>4)</v>
      </c>
      <c r="B4" s="101" t="s">
        <v>177</v>
      </c>
      <c r="C4" s="101"/>
      <c r="D4" s="101"/>
      <c r="E4" s="101"/>
      <c r="F4" s="101"/>
    </row>
    <row r="5" spans="1:6" ht="39.6" x14ac:dyDescent="0.25">
      <c r="A5" s="100" t="str">
        <f t="shared" si="0"/>
        <v>5)</v>
      </c>
      <c r="B5" s="101" t="s">
        <v>178</v>
      </c>
      <c r="C5" s="101"/>
      <c r="D5" s="101"/>
      <c r="E5" s="101"/>
      <c r="F5" s="101"/>
    </row>
    <row r="6" spans="1:6" ht="52.8" x14ac:dyDescent="0.25">
      <c r="A6" s="100" t="str">
        <f t="shared" si="0"/>
        <v>6)</v>
      </c>
      <c r="B6" s="101" t="s">
        <v>179</v>
      </c>
      <c r="C6" s="101"/>
      <c r="D6" s="101"/>
      <c r="E6" s="101"/>
      <c r="F6" s="101"/>
    </row>
    <row r="7" spans="1:6" ht="39.6" x14ac:dyDescent="0.25">
      <c r="A7" s="100" t="str">
        <f t="shared" si="0"/>
        <v>7)</v>
      </c>
      <c r="B7" s="101" t="s">
        <v>180</v>
      </c>
      <c r="C7" s="101"/>
      <c r="D7" s="101"/>
      <c r="E7" s="101"/>
      <c r="F7" s="101"/>
    </row>
    <row r="8" spans="1:6" ht="13.8" thickBot="1" x14ac:dyDescent="0.3"/>
    <row r="9" spans="1:6" ht="27.6" thickTop="1" thickBot="1" x14ac:dyDescent="0.3">
      <c r="A9" s="103">
        <v>1</v>
      </c>
      <c r="B9" s="120" t="str">
        <f>"Borrower Point of View: At an "&amp;D10&amp;" of "&amp;TEXT(E10,"0.00%")&amp;" the monthly PMT paid = "&amp;DOLLAR(C13)</f>
        <v>Borrower Point of View: At an Annual Interest Rate of 6.50% the monthly PMT paid = $0.00</v>
      </c>
      <c r="C9" s="120"/>
      <c r="D9" s="120"/>
      <c r="E9" s="120"/>
    </row>
    <row r="10" spans="1:6" ht="13.8" thickTop="1" x14ac:dyDescent="0.25">
      <c r="B10" s="104" t="s">
        <v>181</v>
      </c>
      <c r="C10" s="105">
        <v>34799</v>
      </c>
      <c r="D10" s="104" t="s">
        <v>9</v>
      </c>
      <c r="E10" s="106">
        <v>6.5000000000000002E-2</v>
      </c>
    </row>
    <row r="11" spans="1:6" x14ac:dyDescent="0.25">
      <c r="B11" s="107" t="s">
        <v>182</v>
      </c>
      <c r="C11" s="108">
        <v>10000</v>
      </c>
      <c r="D11" s="107" t="s">
        <v>183</v>
      </c>
      <c r="E11" s="109"/>
    </row>
    <row r="12" spans="1:6" x14ac:dyDescent="0.25">
      <c r="B12" s="107" t="s">
        <v>184</v>
      </c>
      <c r="C12" s="110"/>
      <c r="D12" s="107" t="s">
        <v>185</v>
      </c>
      <c r="E12" s="111">
        <v>5</v>
      </c>
    </row>
    <row r="13" spans="1:6" x14ac:dyDescent="0.25">
      <c r="B13" s="107" t="s">
        <v>186</v>
      </c>
      <c r="C13" s="110"/>
      <c r="D13" s="107" t="s">
        <v>187</v>
      </c>
      <c r="E13" s="112"/>
    </row>
    <row r="14" spans="1:6" x14ac:dyDescent="0.25">
      <c r="B14" s="107" t="s">
        <v>188</v>
      </c>
      <c r="C14" s="108">
        <f>-C12/((1-(1+E10/E14)^(-E12*E14))/(E10/E14))</f>
        <v>0</v>
      </c>
      <c r="D14" s="107" t="s">
        <v>189</v>
      </c>
      <c r="E14" s="111">
        <v>12</v>
      </c>
    </row>
    <row r="15" spans="1:6" x14ac:dyDescent="0.25">
      <c r="B15" s="107" t="s">
        <v>190</v>
      </c>
      <c r="C15" s="110"/>
      <c r="D15" s="107" t="s">
        <v>191</v>
      </c>
      <c r="E15" s="111">
        <v>1</v>
      </c>
    </row>
    <row r="16" spans="1:6" ht="13.8" thickBot="1" x14ac:dyDescent="0.3">
      <c r="B16" s="113"/>
      <c r="C16" s="114"/>
      <c r="D16" s="113"/>
    </row>
    <row r="17" spans="1:5" ht="27.6" thickTop="1" thickBot="1" x14ac:dyDescent="0.3">
      <c r="A17" s="103">
        <v>2</v>
      </c>
      <c r="B17" s="120" t="str">
        <f>"Lender Point of view: At an "&amp;D18&amp;" of "&amp;TEXT(E18,"0.00%")&amp;" the monthly PMT received = "&amp;DOLLAR(C21)</f>
        <v>Lender Point of view: At an Annual Interest Rate of 6.50% the monthly PMT received = $0.00</v>
      </c>
      <c r="C17" s="120"/>
      <c r="D17" s="120"/>
      <c r="E17" s="120"/>
    </row>
    <row r="18" spans="1:5" ht="13.8" thickTop="1" x14ac:dyDescent="0.25">
      <c r="B18" s="104" t="s">
        <v>181</v>
      </c>
      <c r="C18" s="105">
        <f>C10</f>
        <v>34799</v>
      </c>
      <c r="D18" s="104" t="s">
        <v>9</v>
      </c>
      <c r="E18" s="106">
        <f>E10</f>
        <v>6.5000000000000002E-2</v>
      </c>
    </row>
    <row r="19" spans="1:5" x14ac:dyDescent="0.25">
      <c r="B19" s="107" t="s">
        <v>182</v>
      </c>
      <c r="C19" s="108">
        <f>C11</f>
        <v>10000</v>
      </c>
      <c r="D19" s="107" t="s">
        <v>183</v>
      </c>
      <c r="E19" s="115">
        <f>E18/E22</f>
        <v>5.4166666666666669E-3</v>
      </c>
    </row>
    <row r="20" spans="1:5" x14ac:dyDescent="0.25">
      <c r="B20" s="107" t="s">
        <v>184</v>
      </c>
      <c r="C20" s="108">
        <f>-(C18-C19)</f>
        <v>-24799</v>
      </c>
      <c r="D20" s="107" t="s">
        <v>185</v>
      </c>
      <c r="E20" s="111">
        <f>E12</f>
        <v>5</v>
      </c>
    </row>
    <row r="21" spans="1:5" x14ac:dyDescent="0.25">
      <c r="B21" s="107" t="s">
        <v>188</v>
      </c>
      <c r="C21" s="110"/>
      <c r="D21" s="107" t="s">
        <v>187</v>
      </c>
      <c r="E21" s="111">
        <f>E20*E22</f>
        <v>60</v>
      </c>
    </row>
    <row r="22" spans="1:5" x14ac:dyDescent="0.25">
      <c r="B22" s="107" t="s">
        <v>188</v>
      </c>
      <c r="C22" s="108">
        <f>-(C20/((1-(1+E18/E22)^(-E20*E22))/(E18/E22)))</f>
        <v>485.22090967625377</v>
      </c>
      <c r="D22" s="107" t="s">
        <v>189</v>
      </c>
      <c r="E22" s="111">
        <f>E14</f>
        <v>12</v>
      </c>
    </row>
    <row r="23" spans="1:5" ht="13.8" thickBot="1" x14ac:dyDescent="0.3"/>
    <row r="24" spans="1:5" ht="40.799999999999997" thickTop="1" thickBot="1" x14ac:dyDescent="0.3">
      <c r="A24" s="103">
        <v>3</v>
      </c>
      <c r="B24" s="120" t="str">
        <f>"At an "&amp;D25&amp;" of "&amp;TEXT(E25,"0.00%")&amp;" and a balloon payment of "&amp;DOLLAR(-C28)&amp;" at the end of "&amp;E28&amp;" months, the monthly PMT = "&amp;DOLLAR(PMT(E26,E28,C27,C28))&amp;" - Borrower's Point of View."</f>
        <v>At an Annual Interest Rate of 5.25% and a balloon payment of $5,000.00 at the end of 36 months, the monthly PMT = ($1,225.21) - Borrower's Point of View.</v>
      </c>
      <c r="C24" s="120"/>
      <c r="D24" s="120"/>
      <c r="E24" s="120"/>
    </row>
    <row r="25" spans="1:5" ht="13.8" thickTop="1" x14ac:dyDescent="0.25">
      <c r="B25" s="104" t="s">
        <v>181</v>
      </c>
      <c r="C25" s="105">
        <v>50000</v>
      </c>
      <c r="D25" s="104" t="s">
        <v>9</v>
      </c>
      <c r="E25" s="106">
        <v>5.2499999999999998E-2</v>
      </c>
    </row>
    <row r="26" spans="1:5" x14ac:dyDescent="0.25">
      <c r="B26" s="107" t="s">
        <v>182</v>
      </c>
      <c r="C26" s="108">
        <v>5000</v>
      </c>
      <c r="D26" s="107" t="s">
        <v>183</v>
      </c>
      <c r="E26" s="115">
        <f>E25/E29</f>
        <v>4.3749999999999995E-3</v>
      </c>
    </row>
    <row r="27" spans="1:5" x14ac:dyDescent="0.25">
      <c r="B27" s="107" t="s">
        <v>184</v>
      </c>
      <c r="C27" s="108">
        <f>C25-C26</f>
        <v>45000</v>
      </c>
      <c r="D27" s="107" t="s">
        <v>185</v>
      </c>
      <c r="E27" s="111">
        <v>3</v>
      </c>
    </row>
    <row r="28" spans="1:5" x14ac:dyDescent="0.25">
      <c r="B28" s="111" t="s">
        <v>192</v>
      </c>
      <c r="C28" s="108">
        <v>-5000</v>
      </c>
      <c r="D28" s="107" t="s">
        <v>187</v>
      </c>
      <c r="E28" s="111">
        <f>E27*E29</f>
        <v>36</v>
      </c>
    </row>
    <row r="29" spans="1:5" x14ac:dyDescent="0.25">
      <c r="B29" s="107" t="s">
        <v>188</v>
      </c>
      <c r="C29" s="110"/>
      <c r="D29" s="107" t="s">
        <v>189</v>
      </c>
      <c r="E29" s="111">
        <v>12</v>
      </c>
    </row>
    <row r="30" spans="1:5" ht="13.8" thickBot="1" x14ac:dyDescent="0.3"/>
    <row r="31" spans="1:5" ht="27.6" thickTop="1" thickBot="1" x14ac:dyDescent="0.3">
      <c r="A31" s="103">
        <v>4</v>
      </c>
      <c r="B31" s="120" t="str">
        <f>"At an "&amp;D32&amp;" of "&amp;TEXT(E32,"0.00%")&amp;" and no payments during the first year, the PMT = "&amp;DOLLAR(C36)&amp;" - Borrower's Point of View."</f>
        <v>At an Annual Interest Rate of 8.50% and no payments during the first year, the PMT = ($67,328.25) - Borrower's Point of View.</v>
      </c>
      <c r="C31" s="120"/>
      <c r="D31" s="120"/>
      <c r="E31" s="120"/>
    </row>
    <row r="32" spans="1:5" ht="13.8" thickTop="1" x14ac:dyDescent="0.25">
      <c r="B32" s="104" t="s">
        <v>184</v>
      </c>
      <c r="C32" s="105">
        <v>1000000</v>
      </c>
      <c r="D32" s="104" t="s">
        <v>9</v>
      </c>
      <c r="E32" s="106">
        <v>8.5000000000000006E-2</v>
      </c>
    </row>
    <row r="33" spans="1:9" ht="26.4" x14ac:dyDescent="0.25">
      <c r="B33" s="116" t="s">
        <v>193</v>
      </c>
      <c r="C33" s="111">
        <v>1</v>
      </c>
      <c r="D33" s="107" t="s">
        <v>194</v>
      </c>
      <c r="E33" s="115">
        <f>E32/E36</f>
        <v>2.1250000000000002E-2</v>
      </c>
    </row>
    <row r="34" spans="1:9" x14ac:dyDescent="0.25">
      <c r="B34" s="107" t="s">
        <v>195</v>
      </c>
      <c r="C34" s="110"/>
      <c r="D34" s="107" t="s">
        <v>185</v>
      </c>
      <c r="E34" s="111">
        <v>6</v>
      </c>
    </row>
    <row r="35" spans="1:9" x14ac:dyDescent="0.25">
      <c r="B35" s="107" t="s">
        <v>196</v>
      </c>
      <c r="C35" s="117"/>
      <c r="D35" s="107" t="s">
        <v>12</v>
      </c>
      <c r="E35" s="111">
        <f>E34*E36</f>
        <v>24</v>
      </c>
    </row>
    <row r="36" spans="1:9" x14ac:dyDescent="0.25">
      <c r="B36" s="107" t="s">
        <v>196</v>
      </c>
      <c r="C36" s="108">
        <f>PMT(E33,(E34-C33)*E36,FV(E33,C33*E36,,-C32))</f>
        <v>-67328.250185892379</v>
      </c>
      <c r="D36" s="107" t="s">
        <v>189</v>
      </c>
      <c r="E36" s="111">
        <v>4</v>
      </c>
      <c r="H36" s="102" t="s">
        <v>87</v>
      </c>
      <c r="I36" s="102">
        <f>C32*(1+E33)^E36</f>
        <v>1087747.9617211912</v>
      </c>
    </row>
    <row r="37" spans="1:9" ht="13.8" thickBot="1" x14ac:dyDescent="0.3"/>
    <row r="38" spans="1:9" ht="13.8" thickTop="1" x14ac:dyDescent="0.25">
      <c r="A38" s="103">
        <v>5</v>
      </c>
      <c r="B38" s="121" t="s">
        <v>210</v>
      </c>
      <c r="C38" s="121"/>
      <c r="D38" s="121"/>
      <c r="E38" s="121"/>
    </row>
    <row r="39" spans="1:9" x14ac:dyDescent="0.25">
      <c r="B39" s="107" t="s">
        <v>184</v>
      </c>
      <c r="C39" s="108">
        <v>200000</v>
      </c>
      <c r="D39" s="107" t="s">
        <v>185</v>
      </c>
      <c r="E39" s="111">
        <v>30</v>
      </c>
    </row>
    <row r="40" spans="1:9" x14ac:dyDescent="0.25">
      <c r="B40" s="107" t="s">
        <v>9</v>
      </c>
      <c r="C40" s="125">
        <v>0.05</v>
      </c>
      <c r="D40" s="107" t="s">
        <v>189</v>
      </c>
      <c r="E40" s="111">
        <v>12</v>
      </c>
    </row>
    <row r="41" spans="1:9" x14ac:dyDescent="0.25">
      <c r="B41" s="107" t="s">
        <v>194</v>
      </c>
      <c r="C41" s="124">
        <f>C40/E40</f>
        <v>4.1666666666666666E-3</v>
      </c>
      <c r="D41" s="111" t="s">
        <v>197</v>
      </c>
      <c r="E41" s="111">
        <v>0.01</v>
      </c>
      <c r="G41" s="102">
        <v>1</v>
      </c>
    </row>
    <row r="42" spans="1:9" x14ac:dyDescent="0.25">
      <c r="B42" s="107" t="s">
        <v>12</v>
      </c>
      <c r="C42" s="111">
        <f>E39*E40</f>
        <v>360</v>
      </c>
      <c r="D42" s="111" t="s">
        <v>209</v>
      </c>
      <c r="E42" s="111">
        <v>750</v>
      </c>
    </row>
    <row r="43" spans="1:9" x14ac:dyDescent="0.25">
      <c r="B43" s="107" t="s">
        <v>142</v>
      </c>
      <c r="C43" s="108">
        <f>PMT(C41,C42,C39)</f>
        <v>-1073.6432460242781</v>
      </c>
    </row>
    <row r="44" spans="1:9" x14ac:dyDescent="0.25">
      <c r="B44" s="111" t="s">
        <v>198</v>
      </c>
      <c r="C44" s="122"/>
    </row>
    <row r="45" spans="1:9" ht="14.4" x14ac:dyDescent="0.3">
      <c r="B45" s="111" t="s">
        <v>11</v>
      </c>
      <c r="C45" s="123"/>
      <c r="D45"/>
      <c r="E45"/>
    </row>
    <row r="46" spans="1:9" ht="14.4" x14ac:dyDescent="0.3">
      <c r="B46" s="111" t="s">
        <v>199</v>
      </c>
      <c r="C46" s="123"/>
      <c r="D46"/>
      <c r="E46"/>
    </row>
  </sheetData>
  <conditionalFormatting sqref="C14 C22">
    <cfRule type="expression" dxfId="3" priority="3" stopIfTrue="1">
      <formula>C13=""</formula>
    </cfRule>
  </conditionalFormatting>
  <conditionalFormatting sqref="C36">
    <cfRule type="expression" dxfId="2" priority="2" stopIfTrue="1">
      <formula>$C$35=""</formula>
    </cfRule>
  </conditionalFormatting>
  <pageMargins left="0.75" right="0.75" top="1" bottom="1" header="0.5" footer="0.5"/>
  <pageSetup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I46"/>
  <sheetViews>
    <sheetView zoomScale="115" zoomScaleNormal="115" workbookViewId="0"/>
  </sheetViews>
  <sheetFormatPr defaultRowHeight="13.2" x14ac:dyDescent="0.25"/>
  <cols>
    <col min="1" max="1" width="2.5546875" style="102" bestFit="1" customWidth="1"/>
    <col min="2" max="2" width="19" style="102" bestFit="1" customWidth="1"/>
    <col min="3" max="3" width="16.5546875" style="102" customWidth="1"/>
    <col min="4" max="4" width="20.44140625" style="102" customWidth="1"/>
    <col min="5" max="5" width="10.5546875" style="102" bestFit="1" customWidth="1"/>
    <col min="6" max="6" width="3.5546875" style="102" customWidth="1"/>
    <col min="7" max="256" width="8.88671875" style="102"/>
    <col min="257" max="257" width="2.5546875" style="102" bestFit="1" customWidth="1"/>
    <col min="258" max="258" width="16.6640625" style="102" customWidth="1"/>
    <col min="259" max="259" width="16.5546875" style="102" customWidth="1"/>
    <col min="260" max="260" width="20.44140625" style="102" customWidth="1"/>
    <col min="261" max="261" width="10.5546875" style="102" bestFit="1" customWidth="1"/>
    <col min="262" max="262" width="3.5546875" style="102" customWidth="1"/>
    <col min="263" max="512" width="8.88671875" style="102"/>
    <col min="513" max="513" width="2.5546875" style="102" bestFit="1" customWidth="1"/>
    <col min="514" max="514" width="16.6640625" style="102" customWidth="1"/>
    <col min="515" max="515" width="16.5546875" style="102" customWidth="1"/>
    <col min="516" max="516" width="20.44140625" style="102" customWidth="1"/>
    <col min="517" max="517" width="10.5546875" style="102" bestFit="1" customWidth="1"/>
    <col min="518" max="518" width="3.5546875" style="102" customWidth="1"/>
    <col min="519" max="768" width="8.88671875" style="102"/>
    <col min="769" max="769" width="2.5546875" style="102" bestFit="1" customWidth="1"/>
    <col min="770" max="770" width="16.6640625" style="102" customWidth="1"/>
    <col min="771" max="771" width="16.5546875" style="102" customWidth="1"/>
    <col min="772" max="772" width="20.44140625" style="102" customWidth="1"/>
    <col min="773" max="773" width="10.5546875" style="102" bestFit="1" customWidth="1"/>
    <col min="774" max="774" width="3.5546875" style="102" customWidth="1"/>
    <col min="775" max="1024" width="8.88671875" style="102"/>
    <col min="1025" max="1025" width="2.5546875" style="102" bestFit="1" customWidth="1"/>
    <col min="1026" max="1026" width="16.6640625" style="102" customWidth="1"/>
    <col min="1027" max="1027" width="16.5546875" style="102" customWidth="1"/>
    <col min="1028" max="1028" width="20.44140625" style="102" customWidth="1"/>
    <col min="1029" max="1029" width="10.5546875" style="102" bestFit="1" customWidth="1"/>
    <col min="1030" max="1030" width="3.5546875" style="102" customWidth="1"/>
    <col min="1031" max="1280" width="8.88671875" style="102"/>
    <col min="1281" max="1281" width="2.5546875" style="102" bestFit="1" customWidth="1"/>
    <col min="1282" max="1282" width="16.6640625" style="102" customWidth="1"/>
    <col min="1283" max="1283" width="16.5546875" style="102" customWidth="1"/>
    <col min="1284" max="1284" width="20.44140625" style="102" customWidth="1"/>
    <col min="1285" max="1285" width="10.5546875" style="102" bestFit="1" customWidth="1"/>
    <col min="1286" max="1286" width="3.5546875" style="102" customWidth="1"/>
    <col min="1287" max="1536" width="8.88671875" style="102"/>
    <col min="1537" max="1537" width="2.5546875" style="102" bestFit="1" customWidth="1"/>
    <col min="1538" max="1538" width="16.6640625" style="102" customWidth="1"/>
    <col min="1539" max="1539" width="16.5546875" style="102" customWidth="1"/>
    <col min="1540" max="1540" width="20.44140625" style="102" customWidth="1"/>
    <col min="1541" max="1541" width="10.5546875" style="102" bestFit="1" customWidth="1"/>
    <col min="1542" max="1542" width="3.5546875" style="102" customWidth="1"/>
    <col min="1543" max="1792" width="8.88671875" style="102"/>
    <col min="1793" max="1793" width="2.5546875" style="102" bestFit="1" customWidth="1"/>
    <col min="1794" max="1794" width="16.6640625" style="102" customWidth="1"/>
    <col min="1795" max="1795" width="16.5546875" style="102" customWidth="1"/>
    <col min="1796" max="1796" width="20.44140625" style="102" customWidth="1"/>
    <col min="1797" max="1797" width="10.5546875" style="102" bestFit="1" customWidth="1"/>
    <col min="1798" max="1798" width="3.5546875" style="102" customWidth="1"/>
    <col min="1799" max="2048" width="8.88671875" style="102"/>
    <col min="2049" max="2049" width="2.5546875" style="102" bestFit="1" customWidth="1"/>
    <col min="2050" max="2050" width="16.6640625" style="102" customWidth="1"/>
    <col min="2051" max="2051" width="16.5546875" style="102" customWidth="1"/>
    <col min="2052" max="2052" width="20.44140625" style="102" customWidth="1"/>
    <col min="2053" max="2053" width="10.5546875" style="102" bestFit="1" customWidth="1"/>
    <col min="2054" max="2054" width="3.5546875" style="102" customWidth="1"/>
    <col min="2055" max="2304" width="8.88671875" style="102"/>
    <col min="2305" max="2305" width="2.5546875" style="102" bestFit="1" customWidth="1"/>
    <col min="2306" max="2306" width="16.6640625" style="102" customWidth="1"/>
    <col min="2307" max="2307" width="16.5546875" style="102" customWidth="1"/>
    <col min="2308" max="2308" width="20.44140625" style="102" customWidth="1"/>
    <col min="2309" max="2309" width="10.5546875" style="102" bestFit="1" customWidth="1"/>
    <col min="2310" max="2310" width="3.5546875" style="102" customWidth="1"/>
    <col min="2311" max="2560" width="8.88671875" style="102"/>
    <col min="2561" max="2561" width="2.5546875" style="102" bestFit="1" customWidth="1"/>
    <col min="2562" max="2562" width="16.6640625" style="102" customWidth="1"/>
    <col min="2563" max="2563" width="16.5546875" style="102" customWidth="1"/>
    <col min="2564" max="2564" width="20.44140625" style="102" customWidth="1"/>
    <col min="2565" max="2565" width="10.5546875" style="102" bestFit="1" customWidth="1"/>
    <col min="2566" max="2566" width="3.5546875" style="102" customWidth="1"/>
    <col min="2567" max="2816" width="8.88671875" style="102"/>
    <col min="2817" max="2817" width="2.5546875" style="102" bestFit="1" customWidth="1"/>
    <col min="2818" max="2818" width="16.6640625" style="102" customWidth="1"/>
    <col min="2819" max="2819" width="16.5546875" style="102" customWidth="1"/>
    <col min="2820" max="2820" width="20.44140625" style="102" customWidth="1"/>
    <col min="2821" max="2821" width="10.5546875" style="102" bestFit="1" customWidth="1"/>
    <col min="2822" max="2822" width="3.5546875" style="102" customWidth="1"/>
    <col min="2823" max="3072" width="8.88671875" style="102"/>
    <col min="3073" max="3073" width="2.5546875" style="102" bestFit="1" customWidth="1"/>
    <col min="3074" max="3074" width="16.6640625" style="102" customWidth="1"/>
    <col min="3075" max="3075" width="16.5546875" style="102" customWidth="1"/>
    <col min="3076" max="3076" width="20.44140625" style="102" customWidth="1"/>
    <col min="3077" max="3077" width="10.5546875" style="102" bestFit="1" customWidth="1"/>
    <col min="3078" max="3078" width="3.5546875" style="102" customWidth="1"/>
    <col min="3079" max="3328" width="8.88671875" style="102"/>
    <col min="3329" max="3329" width="2.5546875" style="102" bestFit="1" customWidth="1"/>
    <col min="3330" max="3330" width="16.6640625" style="102" customWidth="1"/>
    <col min="3331" max="3331" width="16.5546875" style="102" customWidth="1"/>
    <col min="3332" max="3332" width="20.44140625" style="102" customWidth="1"/>
    <col min="3333" max="3333" width="10.5546875" style="102" bestFit="1" customWidth="1"/>
    <col min="3334" max="3334" width="3.5546875" style="102" customWidth="1"/>
    <col min="3335" max="3584" width="8.88671875" style="102"/>
    <col min="3585" max="3585" width="2.5546875" style="102" bestFit="1" customWidth="1"/>
    <col min="3586" max="3586" width="16.6640625" style="102" customWidth="1"/>
    <col min="3587" max="3587" width="16.5546875" style="102" customWidth="1"/>
    <col min="3588" max="3588" width="20.44140625" style="102" customWidth="1"/>
    <col min="3589" max="3589" width="10.5546875" style="102" bestFit="1" customWidth="1"/>
    <col min="3590" max="3590" width="3.5546875" style="102" customWidth="1"/>
    <col min="3591" max="3840" width="8.88671875" style="102"/>
    <col min="3841" max="3841" width="2.5546875" style="102" bestFit="1" customWidth="1"/>
    <col min="3842" max="3842" width="16.6640625" style="102" customWidth="1"/>
    <col min="3843" max="3843" width="16.5546875" style="102" customWidth="1"/>
    <col min="3844" max="3844" width="20.44140625" style="102" customWidth="1"/>
    <col min="3845" max="3845" width="10.5546875" style="102" bestFit="1" customWidth="1"/>
    <col min="3846" max="3846" width="3.5546875" style="102" customWidth="1"/>
    <col min="3847" max="4096" width="8.88671875" style="102"/>
    <col min="4097" max="4097" width="2.5546875" style="102" bestFit="1" customWidth="1"/>
    <col min="4098" max="4098" width="16.6640625" style="102" customWidth="1"/>
    <col min="4099" max="4099" width="16.5546875" style="102" customWidth="1"/>
    <col min="4100" max="4100" width="20.44140625" style="102" customWidth="1"/>
    <col min="4101" max="4101" width="10.5546875" style="102" bestFit="1" customWidth="1"/>
    <col min="4102" max="4102" width="3.5546875" style="102" customWidth="1"/>
    <col min="4103" max="4352" width="8.88671875" style="102"/>
    <col min="4353" max="4353" width="2.5546875" style="102" bestFit="1" customWidth="1"/>
    <col min="4354" max="4354" width="16.6640625" style="102" customWidth="1"/>
    <col min="4355" max="4355" width="16.5546875" style="102" customWidth="1"/>
    <col min="4356" max="4356" width="20.44140625" style="102" customWidth="1"/>
    <col min="4357" max="4357" width="10.5546875" style="102" bestFit="1" customWidth="1"/>
    <col min="4358" max="4358" width="3.5546875" style="102" customWidth="1"/>
    <col min="4359" max="4608" width="8.88671875" style="102"/>
    <col min="4609" max="4609" width="2.5546875" style="102" bestFit="1" customWidth="1"/>
    <col min="4610" max="4610" width="16.6640625" style="102" customWidth="1"/>
    <col min="4611" max="4611" width="16.5546875" style="102" customWidth="1"/>
    <col min="4612" max="4612" width="20.44140625" style="102" customWidth="1"/>
    <col min="4613" max="4613" width="10.5546875" style="102" bestFit="1" customWidth="1"/>
    <col min="4614" max="4614" width="3.5546875" style="102" customWidth="1"/>
    <col min="4615" max="4864" width="8.88671875" style="102"/>
    <col min="4865" max="4865" width="2.5546875" style="102" bestFit="1" customWidth="1"/>
    <col min="4866" max="4866" width="16.6640625" style="102" customWidth="1"/>
    <col min="4867" max="4867" width="16.5546875" style="102" customWidth="1"/>
    <col min="4868" max="4868" width="20.44140625" style="102" customWidth="1"/>
    <col min="4869" max="4869" width="10.5546875" style="102" bestFit="1" customWidth="1"/>
    <col min="4870" max="4870" width="3.5546875" style="102" customWidth="1"/>
    <col min="4871" max="5120" width="8.88671875" style="102"/>
    <col min="5121" max="5121" width="2.5546875" style="102" bestFit="1" customWidth="1"/>
    <col min="5122" max="5122" width="16.6640625" style="102" customWidth="1"/>
    <col min="5123" max="5123" width="16.5546875" style="102" customWidth="1"/>
    <col min="5124" max="5124" width="20.44140625" style="102" customWidth="1"/>
    <col min="5125" max="5125" width="10.5546875" style="102" bestFit="1" customWidth="1"/>
    <col min="5126" max="5126" width="3.5546875" style="102" customWidth="1"/>
    <col min="5127" max="5376" width="8.88671875" style="102"/>
    <col min="5377" max="5377" width="2.5546875" style="102" bestFit="1" customWidth="1"/>
    <col min="5378" max="5378" width="16.6640625" style="102" customWidth="1"/>
    <col min="5379" max="5379" width="16.5546875" style="102" customWidth="1"/>
    <col min="5380" max="5380" width="20.44140625" style="102" customWidth="1"/>
    <col min="5381" max="5381" width="10.5546875" style="102" bestFit="1" customWidth="1"/>
    <col min="5382" max="5382" width="3.5546875" style="102" customWidth="1"/>
    <col min="5383" max="5632" width="8.88671875" style="102"/>
    <col min="5633" max="5633" width="2.5546875" style="102" bestFit="1" customWidth="1"/>
    <col min="5634" max="5634" width="16.6640625" style="102" customWidth="1"/>
    <col min="5635" max="5635" width="16.5546875" style="102" customWidth="1"/>
    <col min="5636" max="5636" width="20.44140625" style="102" customWidth="1"/>
    <col min="5637" max="5637" width="10.5546875" style="102" bestFit="1" customWidth="1"/>
    <col min="5638" max="5638" width="3.5546875" style="102" customWidth="1"/>
    <col min="5639" max="5888" width="8.88671875" style="102"/>
    <col min="5889" max="5889" width="2.5546875" style="102" bestFit="1" customWidth="1"/>
    <col min="5890" max="5890" width="16.6640625" style="102" customWidth="1"/>
    <col min="5891" max="5891" width="16.5546875" style="102" customWidth="1"/>
    <col min="5892" max="5892" width="20.44140625" style="102" customWidth="1"/>
    <col min="5893" max="5893" width="10.5546875" style="102" bestFit="1" customWidth="1"/>
    <col min="5894" max="5894" width="3.5546875" style="102" customWidth="1"/>
    <col min="5895" max="6144" width="8.88671875" style="102"/>
    <col min="6145" max="6145" width="2.5546875" style="102" bestFit="1" customWidth="1"/>
    <col min="6146" max="6146" width="16.6640625" style="102" customWidth="1"/>
    <col min="6147" max="6147" width="16.5546875" style="102" customWidth="1"/>
    <col min="6148" max="6148" width="20.44140625" style="102" customWidth="1"/>
    <col min="6149" max="6149" width="10.5546875" style="102" bestFit="1" customWidth="1"/>
    <col min="6150" max="6150" width="3.5546875" style="102" customWidth="1"/>
    <col min="6151" max="6400" width="8.88671875" style="102"/>
    <col min="6401" max="6401" width="2.5546875" style="102" bestFit="1" customWidth="1"/>
    <col min="6402" max="6402" width="16.6640625" style="102" customWidth="1"/>
    <col min="6403" max="6403" width="16.5546875" style="102" customWidth="1"/>
    <col min="6404" max="6404" width="20.44140625" style="102" customWidth="1"/>
    <col min="6405" max="6405" width="10.5546875" style="102" bestFit="1" customWidth="1"/>
    <col min="6406" max="6406" width="3.5546875" style="102" customWidth="1"/>
    <col min="6407" max="6656" width="8.88671875" style="102"/>
    <col min="6657" max="6657" width="2.5546875" style="102" bestFit="1" customWidth="1"/>
    <col min="6658" max="6658" width="16.6640625" style="102" customWidth="1"/>
    <col min="6659" max="6659" width="16.5546875" style="102" customWidth="1"/>
    <col min="6660" max="6660" width="20.44140625" style="102" customWidth="1"/>
    <col min="6661" max="6661" width="10.5546875" style="102" bestFit="1" customWidth="1"/>
    <col min="6662" max="6662" width="3.5546875" style="102" customWidth="1"/>
    <col min="6663" max="6912" width="8.88671875" style="102"/>
    <col min="6913" max="6913" width="2.5546875" style="102" bestFit="1" customWidth="1"/>
    <col min="6914" max="6914" width="16.6640625" style="102" customWidth="1"/>
    <col min="6915" max="6915" width="16.5546875" style="102" customWidth="1"/>
    <col min="6916" max="6916" width="20.44140625" style="102" customWidth="1"/>
    <col min="6917" max="6917" width="10.5546875" style="102" bestFit="1" customWidth="1"/>
    <col min="6918" max="6918" width="3.5546875" style="102" customWidth="1"/>
    <col min="6919" max="7168" width="8.88671875" style="102"/>
    <col min="7169" max="7169" width="2.5546875" style="102" bestFit="1" customWidth="1"/>
    <col min="7170" max="7170" width="16.6640625" style="102" customWidth="1"/>
    <col min="7171" max="7171" width="16.5546875" style="102" customWidth="1"/>
    <col min="7172" max="7172" width="20.44140625" style="102" customWidth="1"/>
    <col min="7173" max="7173" width="10.5546875" style="102" bestFit="1" customWidth="1"/>
    <col min="7174" max="7174" width="3.5546875" style="102" customWidth="1"/>
    <col min="7175" max="7424" width="8.88671875" style="102"/>
    <col min="7425" max="7425" width="2.5546875" style="102" bestFit="1" customWidth="1"/>
    <col min="7426" max="7426" width="16.6640625" style="102" customWidth="1"/>
    <col min="7427" max="7427" width="16.5546875" style="102" customWidth="1"/>
    <col min="7428" max="7428" width="20.44140625" style="102" customWidth="1"/>
    <col min="7429" max="7429" width="10.5546875" style="102" bestFit="1" customWidth="1"/>
    <col min="7430" max="7430" width="3.5546875" style="102" customWidth="1"/>
    <col min="7431" max="7680" width="8.88671875" style="102"/>
    <col min="7681" max="7681" width="2.5546875" style="102" bestFit="1" customWidth="1"/>
    <col min="7682" max="7682" width="16.6640625" style="102" customWidth="1"/>
    <col min="7683" max="7683" width="16.5546875" style="102" customWidth="1"/>
    <col min="7684" max="7684" width="20.44140625" style="102" customWidth="1"/>
    <col min="7685" max="7685" width="10.5546875" style="102" bestFit="1" customWidth="1"/>
    <col min="7686" max="7686" width="3.5546875" style="102" customWidth="1"/>
    <col min="7687" max="7936" width="8.88671875" style="102"/>
    <col min="7937" max="7937" width="2.5546875" style="102" bestFit="1" customWidth="1"/>
    <col min="7938" max="7938" width="16.6640625" style="102" customWidth="1"/>
    <col min="7939" max="7939" width="16.5546875" style="102" customWidth="1"/>
    <col min="7940" max="7940" width="20.44140625" style="102" customWidth="1"/>
    <col min="7941" max="7941" width="10.5546875" style="102" bestFit="1" customWidth="1"/>
    <col min="7942" max="7942" width="3.5546875" style="102" customWidth="1"/>
    <col min="7943" max="8192" width="8.88671875" style="102"/>
    <col min="8193" max="8193" width="2.5546875" style="102" bestFit="1" customWidth="1"/>
    <col min="8194" max="8194" width="16.6640625" style="102" customWidth="1"/>
    <col min="8195" max="8195" width="16.5546875" style="102" customWidth="1"/>
    <col min="8196" max="8196" width="20.44140625" style="102" customWidth="1"/>
    <col min="8197" max="8197" width="10.5546875" style="102" bestFit="1" customWidth="1"/>
    <col min="8198" max="8198" width="3.5546875" style="102" customWidth="1"/>
    <col min="8199" max="8448" width="8.88671875" style="102"/>
    <col min="8449" max="8449" width="2.5546875" style="102" bestFit="1" customWidth="1"/>
    <col min="8450" max="8450" width="16.6640625" style="102" customWidth="1"/>
    <col min="8451" max="8451" width="16.5546875" style="102" customWidth="1"/>
    <col min="8452" max="8452" width="20.44140625" style="102" customWidth="1"/>
    <col min="8453" max="8453" width="10.5546875" style="102" bestFit="1" customWidth="1"/>
    <col min="8454" max="8454" width="3.5546875" style="102" customWidth="1"/>
    <col min="8455" max="8704" width="8.88671875" style="102"/>
    <col min="8705" max="8705" width="2.5546875" style="102" bestFit="1" customWidth="1"/>
    <col min="8706" max="8706" width="16.6640625" style="102" customWidth="1"/>
    <col min="8707" max="8707" width="16.5546875" style="102" customWidth="1"/>
    <col min="8708" max="8708" width="20.44140625" style="102" customWidth="1"/>
    <col min="8709" max="8709" width="10.5546875" style="102" bestFit="1" customWidth="1"/>
    <col min="8710" max="8710" width="3.5546875" style="102" customWidth="1"/>
    <col min="8711" max="8960" width="8.88671875" style="102"/>
    <col min="8961" max="8961" width="2.5546875" style="102" bestFit="1" customWidth="1"/>
    <col min="8962" max="8962" width="16.6640625" style="102" customWidth="1"/>
    <col min="8963" max="8963" width="16.5546875" style="102" customWidth="1"/>
    <col min="8964" max="8964" width="20.44140625" style="102" customWidth="1"/>
    <col min="8965" max="8965" width="10.5546875" style="102" bestFit="1" customWidth="1"/>
    <col min="8966" max="8966" width="3.5546875" style="102" customWidth="1"/>
    <col min="8967" max="9216" width="8.88671875" style="102"/>
    <col min="9217" max="9217" width="2.5546875" style="102" bestFit="1" customWidth="1"/>
    <col min="9218" max="9218" width="16.6640625" style="102" customWidth="1"/>
    <col min="9219" max="9219" width="16.5546875" style="102" customWidth="1"/>
    <col min="9220" max="9220" width="20.44140625" style="102" customWidth="1"/>
    <col min="9221" max="9221" width="10.5546875" style="102" bestFit="1" customWidth="1"/>
    <col min="9222" max="9222" width="3.5546875" style="102" customWidth="1"/>
    <col min="9223" max="9472" width="8.88671875" style="102"/>
    <col min="9473" max="9473" width="2.5546875" style="102" bestFit="1" customWidth="1"/>
    <col min="9474" max="9474" width="16.6640625" style="102" customWidth="1"/>
    <col min="9475" max="9475" width="16.5546875" style="102" customWidth="1"/>
    <col min="9476" max="9476" width="20.44140625" style="102" customWidth="1"/>
    <col min="9477" max="9477" width="10.5546875" style="102" bestFit="1" customWidth="1"/>
    <col min="9478" max="9478" width="3.5546875" style="102" customWidth="1"/>
    <col min="9479" max="9728" width="8.88671875" style="102"/>
    <col min="9729" max="9729" width="2.5546875" style="102" bestFit="1" customWidth="1"/>
    <col min="9730" max="9730" width="16.6640625" style="102" customWidth="1"/>
    <col min="9731" max="9731" width="16.5546875" style="102" customWidth="1"/>
    <col min="9732" max="9732" width="20.44140625" style="102" customWidth="1"/>
    <col min="9733" max="9733" width="10.5546875" style="102" bestFit="1" customWidth="1"/>
    <col min="9734" max="9734" width="3.5546875" style="102" customWidth="1"/>
    <col min="9735" max="9984" width="8.88671875" style="102"/>
    <col min="9985" max="9985" width="2.5546875" style="102" bestFit="1" customWidth="1"/>
    <col min="9986" max="9986" width="16.6640625" style="102" customWidth="1"/>
    <col min="9987" max="9987" width="16.5546875" style="102" customWidth="1"/>
    <col min="9988" max="9988" width="20.44140625" style="102" customWidth="1"/>
    <col min="9989" max="9989" width="10.5546875" style="102" bestFit="1" customWidth="1"/>
    <col min="9990" max="9990" width="3.5546875" style="102" customWidth="1"/>
    <col min="9991" max="10240" width="8.88671875" style="102"/>
    <col min="10241" max="10241" width="2.5546875" style="102" bestFit="1" customWidth="1"/>
    <col min="10242" max="10242" width="16.6640625" style="102" customWidth="1"/>
    <col min="10243" max="10243" width="16.5546875" style="102" customWidth="1"/>
    <col min="10244" max="10244" width="20.44140625" style="102" customWidth="1"/>
    <col min="10245" max="10245" width="10.5546875" style="102" bestFit="1" customWidth="1"/>
    <col min="10246" max="10246" width="3.5546875" style="102" customWidth="1"/>
    <col min="10247" max="10496" width="8.88671875" style="102"/>
    <col min="10497" max="10497" width="2.5546875" style="102" bestFit="1" customWidth="1"/>
    <col min="10498" max="10498" width="16.6640625" style="102" customWidth="1"/>
    <col min="10499" max="10499" width="16.5546875" style="102" customWidth="1"/>
    <col min="10500" max="10500" width="20.44140625" style="102" customWidth="1"/>
    <col min="10501" max="10501" width="10.5546875" style="102" bestFit="1" customWidth="1"/>
    <col min="10502" max="10502" width="3.5546875" style="102" customWidth="1"/>
    <col min="10503" max="10752" width="8.88671875" style="102"/>
    <col min="10753" max="10753" width="2.5546875" style="102" bestFit="1" customWidth="1"/>
    <col min="10754" max="10754" width="16.6640625" style="102" customWidth="1"/>
    <col min="10755" max="10755" width="16.5546875" style="102" customWidth="1"/>
    <col min="10756" max="10756" width="20.44140625" style="102" customWidth="1"/>
    <col min="10757" max="10757" width="10.5546875" style="102" bestFit="1" customWidth="1"/>
    <col min="10758" max="10758" width="3.5546875" style="102" customWidth="1"/>
    <col min="10759" max="11008" width="8.88671875" style="102"/>
    <col min="11009" max="11009" width="2.5546875" style="102" bestFit="1" customWidth="1"/>
    <col min="11010" max="11010" width="16.6640625" style="102" customWidth="1"/>
    <col min="11011" max="11011" width="16.5546875" style="102" customWidth="1"/>
    <col min="11012" max="11012" width="20.44140625" style="102" customWidth="1"/>
    <col min="11013" max="11013" width="10.5546875" style="102" bestFit="1" customWidth="1"/>
    <col min="11014" max="11014" width="3.5546875" style="102" customWidth="1"/>
    <col min="11015" max="11264" width="8.88671875" style="102"/>
    <col min="11265" max="11265" width="2.5546875" style="102" bestFit="1" customWidth="1"/>
    <col min="11266" max="11266" width="16.6640625" style="102" customWidth="1"/>
    <col min="11267" max="11267" width="16.5546875" style="102" customWidth="1"/>
    <col min="11268" max="11268" width="20.44140625" style="102" customWidth="1"/>
    <col min="11269" max="11269" width="10.5546875" style="102" bestFit="1" customWidth="1"/>
    <col min="11270" max="11270" width="3.5546875" style="102" customWidth="1"/>
    <col min="11271" max="11520" width="8.88671875" style="102"/>
    <col min="11521" max="11521" width="2.5546875" style="102" bestFit="1" customWidth="1"/>
    <col min="11522" max="11522" width="16.6640625" style="102" customWidth="1"/>
    <col min="11523" max="11523" width="16.5546875" style="102" customWidth="1"/>
    <col min="11524" max="11524" width="20.44140625" style="102" customWidth="1"/>
    <col min="11525" max="11525" width="10.5546875" style="102" bestFit="1" customWidth="1"/>
    <col min="11526" max="11526" width="3.5546875" style="102" customWidth="1"/>
    <col min="11527" max="11776" width="8.88671875" style="102"/>
    <col min="11777" max="11777" width="2.5546875" style="102" bestFit="1" customWidth="1"/>
    <col min="11778" max="11778" width="16.6640625" style="102" customWidth="1"/>
    <col min="11779" max="11779" width="16.5546875" style="102" customWidth="1"/>
    <col min="11780" max="11780" width="20.44140625" style="102" customWidth="1"/>
    <col min="11781" max="11781" width="10.5546875" style="102" bestFit="1" customWidth="1"/>
    <col min="11782" max="11782" width="3.5546875" style="102" customWidth="1"/>
    <col min="11783" max="12032" width="8.88671875" style="102"/>
    <col min="12033" max="12033" width="2.5546875" style="102" bestFit="1" customWidth="1"/>
    <col min="12034" max="12034" width="16.6640625" style="102" customWidth="1"/>
    <col min="12035" max="12035" width="16.5546875" style="102" customWidth="1"/>
    <col min="12036" max="12036" width="20.44140625" style="102" customWidth="1"/>
    <col min="12037" max="12037" width="10.5546875" style="102" bestFit="1" customWidth="1"/>
    <col min="12038" max="12038" width="3.5546875" style="102" customWidth="1"/>
    <col min="12039" max="12288" width="8.88671875" style="102"/>
    <col min="12289" max="12289" width="2.5546875" style="102" bestFit="1" customWidth="1"/>
    <col min="12290" max="12290" width="16.6640625" style="102" customWidth="1"/>
    <col min="12291" max="12291" width="16.5546875" style="102" customWidth="1"/>
    <col min="12292" max="12292" width="20.44140625" style="102" customWidth="1"/>
    <col min="12293" max="12293" width="10.5546875" style="102" bestFit="1" customWidth="1"/>
    <col min="12294" max="12294" width="3.5546875" style="102" customWidth="1"/>
    <col min="12295" max="12544" width="8.88671875" style="102"/>
    <col min="12545" max="12545" width="2.5546875" style="102" bestFit="1" customWidth="1"/>
    <col min="12546" max="12546" width="16.6640625" style="102" customWidth="1"/>
    <col min="12547" max="12547" width="16.5546875" style="102" customWidth="1"/>
    <col min="12548" max="12548" width="20.44140625" style="102" customWidth="1"/>
    <col min="12549" max="12549" width="10.5546875" style="102" bestFit="1" customWidth="1"/>
    <col min="12550" max="12550" width="3.5546875" style="102" customWidth="1"/>
    <col min="12551" max="12800" width="8.88671875" style="102"/>
    <col min="12801" max="12801" width="2.5546875" style="102" bestFit="1" customWidth="1"/>
    <col min="12802" max="12802" width="16.6640625" style="102" customWidth="1"/>
    <col min="12803" max="12803" width="16.5546875" style="102" customWidth="1"/>
    <col min="12804" max="12804" width="20.44140625" style="102" customWidth="1"/>
    <col min="12805" max="12805" width="10.5546875" style="102" bestFit="1" customWidth="1"/>
    <col min="12806" max="12806" width="3.5546875" style="102" customWidth="1"/>
    <col min="12807" max="13056" width="8.88671875" style="102"/>
    <col min="13057" max="13057" width="2.5546875" style="102" bestFit="1" customWidth="1"/>
    <col min="13058" max="13058" width="16.6640625" style="102" customWidth="1"/>
    <col min="13059" max="13059" width="16.5546875" style="102" customWidth="1"/>
    <col min="13060" max="13060" width="20.44140625" style="102" customWidth="1"/>
    <col min="13061" max="13061" width="10.5546875" style="102" bestFit="1" customWidth="1"/>
    <col min="13062" max="13062" width="3.5546875" style="102" customWidth="1"/>
    <col min="13063" max="13312" width="8.88671875" style="102"/>
    <col min="13313" max="13313" width="2.5546875" style="102" bestFit="1" customWidth="1"/>
    <col min="13314" max="13314" width="16.6640625" style="102" customWidth="1"/>
    <col min="13315" max="13315" width="16.5546875" style="102" customWidth="1"/>
    <col min="13316" max="13316" width="20.44140625" style="102" customWidth="1"/>
    <col min="13317" max="13317" width="10.5546875" style="102" bestFit="1" customWidth="1"/>
    <col min="13318" max="13318" width="3.5546875" style="102" customWidth="1"/>
    <col min="13319" max="13568" width="8.88671875" style="102"/>
    <col min="13569" max="13569" width="2.5546875" style="102" bestFit="1" customWidth="1"/>
    <col min="13570" max="13570" width="16.6640625" style="102" customWidth="1"/>
    <col min="13571" max="13571" width="16.5546875" style="102" customWidth="1"/>
    <col min="13572" max="13572" width="20.44140625" style="102" customWidth="1"/>
    <col min="13573" max="13573" width="10.5546875" style="102" bestFit="1" customWidth="1"/>
    <col min="13574" max="13574" width="3.5546875" style="102" customWidth="1"/>
    <col min="13575" max="13824" width="8.88671875" style="102"/>
    <col min="13825" max="13825" width="2.5546875" style="102" bestFit="1" customWidth="1"/>
    <col min="13826" max="13826" width="16.6640625" style="102" customWidth="1"/>
    <col min="13827" max="13827" width="16.5546875" style="102" customWidth="1"/>
    <col min="13828" max="13828" width="20.44140625" style="102" customWidth="1"/>
    <col min="13829" max="13829" width="10.5546875" style="102" bestFit="1" customWidth="1"/>
    <col min="13830" max="13830" width="3.5546875" style="102" customWidth="1"/>
    <col min="13831" max="14080" width="8.88671875" style="102"/>
    <col min="14081" max="14081" width="2.5546875" style="102" bestFit="1" customWidth="1"/>
    <col min="14082" max="14082" width="16.6640625" style="102" customWidth="1"/>
    <col min="14083" max="14083" width="16.5546875" style="102" customWidth="1"/>
    <col min="14084" max="14084" width="20.44140625" style="102" customWidth="1"/>
    <col min="14085" max="14085" width="10.5546875" style="102" bestFit="1" customWidth="1"/>
    <col min="14086" max="14086" width="3.5546875" style="102" customWidth="1"/>
    <col min="14087" max="14336" width="8.88671875" style="102"/>
    <col min="14337" max="14337" width="2.5546875" style="102" bestFit="1" customWidth="1"/>
    <col min="14338" max="14338" width="16.6640625" style="102" customWidth="1"/>
    <col min="14339" max="14339" width="16.5546875" style="102" customWidth="1"/>
    <col min="14340" max="14340" width="20.44140625" style="102" customWidth="1"/>
    <col min="14341" max="14341" width="10.5546875" style="102" bestFit="1" customWidth="1"/>
    <col min="14342" max="14342" width="3.5546875" style="102" customWidth="1"/>
    <col min="14343" max="14592" width="8.88671875" style="102"/>
    <col min="14593" max="14593" width="2.5546875" style="102" bestFit="1" customWidth="1"/>
    <col min="14594" max="14594" width="16.6640625" style="102" customWidth="1"/>
    <col min="14595" max="14595" width="16.5546875" style="102" customWidth="1"/>
    <col min="14596" max="14596" width="20.44140625" style="102" customWidth="1"/>
    <col min="14597" max="14597" width="10.5546875" style="102" bestFit="1" customWidth="1"/>
    <col min="14598" max="14598" width="3.5546875" style="102" customWidth="1"/>
    <col min="14599" max="14848" width="8.88671875" style="102"/>
    <col min="14849" max="14849" width="2.5546875" style="102" bestFit="1" customWidth="1"/>
    <col min="14850" max="14850" width="16.6640625" style="102" customWidth="1"/>
    <col min="14851" max="14851" width="16.5546875" style="102" customWidth="1"/>
    <col min="14852" max="14852" width="20.44140625" style="102" customWidth="1"/>
    <col min="14853" max="14853" width="10.5546875" style="102" bestFit="1" customWidth="1"/>
    <col min="14854" max="14854" width="3.5546875" style="102" customWidth="1"/>
    <col min="14855" max="15104" width="8.88671875" style="102"/>
    <col min="15105" max="15105" width="2.5546875" style="102" bestFit="1" customWidth="1"/>
    <col min="15106" max="15106" width="16.6640625" style="102" customWidth="1"/>
    <col min="15107" max="15107" width="16.5546875" style="102" customWidth="1"/>
    <col min="15108" max="15108" width="20.44140625" style="102" customWidth="1"/>
    <col min="15109" max="15109" width="10.5546875" style="102" bestFit="1" customWidth="1"/>
    <col min="15110" max="15110" width="3.5546875" style="102" customWidth="1"/>
    <col min="15111" max="15360" width="8.88671875" style="102"/>
    <col min="15361" max="15361" width="2.5546875" style="102" bestFit="1" customWidth="1"/>
    <col min="15362" max="15362" width="16.6640625" style="102" customWidth="1"/>
    <col min="15363" max="15363" width="16.5546875" style="102" customWidth="1"/>
    <col min="15364" max="15364" width="20.44140625" style="102" customWidth="1"/>
    <col min="15365" max="15365" width="10.5546875" style="102" bestFit="1" customWidth="1"/>
    <col min="15366" max="15366" width="3.5546875" style="102" customWidth="1"/>
    <col min="15367" max="15616" width="8.88671875" style="102"/>
    <col min="15617" max="15617" width="2.5546875" style="102" bestFit="1" customWidth="1"/>
    <col min="15618" max="15618" width="16.6640625" style="102" customWidth="1"/>
    <col min="15619" max="15619" width="16.5546875" style="102" customWidth="1"/>
    <col min="15620" max="15620" width="20.44140625" style="102" customWidth="1"/>
    <col min="15621" max="15621" width="10.5546875" style="102" bestFit="1" customWidth="1"/>
    <col min="15622" max="15622" width="3.5546875" style="102" customWidth="1"/>
    <col min="15623" max="15872" width="8.88671875" style="102"/>
    <col min="15873" max="15873" width="2.5546875" style="102" bestFit="1" customWidth="1"/>
    <col min="15874" max="15874" width="16.6640625" style="102" customWidth="1"/>
    <col min="15875" max="15875" width="16.5546875" style="102" customWidth="1"/>
    <col min="15876" max="15876" width="20.44140625" style="102" customWidth="1"/>
    <col min="15877" max="15877" width="10.5546875" style="102" bestFit="1" customWidth="1"/>
    <col min="15878" max="15878" width="3.5546875" style="102" customWidth="1"/>
    <col min="15879" max="16128" width="8.88671875" style="102"/>
    <col min="16129" max="16129" width="2.5546875" style="102" bestFit="1" customWidth="1"/>
    <col min="16130" max="16130" width="16.6640625" style="102" customWidth="1"/>
    <col min="16131" max="16131" width="16.5546875" style="102" customWidth="1"/>
    <col min="16132" max="16132" width="20.44140625" style="102" customWidth="1"/>
    <col min="16133" max="16133" width="10.5546875" style="102" bestFit="1" customWidth="1"/>
    <col min="16134" max="16134" width="3.5546875" style="102" customWidth="1"/>
    <col min="16135" max="16384" width="8.88671875" style="102"/>
  </cols>
  <sheetData>
    <row r="1" spans="1:6" x14ac:dyDescent="0.25">
      <c r="A1" s="100" t="str">
        <f t="shared" ref="A1:A7" si="0">ROW()&amp;")"</f>
        <v>1)</v>
      </c>
      <c r="B1" s="101" t="s">
        <v>174</v>
      </c>
      <c r="C1" s="101"/>
      <c r="D1" s="101"/>
      <c r="E1" s="101"/>
      <c r="F1" s="101"/>
    </row>
    <row r="2" spans="1:6" ht="39.6" x14ac:dyDescent="0.25">
      <c r="A2" s="100" t="str">
        <f t="shared" si="0"/>
        <v>2)</v>
      </c>
      <c r="B2" s="101" t="s">
        <v>175</v>
      </c>
      <c r="C2" s="101"/>
      <c r="D2" s="101"/>
      <c r="E2" s="101"/>
      <c r="F2" s="101"/>
    </row>
    <row r="3" spans="1:6" ht="26.4" x14ac:dyDescent="0.25">
      <c r="A3" s="100" t="str">
        <f t="shared" si="0"/>
        <v>3)</v>
      </c>
      <c r="B3" s="101" t="s">
        <v>176</v>
      </c>
      <c r="C3" s="101"/>
      <c r="D3" s="101"/>
      <c r="E3" s="101"/>
      <c r="F3" s="101"/>
    </row>
    <row r="4" spans="1:6" ht="26.4" x14ac:dyDescent="0.25">
      <c r="A4" s="100" t="str">
        <f t="shared" si="0"/>
        <v>4)</v>
      </c>
      <c r="B4" s="101" t="s">
        <v>177</v>
      </c>
      <c r="C4" s="101"/>
      <c r="D4" s="101"/>
      <c r="E4" s="101"/>
      <c r="F4" s="101"/>
    </row>
    <row r="5" spans="1:6" ht="39.6" x14ac:dyDescent="0.25">
      <c r="A5" s="100" t="str">
        <f t="shared" si="0"/>
        <v>5)</v>
      </c>
      <c r="B5" s="101" t="s">
        <v>178</v>
      </c>
      <c r="C5" s="101"/>
      <c r="D5" s="101"/>
      <c r="E5" s="101"/>
      <c r="F5" s="101"/>
    </row>
    <row r="6" spans="1:6" ht="52.8" x14ac:dyDescent="0.25">
      <c r="A6" s="100" t="str">
        <f t="shared" si="0"/>
        <v>6)</v>
      </c>
      <c r="B6" s="101" t="s">
        <v>179</v>
      </c>
      <c r="C6" s="101"/>
      <c r="D6" s="101"/>
      <c r="E6" s="101"/>
      <c r="F6" s="101"/>
    </row>
    <row r="7" spans="1:6" ht="39.6" x14ac:dyDescent="0.25">
      <c r="A7" s="100" t="str">
        <f t="shared" si="0"/>
        <v>7)</v>
      </c>
      <c r="B7" s="101" t="s">
        <v>180</v>
      </c>
      <c r="C7" s="101"/>
      <c r="D7" s="101"/>
      <c r="E7" s="101"/>
      <c r="F7" s="101"/>
    </row>
    <row r="8" spans="1:6" ht="13.8" thickBot="1" x14ac:dyDescent="0.3"/>
    <row r="9" spans="1:6" ht="27.6" thickTop="1" thickBot="1" x14ac:dyDescent="0.3">
      <c r="A9" s="103">
        <v>1</v>
      </c>
      <c r="B9" s="120" t="str">
        <f>"Borrower Point of View: At an "&amp;D10&amp;" of "&amp;TEXT(E10,"0.00%")&amp;" the monthly PMT paid = "&amp;DOLLAR(C13)</f>
        <v>Borrower Point of View: At an Annual Interest Rate of 6.50% the monthly PMT paid = ($485.22)</v>
      </c>
      <c r="C9" s="120"/>
      <c r="D9" s="120"/>
      <c r="E9" s="120"/>
    </row>
    <row r="10" spans="1:6" ht="13.8" thickTop="1" x14ac:dyDescent="0.25">
      <c r="B10" s="104" t="s">
        <v>181</v>
      </c>
      <c r="C10" s="105">
        <v>34799</v>
      </c>
      <c r="D10" s="104" t="s">
        <v>9</v>
      </c>
      <c r="E10" s="106">
        <v>6.5000000000000002E-2</v>
      </c>
    </row>
    <row r="11" spans="1:6" x14ac:dyDescent="0.25">
      <c r="B11" s="107" t="s">
        <v>182</v>
      </c>
      <c r="C11" s="108">
        <v>10000</v>
      </c>
      <c r="D11" s="107" t="s">
        <v>183</v>
      </c>
      <c r="E11" s="109">
        <f>E10/E14</f>
        <v>5.4166666666666669E-3</v>
      </c>
    </row>
    <row r="12" spans="1:6" x14ac:dyDescent="0.25">
      <c r="B12" s="107" t="s">
        <v>184</v>
      </c>
      <c r="C12" s="110">
        <f>C10-C11</f>
        <v>24799</v>
      </c>
      <c r="D12" s="107" t="s">
        <v>185</v>
      </c>
      <c r="E12" s="111">
        <v>5</v>
      </c>
    </row>
    <row r="13" spans="1:6" x14ac:dyDescent="0.25">
      <c r="B13" s="107" t="s">
        <v>186</v>
      </c>
      <c r="C13" s="110">
        <f>PMT(E11,E13,C12)</f>
        <v>-485.22090967624911</v>
      </c>
      <c r="D13" s="107" t="s">
        <v>187</v>
      </c>
      <c r="E13" s="112">
        <f>E12*E14</f>
        <v>60</v>
      </c>
    </row>
    <row r="14" spans="1:6" x14ac:dyDescent="0.25">
      <c r="B14" s="107" t="s">
        <v>188</v>
      </c>
      <c r="C14" s="108">
        <f>-C12/((1-(1+E10/E14)^(-E12*E14))/(E10/E14))</f>
        <v>-485.22090967625377</v>
      </c>
      <c r="D14" s="107" t="s">
        <v>189</v>
      </c>
      <c r="E14" s="111">
        <v>12</v>
      </c>
    </row>
    <row r="15" spans="1:6" x14ac:dyDescent="0.25">
      <c r="B15" s="107" t="s">
        <v>190</v>
      </c>
      <c r="C15" s="110">
        <f>PMT(E11,E13,C12,,1)</f>
        <v>-482.60678956609939</v>
      </c>
      <c r="D15" s="107" t="s">
        <v>191</v>
      </c>
      <c r="E15" s="111">
        <v>1</v>
      </c>
    </row>
    <row r="16" spans="1:6" ht="13.8" thickBot="1" x14ac:dyDescent="0.3">
      <c r="B16" s="113"/>
      <c r="C16" s="114"/>
      <c r="D16" s="113"/>
    </row>
    <row r="17" spans="1:5" ht="27.6" thickTop="1" thickBot="1" x14ac:dyDescent="0.3">
      <c r="A17" s="103">
        <v>2</v>
      </c>
      <c r="B17" s="120" t="str">
        <f>"Lender Point of view: At an "&amp;D18&amp;" of "&amp;TEXT(E18,"0.00%")&amp;" the monthly PMT received = "&amp;DOLLAR(C21)</f>
        <v>Lender Point of view: At an Annual Interest Rate of 6.50% the monthly PMT received = $485.22</v>
      </c>
      <c r="C17" s="120"/>
      <c r="D17" s="120"/>
      <c r="E17" s="120"/>
    </row>
    <row r="18" spans="1:5" ht="13.8" thickTop="1" x14ac:dyDescent="0.25">
      <c r="B18" s="104" t="s">
        <v>181</v>
      </c>
      <c r="C18" s="105">
        <f>C10</f>
        <v>34799</v>
      </c>
      <c r="D18" s="104" t="s">
        <v>9</v>
      </c>
      <c r="E18" s="106">
        <f>E10</f>
        <v>6.5000000000000002E-2</v>
      </c>
    </row>
    <row r="19" spans="1:5" x14ac:dyDescent="0.25">
      <c r="B19" s="107" t="s">
        <v>182</v>
      </c>
      <c r="C19" s="108">
        <f>C11</f>
        <v>10000</v>
      </c>
      <c r="D19" s="107" t="s">
        <v>183</v>
      </c>
      <c r="E19" s="115">
        <f>E18/E22</f>
        <v>5.4166666666666669E-3</v>
      </c>
    </row>
    <row r="20" spans="1:5" x14ac:dyDescent="0.25">
      <c r="B20" s="107" t="s">
        <v>184</v>
      </c>
      <c r="C20" s="108">
        <f>-(C18-C19)</f>
        <v>-24799</v>
      </c>
      <c r="D20" s="107" t="s">
        <v>185</v>
      </c>
      <c r="E20" s="111">
        <f>E12</f>
        <v>5</v>
      </c>
    </row>
    <row r="21" spans="1:5" x14ac:dyDescent="0.25">
      <c r="B21" s="107" t="s">
        <v>188</v>
      </c>
      <c r="C21" s="110">
        <f>PMT(E19,E21,C20)</f>
        <v>485.22090967624911</v>
      </c>
      <c r="D21" s="107" t="s">
        <v>187</v>
      </c>
      <c r="E21" s="111">
        <f>E20*E22</f>
        <v>60</v>
      </c>
    </row>
    <row r="22" spans="1:5" x14ac:dyDescent="0.25">
      <c r="B22" s="107" t="s">
        <v>188</v>
      </c>
      <c r="C22" s="108">
        <f>-(C20/((1-(1+E18/E22)^(-E20*E22))/(E18/E22)))</f>
        <v>485.22090967625377</v>
      </c>
      <c r="D22" s="107" t="s">
        <v>189</v>
      </c>
      <c r="E22" s="111">
        <f>E14</f>
        <v>12</v>
      </c>
    </row>
    <row r="23" spans="1:5" ht="13.8" thickBot="1" x14ac:dyDescent="0.3"/>
    <row r="24" spans="1:5" ht="40.799999999999997" thickTop="1" thickBot="1" x14ac:dyDescent="0.3">
      <c r="A24" s="103">
        <v>3</v>
      </c>
      <c r="B24" s="120" t="str">
        <f>"At an "&amp;D25&amp;" of "&amp;TEXT(E25,"0.00%")&amp;" and a balloon payment of "&amp;DOLLAR(-C28)&amp;" at the end of "&amp;E28&amp;" months, the monthly PMT = "&amp;DOLLAR(PMT(E26,E28,C27,C28))&amp;" - Borrower's Point of View."</f>
        <v>At an Annual Interest Rate of 5.25% and a balloon payment of $5,000.00 at the end of 36 months, the monthly PMT = ($1,225.21) - Borrower's Point of View.</v>
      </c>
      <c r="C24" s="120"/>
      <c r="D24" s="120"/>
      <c r="E24" s="120"/>
    </row>
    <row r="25" spans="1:5" ht="13.8" thickTop="1" x14ac:dyDescent="0.25">
      <c r="B25" s="104" t="s">
        <v>181</v>
      </c>
      <c r="C25" s="105">
        <v>50000</v>
      </c>
      <c r="D25" s="104" t="s">
        <v>9</v>
      </c>
      <c r="E25" s="106">
        <v>5.2499999999999998E-2</v>
      </c>
    </row>
    <row r="26" spans="1:5" x14ac:dyDescent="0.25">
      <c r="B26" s="107" t="s">
        <v>182</v>
      </c>
      <c r="C26" s="108">
        <v>5000</v>
      </c>
      <c r="D26" s="107" t="s">
        <v>183</v>
      </c>
      <c r="E26" s="115">
        <f>E25/E29</f>
        <v>4.3749999999999995E-3</v>
      </c>
    </row>
    <row r="27" spans="1:5" x14ac:dyDescent="0.25">
      <c r="B27" s="107" t="s">
        <v>184</v>
      </c>
      <c r="C27" s="108">
        <f>C25-C26</f>
        <v>45000</v>
      </c>
      <c r="D27" s="107" t="s">
        <v>185</v>
      </c>
      <c r="E27" s="111">
        <v>3</v>
      </c>
    </row>
    <row r="28" spans="1:5" x14ac:dyDescent="0.25">
      <c r="B28" s="111" t="s">
        <v>192</v>
      </c>
      <c r="C28" s="108">
        <v>-5000</v>
      </c>
      <c r="D28" s="107" t="s">
        <v>187</v>
      </c>
      <c r="E28" s="111">
        <f>E27*E29</f>
        <v>36</v>
      </c>
    </row>
    <row r="29" spans="1:5" x14ac:dyDescent="0.25">
      <c r="B29" s="107" t="s">
        <v>188</v>
      </c>
      <c r="C29" s="110">
        <f>PMT(E26,E28,C27,C28)</f>
        <v>-1225.2058205856481</v>
      </c>
      <c r="D29" s="107" t="s">
        <v>189</v>
      </c>
      <c r="E29" s="111">
        <v>12</v>
      </c>
    </row>
    <row r="30" spans="1:5" ht="13.8" thickBot="1" x14ac:dyDescent="0.3"/>
    <row r="31" spans="1:5" ht="27.6" thickTop="1" thickBot="1" x14ac:dyDescent="0.3">
      <c r="A31" s="103">
        <v>4</v>
      </c>
      <c r="B31" s="120" t="str">
        <f>"At an "&amp;D32&amp;" of "&amp;TEXT(E32,"0.00%")&amp;" and no payments during the first year, the PMT = "&amp;DOLLAR(C36)&amp;" - Borrower's Point of View."</f>
        <v>At an Annual Interest Rate of 8.50% and no payments during the first year, the PMT = ($67,328.25) - Borrower's Point of View.</v>
      </c>
      <c r="C31" s="120"/>
      <c r="D31" s="120"/>
      <c r="E31" s="120"/>
    </row>
    <row r="32" spans="1:5" ht="13.8" thickTop="1" x14ac:dyDescent="0.25">
      <c r="B32" s="104" t="s">
        <v>184</v>
      </c>
      <c r="C32" s="105">
        <v>1000000</v>
      </c>
      <c r="D32" s="104" t="s">
        <v>9</v>
      </c>
      <c r="E32" s="106">
        <v>8.5000000000000006E-2</v>
      </c>
    </row>
    <row r="33" spans="1:9" ht="26.4" x14ac:dyDescent="0.25">
      <c r="B33" s="116" t="s">
        <v>193</v>
      </c>
      <c r="C33" s="111">
        <v>1</v>
      </c>
      <c r="D33" s="107" t="s">
        <v>194</v>
      </c>
      <c r="E33" s="115">
        <f>E32/E36</f>
        <v>2.1250000000000002E-2</v>
      </c>
    </row>
    <row r="34" spans="1:9" x14ac:dyDescent="0.25">
      <c r="B34" s="107" t="s">
        <v>195</v>
      </c>
      <c r="C34" s="110">
        <f>FV(E33,E36*C33,,C32)</f>
        <v>-1087747.9617211912</v>
      </c>
      <c r="D34" s="107" t="s">
        <v>185</v>
      </c>
      <c r="E34" s="111">
        <v>6</v>
      </c>
    </row>
    <row r="35" spans="1:9" x14ac:dyDescent="0.25">
      <c r="B35" s="107" t="s">
        <v>196</v>
      </c>
      <c r="C35" s="117">
        <f>PMT(E33,(E34-C33)*E36,-C34)</f>
        <v>-67328.250185892379</v>
      </c>
      <c r="D35" s="107" t="s">
        <v>12</v>
      </c>
      <c r="E35" s="111">
        <f>E34*E36</f>
        <v>24</v>
      </c>
    </row>
    <row r="36" spans="1:9" x14ac:dyDescent="0.25">
      <c r="B36" s="107" t="s">
        <v>196</v>
      </c>
      <c r="C36" s="108">
        <f>PMT(E33,(E34-C33)*E36,FV(E33,C33*E36,,-C32))</f>
        <v>-67328.250185892379</v>
      </c>
      <c r="D36" s="107" t="s">
        <v>189</v>
      </c>
      <c r="E36" s="111">
        <v>4</v>
      </c>
      <c r="H36" s="102" t="s">
        <v>87</v>
      </c>
      <c r="I36" s="102">
        <f>C32*(1+E33)^E36</f>
        <v>1087747.9617211912</v>
      </c>
    </row>
    <row r="37" spans="1:9" ht="13.8" thickBot="1" x14ac:dyDescent="0.3"/>
    <row r="38" spans="1:9" ht="13.8" thickTop="1" x14ac:dyDescent="0.25">
      <c r="A38" s="103">
        <v>5</v>
      </c>
      <c r="B38" s="121" t="s">
        <v>210</v>
      </c>
      <c r="C38" s="121"/>
      <c r="D38" s="121"/>
      <c r="E38" s="121"/>
    </row>
    <row r="39" spans="1:9" x14ac:dyDescent="0.25">
      <c r="B39" s="107" t="s">
        <v>184</v>
      </c>
      <c r="C39" s="108">
        <v>200000</v>
      </c>
      <c r="D39" s="107" t="s">
        <v>185</v>
      </c>
      <c r="E39" s="111">
        <v>30</v>
      </c>
    </row>
    <row r="40" spans="1:9" x14ac:dyDescent="0.25">
      <c r="B40" s="107" t="s">
        <v>9</v>
      </c>
      <c r="C40" s="125">
        <v>0.05</v>
      </c>
      <c r="D40" s="107" t="s">
        <v>189</v>
      </c>
      <c r="E40" s="111">
        <v>12</v>
      </c>
    </row>
    <row r="41" spans="1:9" x14ac:dyDescent="0.25">
      <c r="B41" s="107" t="s">
        <v>194</v>
      </c>
      <c r="C41" s="124">
        <f>C40/E40</f>
        <v>4.1666666666666666E-3</v>
      </c>
      <c r="D41" s="111" t="s">
        <v>197</v>
      </c>
      <c r="E41" s="111">
        <v>0.01</v>
      </c>
      <c r="G41" s="102">
        <v>1</v>
      </c>
    </row>
    <row r="42" spans="1:9" x14ac:dyDescent="0.25">
      <c r="B42" s="107" t="s">
        <v>12</v>
      </c>
      <c r="C42" s="111">
        <f>E39*E40</f>
        <v>360</v>
      </c>
      <c r="D42" s="111" t="s">
        <v>209</v>
      </c>
      <c r="E42" s="111">
        <v>750</v>
      </c>
    </row>
    <row r="43" spans="1:9" x14ac:dyDescent="0.25">
      <c r="B43" s="107" t="s">
        <v>142</v>
      </c>
      <c r="C43" s="108">
        <f>PMT(C41,C42,C39)</f>
        <v>-1073.6432460242781</v>
      </c>
    </row>
    <row r="44" spans="1:9" x14ac:dyDescent="0.25">
      <c r="B44" s="111" t="s">
        <v>198</v>
      </c>
      <c r="C44" s="122">
        <f>C39*(1-E41)-E42</f>
        <v>197250</v>
      </c>
    </row>
    <row r="45" spans="1:9" ht="14.4" x14ac:dyDescent="0.3">
      <c r="B45" s="111" t="s">
        <v>11</v>
      </c>
      <c r="C45" s="123">
        <f>RATE(C42,C43,C44)</f>
        <v>4.2683797768953086E-3</v>
      </c>
      <c r="D45"/>
      <c r="E45"/>
    </row>
    <row r="46" spans="1:9" ht="14.4" x14ac:dyDescent="0.3">
      <c r="B46" s="111" t="s">
        <v>199</v>
      </c>
      <c r="C46" s="123">
        <f>C45*E40</f>
        <v>5.1220557322743707E-2</v>
      </c>
      <c r="D46"/>
      <c r="E46"/>
    </row>
  </sheetData>
  <conditionalFormatting sqref="C14 C22">
    <cfRule type="expression" dxfId="1" priority="2" stopIfTrue="1">
      <formula>C13=""</formula>
    </cfRule>
  </conditionalFormatting>
  <conditionalFormatting sqref="C36">
    <cfRule type="expression" dxfId="0" priority="1" stopIfTrue="1">
      <formula>$C$35=""</formula>
    </cfRule>
  </conditionalFormatting>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00FF"/>
  </sheetPr>
  <dimension ref="A1:E12"/>
  <sheetViews>
    <sheetView zoomScale="115" zoomScaleNormal="115" workbookViewId="0"/>
  </sheetViews>
  <sheetFormatPr defaultRowHeight="14.4" x14ac:dyDescent="0.3"/>
  <cols>
    <col min="1" max="1" width="35.44140625" bestFit="1" customWidth="1"/>
    <col min="2" max="2" width="11.5546875" bestFit="1" customWidth="1"/>
    <col min="257" max="257" width="35.44140625" bestFit="1" customWidth="1"/>
    <col min="258" max="258" width="11.5546875" bestFit="1" customWidth="1"/>
    <col min="513" max="513" width="35.44140625" bestFit="1" customWidth="1"/>
    <col min="514" max="514" width="11.5546875" bestFit="1" customWidth="1"/>
    <col min="769" max="769" width="35.44140625" bestFit="1" customWidth="1"/>
    <col min="770" max="770" width="11.5546875" bestFit="1" customWidth="1"/>
    <col min="1025" max="1025" width="35.44140625" bestFit="1" customWidth="1"/>
    <col min="1026" max="1026" width="11.5546875" bestFit="1" customWidth="1"/>
    <col min="1281" max="1281" width="35.44140625" bestFit="1" customWidth="1"/>
    <col min="1282" max="1282" width="11.5546875" bestFit="1" customWidth="1"/>
    <col min="1537" max="1537" width="35.44140625" bestFit="1" customWidth="1"/>
    <col min="1538" max="1538" width="11.5546875" bestFit="1" customWidth="1"/>
    <col min="1793" max="1793" width="35.44140625" bestFit="1" customWidth="1"/>
    <col min="1794" max="1794" width="11.5546875" bestFit="1" customWidth="1"/>
    <col min="2049" max="2049" width="35.44140625" bestFit="1" customWidth="1"/>
    <col min="2050" max="2050" width="11.5546875" bestFit="1" customWidth="1"/>
    <col min="2305" max="2305" width="35.44140625" bestFit="1" customWidth="1"/>
    <col min="2306" max="2306" width="11.5546875" bestFit="1" customWidth="1"/>
    <col min="2561" max="2561" width="35.44140625" bestFit="1" customWidth="1"/>
    <col min="2562" max="2562" width="11.5546875" bestFit="1" customWidth="1"/>
    <col min="2817" max="2817" width="35.44140625" bestFit="1" customWidth="1"/>
    <col min="2818" max="2818" width="11.5546875" bestFit="1" customWidth="1"/>
    <col min="3073" max="3073" width="35.44140625" bestFit="1" customWidth="1"/>
    <col min="3074" max="3074" width="11.5546875" bestFit="1" customWidth="1"/>
    <col min="3329" max="3329" width="35.44140625" bestFit="1" customWidth="1"/>
    <col min="3330" max="3330" width="11.5546875" bestFit="1" customWidth="1"/>
    <col min="3585" max="3585" width="35.44140625" bestFit="1" customWidth="1"/>
    <col min="3586" max="3586" width="11.5546875" bestFit="1" customWidth="1"/>
    <col min="3841" max="3841" width="35.44140625" bestFit="1" customWidth="1"/>
    <col min="3842" max="3842" width="11.5546875" bestFit="1" customWidth="1"/>
    <col min="4097" max="4097" width="35.44140625" bestFit="1" customWidth="1"/>
    <col min="4098" max="4098" width="11.5546875" bestFit="1" customWidth="1"/>
    <col min="4353" max="4353" width="35.44140625" bestFit="1" customWidth="1"/>
    <col min="4354" max="4354" width="11.5546875" bestFit="1" customWidth="1"/>
    <col min="4609" max="4609" width="35.44140625" bestFit="1" customWidth="1"/>
    <col min="4610" max="4610" width="11.5546875" bestFit="1" customWidth="1"/>
    <col min="4865" max="4865" width="35.44140625" bestFit="1" customWidth="1"/>
    <col min="4866" max="4866" width="11.5546875" bestFit="1" customWidth="1"/>
    <col min="5121" max="5121" width="35.44140625" bestFit="1" customWidth="1"/>
    <col min="5122" max="5122" width="11.5546875" bestFit="1" customWidth="1"/>
    <col min="5377" max="5377" width="35.44140625" bestFit="1" customWidth="1"/>
    <col min="5378" max="5378" width="11.5546875" bestFit="1" customWidth="1"/>
    <col min="5633" max="5633" width="35.44140625" bestFit="1" customWidth="1"/>
    <col min="5634" max="5634" width="11.5546875" bestFit="1" customWidth="1"/>
    <col min="5889" max="5889" width="35.44140625" bestFit="1" customWidth="1"/>
    <col min="5890" max="5890" width="11.5546875" bestFit="1" customWidth="1"/>
    <col min="6145" max="6145" width="35.44140625" bestFit="1" customWidth="1"/>
    <col min="6146" max="6146" width="11.5546875" bestFit="1" customWidth="1"/>
    <col min="6401" max="6401" width="35.44140625" bestFit="1" customWidth="1"/>
    <col min="6402" max="6402" width="11.5546875" bestFit="1" customWidth="1"/>
    <col min="6657" max="6657" width="35.44140625" bestFit="1" customWidth="1"/>
    <col min="6658" max="6658" width="11.5546875" bestFit="1" customWidth="1"/>
    <col min="6913" max="6913" width="35.44140625" bestFit="1" customWidth="1"/>
    <col min="6914" max="6914" width="11.5546875" bestFit="1" customWidth="1"/>
    <col min="7169" max="7169" width="35.44140625" bestFit="1" customWidth="1"/>
    <col min="7170" max="7170" width="11.5546875" bestFit="1" customWidth="1"/>
    <col min="7425" max="7425" width="35.44140625" bestFit="1" customWidth="1"/>
    <col min="7426" max="7426" width="11.5546875" bestFit="1" customWidth="1"/>
    <col min="7681" max="7681" width="35.44140625" bestFit="1" customWidth="1"/>
    <col min="7682" max="7682" width="11.5546875" bestFit="1" customWidth="1"/>
    <col min="7937" max="7937" width="35.44140625" bestFit="1" customWidth="1"/>
    <col min="7938" max="7938" width="11.5546875" bestFit="1" customWidth="1"/>
    <col min="8193" max="8193" width="35.44140625" bestFit="1" customWidth="1"/>
    <col min="8194" max="8194" width="11.5546875" bestFit="1" customWidth="1"/>
    <col min="8449" max="8449" width="35.44140625" bestFit="1" customWidth="1"/>
    <col min="8450" max="8450" width="11.5546875" bestFit="1" customWidth="1"/>
    <col min="8705" max="8705" width="35.44140625" bestFit="1" customWidth="1"/>
    <col min="8706" max="8706" width="11.5546875" bestFit="1" customWidth="1"/>
    <col min="8961" max="8961" width="35.44140625" bestFit="1" customWidth="1"/>
    <col min="8962" max="8962" width="11.5546875" bestFit="1" customWidth="1"/>
    <col min="9217" max="9217" width="35.44140625" bestFit="1" customWidth="1"/>
    <col min="9218" max="9218" width="11.5546875" bestFit="1" customWidth="1"/>
    <col min="9473" max="9473" width="35.44140625" bestFit="1" customWidth="1"/>
    <col min="9474" max="9474" width="11.5546875" bestFit="1" customWidth="1"/>
    <col min="9729" max="9729" width="35.44140625" bestFit="1" customWidth="1"/>
    <col min="9730" max="9730" width="11.5546875" bestFit="1" customWidth="1"/>
    <col min="9985" max="9985" width="35.44140625" bestFit="1" customWidth="1"/>
    <col min="9986" max="9986" width="11.5546875" bestFit="1" customWidth="1"/>
    <col min="10241" max="10241" width="35.44140625" bestFit="1" customWidth="1"/>
    <col min="10242" max="10242" width="11.5546875" bestFit="1" customWidth="1"/>
    <col min="10497" max="10497" width="35.44140625" bestFit="1" customWidth="1"/>
    <col min="10498" max="10498" width="11.5546875" bestFit="1" customWidth="1"/>
    <col min="10753" max="10753" width="35.44140625" bestFit="1" customWidth="1"/>
    <col min="10754" max="10754" width="11.5546875" bestFit="1" customWidth="1"/>
    <col min="11009" max="11009" width="35.44140625" bestFit="1" customWidth="1"/>
    <col min="11010" max="11010" width="11.5546875" bestFit="1" customWidth="1"/>
    <col min="11265" max="11265" width="35.44140625" bestFit="1" customWidth="1"/>
    <col min="11266" max="11266" width="11.5546875" bestFit="1" customWidth="1"/>
    <col min="11521" max="11521" width="35.44140625" bestFit="1" customWidth="1"/>
    <col min="11522" max="11522" width="11.5546875" bestFit="1" customWidth="1"/>
    <col min="11777" max="11777" width="35.44140625" bestFit="1" customWidth="1"/>
    <col min="11778" max="11778" width="11.5546875" bestFit="1" customWidth="1"/>
    <col min="12033" max="12033" width="35.44140625" bestFit="1" customWidth="1"/>
    <col min="12034" max="12034" width="11.5546875" bestFit="1" customWidth="1"/>
    <col min="12289" max="12289" width="35.44140625" bestFit="1" customWidth="1"/>
    <col min="12290" max="12290" width="11.5546875" bestFit="1" customWidth="1"/>
    <col min="12545" max="12545" width="35.44140625" bestFit="1" customWidth="1"/>
    <col min="12546" max="12546" width="11.5546875" bestFit="1" customWidth="1"/>
    <col min="12801" max="12801" width="35.44140625" bestFit="1" customWidth="1"/>
    <col min="12802" max="12802" width="11.5546875" bestFit="1" customWidth="1"/>
    <col min="13057" max="13057" width="35.44140625" bestFit="1" customWidth="1"/>
    <col min="13058" max="13058" width="11.5546875" bestFit="1" customWidth="1"/>
    <col min="13313" max="13313" width="35.44140625" bestFit="1" customWidth="1"/>
    <col min="13314" max="13314" width="11.5546875" bestFit="1" customWidth="1"/>
    <col min="13569" max="13569" width="35.44140625" bestFit="1" customWidth="1"/>
    <col min="13570" max="13570" width="11.5546875" bestFit="1" customWidth="1"/>
    <col min="13825" max="13825" width="35.44140625" bestFit="1" customWidth="1"/>
    <col min="13826" max="13826" width="11.5546875" bestFit="1" customWidth="1"/>
    <col min="14081" max="14081" width="35.44140625" bestFit="1" customWidth="1"/>
    <col min="14082" max="14082" width="11.5546875" bestFit="1" customWidth="1"/>
    <col min="14337" max="14337" width="35.44140625" bestFit="1" customWidth="1"/>
    <col min="14338" max="14338" width="11.5546875" bestFit="1" customWidth="1"/>
    <col min="14593" max="14593" width="35.44140625" bestFit="1" customWidth="1"/>
    <col min="14594" max="14594" width="11.5546875" bestFit="1" customWidth="1"/>
    <col min="14849" max="14849" width="35.44140625" bestFit="1" customWidth="1"/>
    <col min="14850" max="14850" width="11.5546875" bestFit="1" customWidth="1"/>
    <col min="15105" max="15105" width="35.44140625" bestFit="1" customWidth="1"/>
    <col min="15106" max="15106" width="11.5546875" bestFit="1" customWidth="1"/>
    <col min="15361" max="15361" width="35.44140625" bestFit="1" customWidth="1"/>
    <col min="15362" max="15362" width="11.5546875" bestFit="1" customWidth="1"/>
    <col min="15617" max="15617" width="35.44140625" bestFit="1" customWidth="1"/>
    <col min="15618" max="15618" width="11.5546875" bestFit="1" customWidth="1"/>
    <col min="15873" max="15873" width="35.44140625" bestFit="1" customWidth="1"/>
    <col min="15874" max="15874" width="11.5546875" bestFit="1" customWidth="1"/>
    <col min="16129" max="16129" width="35.44140625" bestFit="1" customWidth="1"/>
    <col min="16130" max="16130" width="11.5546875" bestFit="1" customWidth="1"/>
  </cols>
  <sheetData>
    <row r="1" spans="1:5" ht="57.6" x14ac:dyDescent="0.3">
      <c r="A1" s="118" t="str">
        <f>"If your retirement account shows "&amp;DOLLAR(B2)&amp;" on the day that you retire and you plan to live to be "&amp;B6&amp;" (you are "&amp;B5&amp;" now), how much can you withdraw at the beginning of each month if you can invest in a "&amp;B7&amp;" year bond fund that yields "&amp;TEXT(B3,"0.00%")&amp;" compounded monthly?"</f>
        <v>If your retirement account shows $312,000.00 on the day that you retire and you plan to live to be 100 (you are 70 now), how much can you withdraw at the beginning of each month if you can invest in a 30 year bond fund that yields 5.00% compounded monthly?</v>
      </c>
      <c r="B1" s="95"/>
      <c r="C1" s="95"/>
      <c r="D1" s="92"/>
    </row>
    <row r="2" spans="1:5" x14ac:dyDescent="0.3">
      <c r="A2" s="38" t="s">
        <v>101</v>
      </c>
      <c r="B2" s="61">
        <v>312000</v>
      </c>
    </row>
    <row r="3" spans="1:5" x14ac:dyDescent="0.3">
      <c r="A3" s="1" t="s">
        <v>112</v>
      </c>
      <c r="B3" s="34">
        <v>0.05</v>
      </c>
      <c r="D3" t="s">
        <v>160</v>
      </c>
    </row>
    <row r="4" spans="1:5" x14ac:dyDescent="0.3">
      <c r="A4" s="1" t="s">
        <v>113</v>
      </c>
      <c r="B4" s="1">
        <v>12</v>
      </c>
    </row>
    <row r="5" spans="1:5" x14ac:dyDescent="0.3">
      <c r="A5" s="1" t="s">
        <v>106</v>
      </c>
      <c r="B5" s="1">
        <v>70</v>
      </c>
    </row>
    <row r="6" spans="1:5" x14ac:dyDescent="0.3">
      <c r="A6" s="1" t="s">
        <v>114</v>
      </c>
      <c r="B6" s="1">
        <v>100</v>
      </c>
    </row>
    <row r="7" spans="1:5" x14ac:dyDescent="0.3">
      <c r="A7" s="1" t="s">
        <v>76</v>
      </c>
      <c r="B7" s="1">
        <f>B6-B5</f>
        <v>30</v>
      </c>
    </row>
    <row r="8" spans="1:5" x14ac:dyDescent="0.3">
      <c r="A8" s="1" t="s">
        <v>96</v>
      </c>
      <c r="B8" s="56"/>
    </row>
    <row r="9" spans="1:5" x14ac:dyDescent="0.3">
      <c r="A9" s="1" t="s">
        <v>96</v>
      </c>
      <c r="B9" s="57"/>
      <c r="C9" t="s">
        <v>212</v>
      </c>
    </row>
    <row r="10" spans="1:5" x14ac:dyDescent="0.3">
      <c r="A10" s="1" t="s">
        <v>81</v>
      </c>
      <c r="B10" s="45" t="str">
        <f>IF(B9="","","If your retirement account shows "&amp;DOLLAR(B2)&amp;" on the day that you retire and you plan to live to be "&amp;B6&amp;" (you are "&amp;B5&amp;" now), you can withdraw "&amp;DOLLAR(B9)&amp;" at the beginning of each month if you can invest in a "&amp;B7&amp;" year bond fund that yields "&amp;TEXT(B3,"0.00%")&amp;" compounded monthly?")</f>
        <v/>
      </c>
      <c r="C10" s="46"/>
      <c r="D10" s="46"/>
      <c r="E10" s="47"/>
    </row>
    <row r="12" spans="1:5" x14ac:dyDescent="0.3">
      <c r="A12" t="s">
        <v>211</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E12"/>
  <sheetViews>
    <sheetView workbookViewId="0"/>
  </sheetViews>
  <sheetFormatPr defaultRowHeight="14.4" x14ac:dyDescent="0.3"/>
  <cols>
    <col min="1" max="1" width="35.44140625" bestFit="1" customWidth="1"/>
    <col min="2" max="2" width="11.5546875" bestFit="1" customWidth="1"/>
    <col min="257" max="257" width="35.44140625" bestFit="1" customWidth="1"/>
    <col min="258" max="258" width="11.5546875" bestFit="1" customWidth="1"/>
    <col min="513" max="513" width="35.44140625" bestFit="1" customWidth="1"/>
    <col min="514" max="514" width="11.5546875" bestFit="1" customWidth="1"/>
    <col min="769" max="769" width="35.44140625" bestFit="1" customWidth="1"/>
    <col min="770" max="770" width="11.5546875" bestFit="1" customWidth="1"/>
    <col min="1025" max="1025" width="35.44140625" bestFit="1" customWidth="1"/>
    <col min="1026" max="1026" width="11.5546875" bestFit="1" customWidth="1"/>
    <col min="1281" max="1281" width="35.44140625" bestFit="1" customWidth="1"/>
    <col min="1282" max="1282" width="11.5546875" bestFit="1" customWidth="1"/>
    <col min="1537" max="1537" width="35.44140625" bestFit="1" customWidth="1"/>
    <col min="1538" max="1538" width="11.5546875" bestFit="1" customWidth="1"/>
    <col min="1793" max="1793" width="35.44140625" bestFit="1" customWidth="1"/>
    <col min="1794" max="1794" width="11.5546875" bestFit="1" customWidth="1"/>
    <col min="2049" max="2049" width="35.44140625" bestFit="1" customWidth="1"/>
    <col min="2050" max="2050" width="11.5546875" bestFit="1" customWidth="1"/>
    <col min="2305" max="2305" width="35.44140625" bestFit="1" customWidth="1"/>
    <col min="2306" max="2306" width="11.5546875" bestFit="1" customWidth="1"/>
    <col min="2561" max="2561" width="35.44140625" bestFit="1" customWidth="1"/>
    <col min="2562" max="2562" width="11.5546875" bestFit="1" customWidth="1"/>
    <col min="2817" max="2817" width="35.44140625" bestFit="1" customWidth="1"/>
    <col min="2818" max="2818" width="11.5546875" bestFit="1" customWidth="1"/>
    <col min="3073" max="3073" width="35.44140625" bestFit="1" customWidth="1"/>
    <col min="3074" max="3074" width="11.5546875" bestFit="1" customWidth="1"/>
    <col min="3329" max="3329" width="35.44140625" bestFit="1" customWidth="1"/>
    <col min="3330" max="3330" width="11.5546875" bestFit="1" customWidth="1"/>
    <col min="3585" max="3585" width="35.44140625" bestFit="1" customWidth="1"/>
    <col min="3586" max="3586" width="11.5546875" bestFit="1" customWidth="1"/>
    <col min="3841" max="3841" width="35.44140625" bestFit="1" customWidth="1"/>
    <col min="3842" max="3842" width="11.5546875" bestFit="1" customWidth="1"/>
    <col min="4097" max="4097" width="35.44140625" bestFit="1" customWidth="1"/>
    <col min="4098" max="4098" width="11.5546875" bestFit="1" customWidth="1"/>
    <col min="4353" max="4353" width="35.44140625" bestFit="1" customWidth="1"/>
    <col min="4354" max="4354" width="11.5546875" bestFit="1" customWidth="1"/>
    <col min="4609" max="4609" width="35.44140625" bestFit="1" customWidth="1"/>
    <col min="4610" max="4610" width="11.5546875" bestFit="1" customWidth="1"/>
    <col min="4865" max="4865" width="35.44140625" bestFit="1" customWidth="1"/>
    <col min="4866" max="4866" width="11.5546875" bestFit="1" customWidth="1"/>
    <col min="5121" max="5121" width="35.44140625" bestFit="1" customWidth="1"/>
    <col min="5122" max="5122" width="11.5546875" bestFit="1" customWidth="1"/>
    <col min="5377" max="5377" width="35.44140625" bestFit="1" customWidth="1"/>
    <col min="5378" max="5378" width="11.5546875" bestFit="1" customWidth="1"/>
    <col min="5633" max="5633" width="35.44140625" bestFit="1" customWidth="1"/>
    <col min="5634" max="5634" width="11.5546875" bestFit="1" customWidth="1"/>
    <col min="5889" max="5889" width="35.44140625" bestFit="1" customWidth="1"/>
    <col min="5890" max="5890" width="11.5546875" bestFit="1" customWidth="1"/>
    <col min="6145" max="6145" width="35.44140625" bestFit="1" customWidth="1"/>
    <col min="6146" max="6146" width="11.5546875" bestFit="1" customWidth="1"/>
    <col min="6401" max="6401" width="35.44140625" bestFit="1" customWidth="1"/>
    <col min="6402" max="6402" width="11.5546875" bestFit="1" customWidth="1"/>
    <col min="6657" max="6657" width="35.44140625" bestFit="1" customWidth="1"/>
    <col min="6658" max="6658" width="11.5546875" bestFit="1" customWidth="1"/>
    <col min="6913" max="6913" width="35.44140625" bestFit="1" customWidth="1"/>
    <col min="6914" max="6914" width="11.5546875" bestFit="1" customWidth="1"/>
    <col min="7169" max="7169" width="35.44140625" bestFit="1" customWidth="1"/>
    <col min="7170" max="7170" width="11.5546875" bestFit="1" customWidth="1"/>
    <col min="7425" max="7425" width="35.44140625" bestFit="1" customWidth="1"/>
    <col min="7426" max="7426" width="11.5546875" bestFit="1" customWidth="1"/>
    <col min="7681" max="7681" width="35.44140625" bestFit="1" customWidth="1"/>
    <col min="7682" max="7682" width="11.5546875" bestFit="1" customWidth="1"/>
    <col min="7937" max="7937" width="35.44140625" bestFit="1" customWidth="1"/>
    <col min="7938" max="7938" width="11.5546875" bestFit="1" customWidth="1"/>
    <col min="8193" max="8193" width="35.44140625" bestFit="1" customWidth="1"/>
    <col min="8194" max="8194" width="11.5546875" bestFit="1" customWidth="1"/>
    <col min="8449" max="8449" width="35.44140625" bestFit="1" customWidth="1"/>
    <col min="8450" max="8450" width="11.5546875" bestFit="1" customWidth="1"/>
    <col min="8705" max="8705" width="35.44140625" bestFit="1" customWidth="1"/>
    <col min="8706" max="8706" width="11.5546875" bestFit="1" customWidth="1"/>
    <col min="8961" max="8961" width="35.44140625" bestFit="1" customWidth="1"/>
    <col min="8962" max="8962" width="11.5546875" bestFit="1" customWidth="1"/>
    <col min="9217" max="9217" width="35.44140625" bestFit="1" customWidth="1"/>
    <col min="9218" max="9218" width="11.5546875" bestFit="1" customWidth="1"/>
    <col min="9473" max="9473" width="35.44140625" bestFit="1" customWidth="1"/>
    <col min="9474" max="9474" width="11.5546875" bestFit="1" customWidth="1"/>
    <col min="9729" max="9729" width="35.44140625" bestFit="1" customWidth="1"/>
    <col min="9730" max="9730" width="11.5546875" bestFit="1" customWidth="1"/>
    <col min="9985" max="9985" width="35.44140625" bestFit="1" customWidth="1"/>
    <col min="9986" max="9986" width="11.5546875" bestFit="1" customWidth="1"/>
    <col min="10241" max="10241" width="35.44140625" bestFit="1" customWidth="1"/>
    <col min="10242" max="10242" width="11.5546875" bestFit="1" customWidth="1"/>
    <col min="10497" max="10497" width="35.44140625" bestFit="1" customWidth="1"/>
    <col min="10498" max="10498" width="11.5546875" bestFit="1" customWidth="1"/>
    <col min="10753" max="10753" width="35.44140625" bestFit="1" customWidth="1"/>
    <col min="10754" max="10754" width="11.5546875" bestFit="1" customWidth="1"/>
    <col min="11009" max="11009" width="35.44140625" bestFit="1" customWidth="1"/>
    <col min="11010" max="11010" width="11.5546875" bestFit="1" customWidth="1"/>
    <col min="11265" max="11265" width="35.44140625" bestFit="1" customWidth="1"/>
    <col min="11266" max="11266" width="11.5546875" bestFit="1" customWidth="1"/>
    <col min="11521" max="11521" width="35.44140625" bestFit="1" customWidth="1"/>
    <col min="11522" max="11522" width="11.5546875" bestFit="1" customWidth="1"/>
    <col min="11777" max="11777" width="35.44140625" bestFit="1" customWidth="1"/>
    <col min="11778" max="11778" width="11.5546875" bestFit="1" customWidth="1"/>
    <col min="12033" max="12033" width="35.44140625" bestFit="1" customWidth="1"/>
    <col min="12034" max="12034" width="11.5546875" bestFit="1" customWidth="1"/>
    <col min="12289" max="12289" width="35.44140625" bestFit="1" customWidth="1"/>
    <col min="12290" max="12290" width="11.5546875" bestFit="1" customWidth="1"/>
    <col min="12545" max="12545" width="35.44140625" bestFit="1" customWidth="1"/>
    <col min="12546" max="12546" width="11.5546875" bestFit="1" customWidth="1"/>
    <col min="12801" max="12801" width="35.44140625" bestFit="1" customWidth="1"/>
    <col min="12802" max="12802" width="11.5546875" bestFit="1" customWidth="1"/>
    <col min="13057" max="13057" width="35.44140625" bestFit="1" customWidth="1"/>
    <col min="13058" max="13058" width="11.5546875" bestFit="1" customWidth="1"/>
    <col min="13313" max="13313" width="35.44140625" bestFit="1" customWidth="1"/>
    <col min="13314" max="13314" width="11.5546875" bestFit="1" customWidth="1"/>
    <col min="13569" max="13569" width="35.44140625" bestFit="1" customWidth="1"/>
    <col min="13570" max="13570" width="11.5546875" bestFit="1" customWidth="1"/>
    <col min="13825" max="13825" width="35.44140625" bestFit="1" customWidth="1"/>
    <col min="13826" max="13826" width="11.5546875" bestFit="1" customWidth="1"/>
    <col min="14081" max="14081" width="35.44140625" bestFit="1" customWidth="1"/>
    <col min="14082" max="14082" width="11.5546875" bestFit="1" customWidth="1"/>
    <col min="14337" max="14337" width="35.44140625" bestFit="1" customWidth="1"/>
    <col min="14338" max="14338" width="11.5546875" bestFit="1" customWidth="1"/>
    <col min="14593" max="14593" width="35.44140625" bestFit="1" customWidth="1"/>
    <col min="14594" max="14594" width="11.5546875" bestFit="1" customWidth="1"/>
    <col min="14849" max="14849" width="35.44140625" bestFit="1" customWidth="1"/>
    <col min="14850" max="14850" width="11.5546875" bestFit="1" customWidth="1"/>
    <col min="15105" max="15105" width="35.44140625" bestFit="1" customWidth="1"/>
    <col min="15106" max="15106" width="11.5546875" bestFit="1" customWidth="1"/>
    <col min="15361" max="15361" width="35.44140625" bestFit="1" customWidth="1"/>
    <col min="15362" max="15362" width="11.5546875" bestFit="1" customWidth="1"/>
    <col min="15617" max="15617" width="35.44140625" bestFit="1" customWidth="1"/>
    <col min="15618" max="15618" width="11.5546875" bestFit="1" customWidth="1"/>
    <col min="15873" max="15873" width="35.44140625" bestFit="1" customWidth="1"/>
    <col min="15874" max="15874" width="11.5546875" bestFit="1" customWidth="1"/>
    <col min="16129" max="16129" width="35.44140625" bestFit="1" customWidth="1"/>
    <col min="16130" max="16130" width="11.5546875" bestFit="1" customWidth="1"/>
  </cols>
  <sheetData>
    <row r="1" spans="1:5" ht="57.6" x14ac:dyDescent="0.3">
      <c r="A1" s="118" t="str">
        <f>"If your retirement account shows "&amp;DOLLAR(B2)&amp;" on the day that you retire and you plan to live to be "&amp;B6&amp;" (you are "&amp;B5&amp;" now), how much can you withdraw at the beginning of each month if you can invest in a "&amp;B7&amp;" year bond fund that yields "&amp;TEXT(B3,"0.00%")&amp;" compounded monthly?"</f>
        <v>If your retirement account shows $312,000.00 on the day that you retire and you plan to live to be 100 (you are 70 now), how much can you withdraw at the beginning of each month if you can invest in a 30 year bond fund that yields 5.00% compounded monthly?</v>
      </c>
      <c r="B1" s="95"/>
      <c r="C1" s="95"/>
      <c r="D1" s="92"/>
    </row>
    <row r="2" spans="1:5" x14ac:dyDescent="0.3">
      <c r="A2" s="38" t="s">
        <v>101</v>
      </c>
      <c r="B2" s="61">
        <v>312000</v>
      </c>
    </row>
    <row r="3" spans="1:5" x14ac:dyDescent="0.3">
      <c r="A3" s="1" t="s">
        <v>112</v>
      </c>
      <c r="B3" s="34">
        <v>0.05</v>
      </c>
      <c r="D3" t="s">
        <v>160</v>
      </c>
    </row>
    <row r="4" spans="1:5" x14ac:dyDescent="0.3">
      <c r="A4" s="1" t="s">
        <v>113</v>
      </c>
      <c r="B4" s="1">
        <v>12</v>
      </c>
    </row>
    <row r="5" spans="1:5" x14ac:dyDescent="0.3">
      <c r="A5" s="1" t="s">
        <v>106</v>
      </c>
      <c r="B5" s="1">
        <v>70</v>
      </c>
    </row>
    <row r="6" spans="1:5" x14ac:dyDescent="0.3">
      <c r="A6" s="1" t="s">
        <v>114</v>
      </c>
      <c r="B6" s="1">
        <v>100</v>
      </c>
    </row>
    <row r="7" spans="1:5" x14ac:dyDescent="0.3">
      <c r="A7" s="1" t="s">
        <v>76</v>
      </c>
      <c r="B7" s="1">
        <f>B6-B5</f>
        <v>30</v>
      </c>
    </row>
    <row r="8" spans="1:5" x14ac:dyDescent="0.3">
      <c r="A8" s="1" t="s">
        <v>96</v>
      </c>
      <c r="B8" s="56"/>
    </row>
    <row r="9" spans="1:5" x14ac:dyDescent="0.3">
      <c r="A9" s="1" t="s">
        <v>96</v>
      </c>
      <c r="B9" s="57">
        <f>PMT(B3/B4,B7*B4,-B2,,1)</f>
        <v>1667.9337398817001</v>
      </c>
      <c r="C9" t="s">
        <v>212</v>
      </c>
    </row>
    <row r="10" spans="1:5" ht="98.25" customHeight="1" x14ac:dyDescent="0.3">
      <c r="A10" s="1" t="s">
        <v>81</v>
      </c>
      <c r="B10" s="45" t="str">
        <f>IF(B9="","","If your retirement account shows "&amp;DOLLAR(B2)&amp;" on the day that you retire and you plan to live to be "&amp;B6&amp;" (you are "&amp;B5&amp;" now), you can withdraw "&amp;DOLLAR(B9)&amp;" at the beginning of each month if you can invest in a "&amp;B7&amp;" year bond fund that yields "&amp;TEXT(B3,"0.00%")&amp;" compounded monthly?")</f>
        <v>If your retirement account shows $312,000.00 on the day that you retire and you plan to live to be 100 (you are 70 now), you can withdraw $1,667.93 at the beginning of each month if you can invest in a 30 year bond fund that yields 5.00% compounded monthly?</v>
      </c>
      <c r="C10" s="46"/>
      <c r="D10" s="46"/>
      <c r="E10" s="47"/>
    </row>
    <row r="12" spans="1:5" x14ac:dyDescent="0.3">
      <c r="A12" t="s">
        <v>211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00FF"/>
  </sheetPr>
  <dimension ref="A1:F9"/>
  <sheetViews>
    <sheetView zoomScale="145" zoomScaleNormal="145" workbookViewId="0"/>
  </sheetViews>
  <sheetFormatPr defaultRowHeight="14.4" x14ac:dyDescent="0.3"/>
  <cols>
    <col min="1" max="1" width="26" customWidth="1"/>
    <col min="2" max="2" width="15.109375" customWidth="1"/>
    <col min="6" max="6" width="12.77734375" bestFit="1" customWidth="1"/>
    <col min="257" max="257" width="26" customWidth="1"/>
    <col min="258" max="258" width="15.109375" customWidth="1"/>
    <col min="262" max="262" width="11.88671875" bestFit="1" customWidth="1"/>
    <col min="513" max="513" width="26" customWidth="1"/>
    <col min="514" max="514" width="15.109375" customWidth="1"/>
    <col min="518" max="518" width="11.88671875" bestFit="1" customWidth="1"/>
    <col min="769" max="769" width="26" customWidth="1"/>
    <col min="770" max="770" width="15.109375" customWidth="1"/>
    <col min="774" max="774" width="11.88671875" bestFit="1" customWidth="1"/>
    <col min="1025" max="1025" width="26" customWidth="1"/>
    <col min="1026" max="1026" width="15.109375" customWidth="1"/>
    <col min="1030" max="1030" width="11.88671875" bestFit="1" customWidth="1"/>
    <col min="1281" max="1281" width="26" customWidth="1"/>
    <col min="1282" max="1282" width="15.109375" customWidth="1"/>
    <col min="1286" max="1286" width="11.88671875" bestFit="1" customWidth="1"/>
    <col min="1537" max="1537" width="26" customWidth="1"/>
    <col min="1538" max="1538" width="15.109375" customWidth="1"/>
    <col min="1542" max="1542" width="11.88671875" bestFit="1" customWidth="1"/>
    <col min="1793" max="1793" width="26" customWidth="1"/>
    <col min="1794" max="1794" width="15.109375" customWidth="1"/>
    <col min="1798" max="1798" width="11.88671875" bestFit="1" customWidth="1"/>
    <col min="2049" max="2049" width="26" customWidth="1"/>
    <col min="2050" max="2050" width="15.109375" customWidth="1"/>
    <col min="2054" max="2054" width="11.88671875" bestFit="1" customWidth="1"/>
    <col min="2305" max="2305" width="26" customWidth="1"/>
    <col min="2306" max="2306" width="15.109375" customWidth="1"/>
    <col min="2310" max="2310" width="11.88671875" bestFit="1" customWidth="1"/>
    <col min="2561" max="2561" width="26" customWidth="1"/>
    <col min="2562" max="2562" width="15.109375" customWidth="1"/>
    <col min="2566" max="2566" width="11.88671875" bestFit="1" customWidth="1"/>
    <col min="2817" max="2817" width="26" customWidth="1"/>
    <col min="2818" max="2818" width="15.109375" customWidth="1"/>
    <col min="2822" max="2822" width="11.88671875" bestFit="1" customWidth="1"/>
    <col min="3073" max="3073" width="26" customWidth="1"/>
    <col min="3074" max="3074" width="15.109375" customWidth="1"/>
    <col min="3078" max="3078" width="11.88671875" bestFit="1" customWidth="1"/>
    <col min="3329" max="3329" width="26" customWidth="1"/>
    <col min="3330" max="3330" width="15.109375" customWidth="1"/>
    <col min="3334" max="3334" width="11.88671875" bestFit="1" customWidth="1"/>
    <col min="3585" max="3585" width="26" customWidth="1"/>
    <col min="3586" max="3586" width="15.109375" customWidth="1"/>
    <col min="3590" max="3590" width="11.88671875" bestFit="1" customWidth="1"/>
    <col min="3841" max="3841" width="26" customWidth="1"/>
    <col min="3842" max="3842" width="15.109375" customWidth="1"/>
    <col min="3846" max="3846" width="11.88671875" bestFit="1" customWidth="1"/>
    <col min="4097" max="4097" width="26" customWidth="1"/>
    <col min="4098" max="4098" width="15.109375" customWidth="1"/>
    <col min="4102" max="4102" width="11.88671875" bestFit="1" customWidth="1"/>
    <col min="4353" max="4353" width="26" customWidth="1"/>
    <col min="4354" max="4354" width="15.109375" customWidth="1"/>
    <col min="4358" max="4358" width="11.88671875" bestFit="1" customWidth="1"/>
    <col min="4609" max="4609" width="26" customWidth="1"/>
    <col min="4610" max="4610" width="15.109375" customWidth="1"/>
    <col min="4614" max="4614" width="11.88671875" bestFit="1" customWidth="1"/>
    <col min="4865" max="4865" width="26" customWidth="1"/>
    <col min="4866" max="4866" width="15.109375" customWidth="1"/>
    <col min="4870" max="4870" width="11.88671875" bestFit="1" customWidth="1"/>
    <col min="5121" max="5121" width="26" customWidth="1"/>
    <col min="5122" max="5122" width="15.109375" customWidth="1"/>
    <col min="5126" max="5126" width="11.88671875" bestFit="1" customWidth="1"/>
    <col min="5377" max="5377" width="26" customWidth="1"/>
    <col min="5378" max="5378" width="15.109375" customWidth="1"/>
    <col min="5382" max="5382" width="11.88671875" bestFit="1" customWidth="1"/>
    <col min="5633" max="5633" width="26" customWidth="1"/>
    <col min="5634" max="5634" width="15.109375" customWidth="1"/>
    <col min="5638" max="5638" width="11.88671875" bestFit="1" customWidth="1"/>
    <col min="5889" max="5889" width="26" customWidth="1"/>
    <col min="5890" max="5890" width="15.109375" customWidth="1"/>
    <col min="5894" max="5894" width="11.88671875" bestFit="1" customWidth="1"/>
    <col min="6145" max="6145" width="26" customWidth="1"/>
    <col min="6146" max="6146" width="15.109375" customWidth="1"/>
    <col min="6150" max="6150" width="11.88671875" bestFit="1" customWidth="1"/>
    <col min="6401" max="6401" width="26" customWidth="1"/>
    <col min="6402" max="6402" width="15.109375" customWidth="1"/>
    <col min="6406" max="6406" width="11.88671875" bestFit="1" customWidth="1"/>
    <col min="6657" max="6657" width="26" customWidth="1"/>
    <col min="6658" max="6658" width="15.109375" customWidth="1"/>
    <col min="6662" max="6662" width="11.88671875" bestFit="1" customWidth="1"/>
    <col min="6913" max="6913" width="26" customWidth="1"/>
    <col min="6914" max="6914" width="15.109375" customWidth="1"/>
    <col min="6918" max="6918" width="11.88671875" bestFit="1" customWidth="1"/>
    <col min="7169" max="7169" width="26" customWidth="1"/>
    <col min="7170" max="7170" width="15.109375" customWidth="1"/>
    <col min="7174" max="7174" width="11.88671875" bestFit="1" customWidth="1"/>
    <col min="7425" max="7425" width="26" customWidth="1"/>
    <col min="7426" max="7426" width="15.109375" customWidth="1"/>
    <col min="7430" max="7430" width="11.88671875" bestFit="1" customWidth="1"/>
    <col min="7681" max="7681" width="26" customWidth="1"/>
    <col min="7682" max="7682" width="15.109375" customWidth="1"/>
    <col min="7686" max="7686" width="11.88671875" bestFit="1" customWidth="1"/>
    <col min="7937" max="7937" width="26" customWidth="1"/>
    <col min="7938" max="7938" width="15.109375" customWidth="1"/>
    <col min="7942" max="7942" width="11.88671875" bestFit="1" customWidth="1"/>
    <col min="8193" max="8193" width="26" customWidth="1"/>
    <col min="8194" max="8194" width="15.109375" customWidth="1"/>
    <col min="8198" max="8198" width="11.88671875" bestFit="1" customWidth="1"/>
    <col min="8449" max="8449" width="26" customWidth="1"/>
    <col min="8450" max="8450" width="15.109375" customWidth="1"/>
    <col min="8454" max="8454" width="11.88671875" bestFit="1" customWidth="1"/>
    <col min="8705" max="8705" width="26" customWidth="1"/>
    <col min="8706" max="8706" width="15.109375" customWidth="1"/>
    <col min="8710" max="8710" width="11.88671875" bestFit="1" customWidth="1"/>
    <col min="8961" max="8961" width="26" customWidth="1"/>
    <col min="8962" max="8962" width="15.109375" customWidth="1"/>
    <col min="8966" max="8966" width="11.88671875" bestFit="1" customWidth="1"/>
    <col min="9217" max="9217" width="26" customWidth="1"/>
    <col min="9218" max="9218" width="15.109375" customWidth="1"/>
    <col min="9222" max="9222" width="11.88671875" bestFit="1" customWidth="1"/>
    <col min="9473" max="9473" width="26" customWidth="1"/>
    <col min="9474" max="9474" width="15.109375" customWidth="1"/>
    <col min="9478" max="9478" width="11.88671875" bestFit="1" customWidth="1"/>
    <col min="9729" max="9729" width="26" customWidth="1"/>
    <col min="9730" max="9730" width="15.109375" customWidth="1"/>
    <col min="9734" max="9734" width="11.88671875" bestFit="1" customWidth="1"/>
    <col min="9985" max="9985" width="26" customWidth="1"/>
    <col min="9986" max="9986" width="15.109375" customWidth="1"/>
    <col min="9990" max="9990" width="11.88671875" bestFit="1" customWidth="1"/>
    <col min="10241" max="10241" width="26" customWidth="1"/>
    <col min="10242" max="10242" width="15.109375" customWidth="1"/>
    <col min="10246" max="10246" width="11.88671875" bestFit="1" customWidth="1"/>
    <col min="10497" max="10497" width="26" customWidth="1"/>
    <col min="10498" max="10498" width="15.109375" customWidth="1"/>
    <col min="10502" max="10502" width="11.88671875" bestFit="1" customWidth="1"/>
    <col min="10753" max="10753" width="26" customWidth="1"/>
    <col min="10754" max="10754" width="15.109375" customWidth="1"/>
    <col min="10758" max="10758" width="11.88671875" bestFit="1" customWidth="1"/>
    <col min="11009" max="11009" width="26" customWidth="1"/>
    <col min="11010" max="11010" width="15.109375" customWidth="1"/>
    <col min="11014" max="11014" width="11.88671875" bestFit="1" customWidth="1"/>
    <col min="11265" max="11265" width="26" customWidth="1"/>
    <col min="11266" max="11266" width="15.109375" customWidth="1"/>
    <col min="11270" max="11270" width="11.88671875" bestFit="1" customWidth="1"/>
    <col min="11521" max="11521" width="26" customWidth="1"/>
    <col min="11522" max="11522" width="15.109375" customWidth="1"/>
    <col min="11526" max="11526" width="11.88671875" bestFit="1" customWidth="1"/>
    <col min="11777" max="11777" width="26" customWidth="1"/>
    <col min="11778" max="11778" width="15.109375" customWidth="1"/>
    <col min="11782" max="11782" width="11.88671875" bestFit="1" customWidth="1"/>
    <col min="12033" max="12033" width="26" customWidth="1"/>
    <col min="12034" max="12034" width="15.109375" customWidth="1"/>
    <col min="12038" max="12038" width="11.88671875" bestFit="1" customWidth="1"/>
    <col min="12289" max="12289" width="26" customWidth="1"/>
    <col min="12290" max="12290" width="15.109375" customWidth="1"/>
    <col min="12294" max="12294" width="11.88671875" bestFit="1" customWidth="1"/>
    <col min="12545" max="12545" width="26" customWidth="1"/>
    <col min="12546" max="12546" width="15.109375" customWidth="1"/>
    <col min="12550" max="12550" width="11.88671875" bestFit="1" customWidth="1"/>
    <col min="12801" max="12801" width="26" customWidth="1"/>
    <col min="12802" max="12802" width="15.109375" customWidth="1"/>
    <col min="12806" max="12806" width="11.88671875" bestFit="1" customWidth="1"/>
    <col min="13057" max="13057" width="26" customWidth="1"/>
    <col min="13058" max="13058" width="15.109375" customWidth="1"/>
    <col min="13062" max="13062" width="11.88671875" bestFit="1" customWidth="1"/>
    <col min="13313" max="13313" width="26" customWidth="1"/>
    <col min="13314" max="13314" width="15.109375" customWidth="1"/>
    <col min="13318" max="13318" width="11.88671875" bestFit="1" customWidth="1"/>
    <col min="13569" max="13569" width="26" customWidth="1"/>
    <col min="13570" max="13570" width="15.109375" customWidth="1"/>
    <col min="13574" max="13574" width="11.88671875" bestFit="1" customWidth="1"/>
    <col min="13825" max="13825" width="26" customWidth="1"/>
    <col min="13826" max="13826" width="15.109375" customWidth="1"/>
    <col min="13830" max="13830" width="11.88671875" bestFit="1" customWidth="1"/>
    <col min="14081" max="14081" width="26" customWidth="1"/>
    <col min="14082" max="14082" width="15.109375" customWidth="1"/>
    <col min="14086" max="14086" width="11.88671875" bestFit="1" customWidth="1"/>
    <col min="14337" max="14337" width="26" customWidth="1"/>
    <col min="14338" max="14338" width="15.109375" customWidth="1"/>
    <col min="14342" max="14342" width="11.88671875" bestFit="1" customWidth="1"/>
    <col min="14593" max="14593" width="26" customWidth="1"/>
    <col min="14594" max="14594" width="15.109375" customWidth="1"/>
    <col min="14598" max="14598" width="11.88671875" bestFit="1" customWidth="1"/>
    <col min="14849" max="14849" width="26" customWidth="1"/>
    <col min="14850" max="14850" width="15.109375" customWidth="1"/>
    <col min="14854" max="14854" width="11.88671875" bestFit="1" customWidth="1"/>
    <col min="15105" max="15105" width="26" customWidth="1"/>
    <col min="15106" max="15106" width="15.109375" customWidth="1"/>
    <col min="15110" max="15110" width="11.88671875" bestFit="1" customWidth="1"/>
    <col min="15361" max="15361" width="26" customWidth="1"/>
    <col min="15362" max="15362" width="15.109375" customWidth="1"/>
    <col min="15366" max="15366" width="11.88671875" bestFit="1" customWidth="1"/>
    <col min="15617" max="15617" width="26" customWidth="1"/>
    <col min="15618" max="15618" width="15.109375" customWidth="1"/>
    <col min="15622" max="15622" width="11.88671875" bestFit="1" customWidth="1"/>
    <col min="15873" max="15873" width="26" customWidth="1"/>
    <col min="15874" max="15874" width="15.109375" customWidth="1"/>
    <col min="15878" max="15878" width="11.88671875" bestFit="1" customWidth="1"/>
    <col min="16129" max="16129" width="26" customWidth="1"/>
    <col min="16130" max="16130" width="15.109375" customWidth="1"/>
    <col min="16134" max="16134" width="11.88671875" bestFit="1" customWidth="1"/>
  </cols>
  <sheetData>
    <row r="1" spans="1:6" ht="28.8" x14ac:dyDescent="0.3">
      <c r="A1" s="25" t="s">
        <v>115</v>
      </c>
      <c r="B1" s="25"/>
    </row>
    <row r="2" spans="1:6" x14ac:dyDescent="0.3">
      <c r="A2" s="1" t="s">
        <v>116</v>
      </c>
      <c r="B2" s="1">
        <v>230000</v>
      </c>
      <c r="F2" t="s">
        <v>87</v>
      </c>
    </row>
    <row r="3" spans="1:6" x14ac:dyDescent="0.3">
      <c r="A3" s="1" t="s">
        <v>83</v>
      </c>
      <c r="B3" s="1">
        <v>-3250</v>
      </c>
      <c r="F3" s="5">
        <f>PV(B7/B5,B5*B4,-B3)</f>
        <v>-390000</v>
      </c>
    </row>
    <row r="4" spans="1:6" x14ac:dyDescent="0.3">
      <c r="A4" s="1" t="s">
        <v>76</v>
      </c>
      <c r="B4" s="1">
        <v>10</v>
      </c>
    </row>
    <row r="5" spans="1:6" x14ac:dyDescent="0.3">
      <c r="A5" s="1" t="s">
        <v>117</v>
      </c>
      <c r="B5" s="1">
        <v>12</v>
      </c>
    </row>
    <row r="6" spans="1:6" x14ac:dyDescent="0.3">
      <c r="A6" s="1" t="s">
        <v>95</v>
      </c>
      <c r="B6" s="126"/>
    </row>
    <row r="7" spans="1:6" x14ac:dyDescent="0.3">
      <c r="A7" s="1" t="s">
        <v>118</v>
      </c>
      <c r="B7" s="31"/>
    </row>
    <row r="8" spans="1:6" x14ac:dyDescent="0.3">
      <c r="A8" s="1" t="s">
        <v>70</v>
      </c>
      <c r="B8" s="31"/>
    </row>
    <row r="9" spans="1:6" x14ac:dyDescent="0.3">
      <c r="A9" s="1" t="s">
        <v>70</v>
      </c>
      <c r="B9" s="3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9"/>
  <sheetViews>
    <sheetView zoomScale="130" zoomScaleNormal="130" workbookViewId="0"/>
  </sheetViews>
  <sheetFormatPr defaultRowHeight="14.4" x14ac:dyDescent="0.3"/>
  <cols>
    <col min="1" max="1" width="26" customWidth="1"/>
    <col min="2" max="2" width="15.109375" customWidth="1"/>
    <col min="6" max="6" width="28.33203125" customWidth="1"/>
    <col min="257" max="257" width="26" customWidth="1"/>
    <col min="258" max="258" width="15.109375" customWidth="1"/>
    <col min="262" max="262" width="11.88671875" bestFit="1" customWidth="1"/>
    <col min="513" max="513" width="26" customWidth="1"/>
    <col min="514" max="514" width="15.109375" customWidth="1"/>
    <col min="518" max="518" width="11.88671875" bestFit="1" customWidth="1"/>
    <col min="769" max="769" width="26" customWidth="1"/>
    <col min="770" max="770" width="15.109375" customWidth="1"/>
    <col min="774" max="774" width="11.88671875" bestFit="1" customWidth="1"/>
    <col min="1025" max="1025" width="26" customWidth="1"/>
    <col min="1026" max="1026" width="15.109375" customWidth="1"/>
    <col min="1030" max="1030" width="11.88671875" bestFit="1" customWidth="1"/>
    <col min="1281" max="1281" width="26" customWidth="1"/>
    <col min="1282" max="1282" width="15.109375" customWidth="1"/>
    <col min="1286" max="1286" width="11.88671875" bestFit="1" customWidth="1"/>
    <col min="1537" max="1537" width="26" customWidth="1"/>
    <col min="1538" max="1538" width="15.109375" customWidth="1"/>
    <col min="1542" max="1542" width="11.88671875" bestFit="1" customWidth="1"/>
    <col min="1793" max="1793" width="26" customWidth="1"/>
    <col min="1794" max="1794" width="15.109375" customWidth="1"/>
    <col min="1798" max="1798" width="11.88671875" bestFit="1" customWidth="1"/>
    <col min="2049" max="2049" width="26" customWidth="1"/>
    <col min="2050" max="2050" width="15.109375" customWidth="1"/>
    <col min="2054" max="2054" width="11.88671875" bestFit="1" customWidth="1"/>
    <col min="2305" max="2305" width="26" customWidth="1"/>
    <col min="2306" max="2306" width="15.109375" customWidth="1"/>
    <col min="2310" max="2310" width="11.88671875" bestFit="1" customWidth="1"/>
    <col min="2561" max="2561" width="26" customWidth="1"/>
    <col min="2562" max="2562" width="15.109375" customWidth="1"/>
    <col min="2566" max="2566" width="11.88671875" bestFit="1" customWidth="1"/>
    <col min="2817" max="2817" width="26" customWidth="1"/>
    <col min="2818" max="2818" width="15.109375" customWidth="1"/>
    <col min="2822" max="2822" width="11.88671875" bestFit="1" customWidth="1"/>
    <col min="3073" max="3073" width="26" customWidth="1"/>
    <col min="3074" max="3074" width="15.109375" customWidth="1"/>
    <col min="3078" max="3078" width="11.88671875" bestFit="1" customWidth="1"/>
    <col min="3329" max="3329" width="26" customWidth="1"/>
    <col min="3330" max="3330" width="15.109375" customWidth="1"/>
    <col min="3334" max="3334" width="11.88671875" bestFit="1" customWidth="1"/>
    <col min="3585" max="3585" width="26" customWidth="1"/>
    <col min="3586" max="3586" width="15.109375" customWidth="1"/>
    <col min="3590" max="3590" width="11.88671875" bestFit="1" customWidth="1"/>
    <col min="3841" max="3841" width="26" customWidth="1"/>
    <col min="3842" max="3842" width="15.109375" customWidth="1"/>
    <col min="3846" max="3846" width="11.88671875" bestFit="1" customWidth="1"/>
    <col min="4097" max="4097" width="26" customWidth="1"/>
    <col min="4098" max="4098" width="15.109375" customWidth="1"/>
    <col min="4102" max="4102" width="11.88671875" bestFit="1" customWidth="1"/>
    <col min="4353" max="4353" width="26" customWidth="1"/>
    <col min="4354" max="4354" width="15.109375" customWidth="1"/>
    <col min="4358" max="4358" width="11.88671875" bestFit="1" customWidth="1"/>
    <col min="4609" max="4609" width="26" customWidth="1"/>
    <col min="4610" max="4610" width="15.109375" customWidth="1"/>
    <col min="4614" max="4614" width="11.88671875" bestFit="1" customWidth="1"/>
    <col min="4865" max="4865" width="26" customWidth="1"/>
    <col min="4866" max="4866" width="15.109375" customWidth="1"/>
    <col min="4870" max="4870" width="11.88671875" bestFit="1" customWidth="1"/>
    <col min="5121" max="5121" width="26" customWidth="1"/>
    <col min="5122" max="5122" width="15.109375" customWidth="1"/>
    <col min="5126" max="5126" width="11.88671875" bestFit="1" customWidth="1"/>
    <col min="5377" max="5377" width="26" customWidth="1"/>
    <col min="5378" max="5378" width="15.109375" customWidth="1"/>
    <col min="5382" max="5382" width="11.88671875" bestFit="1" customWidth="1"/>
    <col min="5633" max="5633" width="26" customWidth="1"/>
    <col min="5634" max="5634" width="15.109375" customWidth="1"/>
    <col min="5638" max="5638" width="11.88671875" bestFit="1" customWidth="1"/>
    <col min="5889" max="5889" width="26" customWidth="1"/>
    <col min="5890" max="5890" width="15.109375" customWidth="1"/>
    <col min="5894" max="5894" width="11.88671875" bestFit="1" customWidth="1"/>
    <col min="6145" max="6145" width="26" customWidth="1"/>
    <col min="6146" max="6146" width="15.109375" customWidth="1"/>
    <col min="6150" max="6150" width="11.88671875" bestFit="1" customWidth="1"/>
    <col min="6401" max="6401" width="26" customWidth="1"/>
    <col min="6402" max="6402" width="15.109375" customWidth="1"/>
    <col min="6406" max="6406" width="11.88671875" bestFit="1" customWidth="1"/>
    <col min="6657" max="6657" width="26" customWidth="1"/>
    <col min="6658" max="6658" width="15.109375" customWidth="1"/>
    <col min="6662" max="6662" width="11.88671875" bestFit="1" customWidth="1"/>
    <col min="6913" max="6913" width="26" customWidth="1"/>
    <col min="6914" max="6914" width="15.109375" customWidth="1"/>
    <col min="6918" max="6918" width="11.88671875" bestFit="1" customWidth="1"/>
    <col min="7169" max="7169" width="26" customWidth="1"/>
    <col min="7170" max="7170" width="15.109375" customWidth="1"/>
    <col min="7174" max="7174" width="11.88671875" bestFit="1" customWidth="1"/>
    <col min="7425" max="7425" width="26" customWidth="1"/>
    <col min="7426" max="7426" width="15.109375" customWidth="1"/>
    <col min="7430" max="7430" width="11.88671875" bestFit="1" customWidth="1"/>
    <col min="7681" max="7681" width="26" customWidth="1"/>
    <col min="7682" max="7682" width="15.109375" customWidth="1"/>
    <col min="7686" max="7686" width="11.88671875" bestFit="1" customWidth="1"/>
    <col min="7937" max="7937" width="26" customWidth="1"/>
    <col min="7938" max="7938" width="15.109375" customWidth="1"/>
    <col min="7942" max="7942" width="11.88671875" bestFit="1" customWidth="1"/>
    <col min="8193" max="8193" width="26" customWidth="1"/>
    <col min="8194" max="8194" width="15.109375" customWidth="1"/>
    <col min="8198" max="8198" width="11.88671875" bestFit="1" customWidth="1"/>
    <col min="8449" max="8449" width="26" customWidth="1"/>
    <col min="8450" max="8450" width="15.109375" customWidth="1"/>
    <col min="8454" max="8454" width="11.88671875" bestFit="1" customWidth="1"/>
    <col min="8705" max="8705" width="26" customWidth="1"/>
    <col min="8706" max="8706" width="15.109375" customWidth="1"/>
    <col min="8710" max="8710" width="11.88671875" bestFit="1" customWidth="1"/>
    <col min="8961" max="8961" width="26" customWidth="1"/>
    <col min="8962" max="8962" width="15.109375" customWidth="1"/>
    <col min="8966" max="8966" width="11.88671875" bestFit="1" customWidth="1"/>
    <col min="9217" max="9217" width="26" customWidth="1"/>
    <col min="9218" max="9218" width="15.109375" customWidth="1"/>
    <col min="9222" max="9222" width="11.88671875" bestFit="1" customWidth="1"/>
    <col min="9473" max="9473" width="26" customWidth="1"/>
    <col min="9474" max="9474" width="15.109375" customWidth="1"/>
    <col min="9478" max="9478" width="11.88671875" bestFit="1" customWidth="1"/>
    <col min="9729" max="9729" width="26" customWidth="1"/>
    <col min="9730" max="9730" width="15.109375" customWidth="1"/>
    <col min="9734" max="9734" width="11.88671875" bestFit="1" customWidth="1"/>
    <col min="9985" max="9985" width="26" customWidth="1"/>
    <col min="9986" max="9986" width="15.109375" customWidth="1"/>
    <col min="9990" max="9990" width="11.88671875" bestFit="1" customWidth="1"/>
    <col min="10241" max="10241" width="26" customWidth="1"/>
    <col min="10242" max="10242" width="15.109375" customWidth="1"/>
    <col min="10246" max="10246" width="11.88671875" bestFit="1" customWidth="1"/>
    <col min="10497" max="10497" width="26" customWidth="1"/>
    <col min="10498" max="10498" width="15.109375" customWidth="1"/>
    <col min="10502" max="10502" width="11.88671875" bestFit="1" customWidth="1"/>
    <col min="10753" max="10753" width="26" customWidth="1"/>
    <col min="10754" max="10754" width="15.109375" customWidth="1"/>
    <col min="10758" max="10758" width="11.88671875" bestFit="1" customWidth="1"/>
    <col min="11009" max="11009" width="26" customWidth="1"/>
    <col min="11010" max="11010" width="15.109375" customWidth="1"/>
    <col min="11014" max="11014" width="11.88671875" bestFit="1" customWidth="1"/>
    <col min="11265" max="11265" width="26" customWidth="1"/>
    <col min="11266" max="11266" width="15.109375" customWidth="1"/>
    <col min="11270" max="11270" width="11.88671875" bestFit="1" customWidth="1"/>
    <col min="11521" max="11521" width="26" customWidth="1"/>
    <col min="11522" max="11522" width="15.109375" customWidth="1"/>
    <col min="11526" max="11526" width="11.88671875" bestFit="1" customWidth="1"/>
    <col min="11777" max="11777" width="26" customWidth="1"/>
    <col min="11778" max="11778" width="15.109375" customWidth="1"/>
    <col min="11782" max="11782" width="11.88671875" bestFit="1" customWidth="1"/>
    <col min="12033" max="12033" width="26" customWidth="1"/>
    <col min="12034" max="12034" width="15.109375" customWidth="1"/>
    <col min="12038" max="12038" width="11.88671875" bestFit="1" customWidth="1"/>
    <col min="12289" max="12289" width="26" customWidth="1"/>
    <col min="12290" max="12290" width="15.109375" customWidth="1"/>
    <col min="12294" max="12294" width="11.88671875" bestFit="1" customWidth="1"/>
    <col min="12545" max="12545" width="26" customWidth="1"/>
    <col min="12546" max="12546" width="15.109375" customWidth="1"/>
    <col min="12550" max="12550" width="11.88671875" bestFit="1" customWidth="1"/>
    <col min="12801" max="12801" width="26" customWidth="1"/>
    <col min="12802" max="12802" width="15.109375" customWidth="1"/>
    <col min="12806" max="12806" width="11.88671875" bestFit="1" customWidth="1"/>
    <col min="13057" max="13057" width="26" customWidth="1"/>
    <col min="13058" max="13058" width="15.109375" customWidth="1"/>
    <col min="13062" max="13062" width="11.88671875" bestFit="1" customWidth="1"/>
    <col min="13313" max="13313" width="26" customWidth="1"/>
    <col min="13314" max="13314" width="15.109375" customWidth="1"/>
    <col min="13318" max="13318" width="11.88671875" bestFit="1" customWidth="1"/>
    <col min="13569" max="13569" width="26" customWidth="1"/>
    <col min="13570" max="13570" width="15.109375" customWidth="1"/>
    <col min="13574" max="13574" width="11.88671875" bestFit="1" customWidth="1"/>
    <col min="13825" max="13825" width="26" customWidth="1"/>
    <col min="13826" max="13826" width="15.109375" customWidth="1"/>
    <col min="13830" max="13830" width="11.88671875" bestFit="1" customWidth="1"/>
    <col min="14081" max="14081" width="26" customWidth="1"/>
    <col min="14082" max="14082" width="15.109375" customWidth="1"/>
    <col min="14086" max="14086" width="11.88671875" bestFit="1" customWidth="1"/>
    <col min="14337" max="14337" width="26" customWidth="1"/>
    <col min="14338" max="14338" width="15.109375" customWidth="1"/>
    <col min="14342" max="14342" width="11.88671875" bestFit="1" customWidth="1"/>
    <col min="14593" max="14593" width="26" customWidth="1"/>
    <col min="14594" max="14594" width="15.109375" customWidth="1"/>
    <col min="14598" max="14598" width="11.88671875" bestFit="1" customWidth="1"/>
    <col min="14849" max="14849" width="26" customWidth="1"/>
    <col min="14850" max="14850" width="15.109375" customWidth="1"/>
    <col min="14854" max="14854" width="11.88671875" bestFit="1" customWidth="1"/>
    <col min="15105" max="15105" width="26" customWidth="1"/>
    <col min="15106" max="15106" width="15.109375" customWidth="1"/>
    <col min="15110" max="15110" width="11.88671875" bestFit="1" customWidth="1"/>
    <col min="15361" max="15361" width="26" customWidth="1"/>
    <col min="15362" max="15362" width="15.109375" customWidth="1"/>
    <col min="15366" max="15366" width="11.88671875" bestFit="1" customWidth="1"/>
    <col min="15617" max="15617" width="26" customWidth="1"/>
    <col min="15618" max="15618" width="15.109375" customWidth="1"/>
    <col min="15622" max="15622" width="11.88671875" bestFit="1" customWidth="1"/>
    <col min="15873" max="15873" width="26" customWidth="1"/>
    <col min="15874" max="15874" width="15.109375" customWidth="1"/>
    <col min="15878" max="15878" width="11.88671875" bestFit="1" customWidth="1"/>
    <col min="16129" max="16129" width="26" customWidth="1"/>
    <col min="16130" max="16130" width="15.109375" customWidth="1"/>
    <col min="16134" max="16134" width="11.88671875" bestFit="1" customWidth="1"/>
  </cols>
  <sheetData>
    <row r="1" spans="1:6" ht="28.8" x14ac:dyDescent="0.3">
      <c r="A1" s="25" t="s">
        <v>115</v>
      </c>
      <c r="B1" s="25"/>
    </row>
    <row r="2" spans="1:6" x14ac:dyDescent="0.3">
      <c r="A2" s="1" t="s">
        <v>116</v>
      </c>
      <c r="B2" s="1">
        <v>230000</v>
      </c>
      <c r="F2" t="s">
        <v>87</v>
      </c>
    </row>
    <row r="3" spans="1:6" x14ac:dyDescent="0.3">
      <c r="A3" s="1" t="s">
        <v>83</v>
      </c>
      <c r="B3" s="1">
        <v>-3250</v>
      </c>
      <c r="F3" s="5">
        <f>PV(B7/B5,B5*B4,-B3)</f>
        <v>-229999.99999999537</v>
      </c>
    </row>
    <row r="4" spans="1:6" x14ac:dyDescent="0.3">
      <c r="A4" s="1" t="s">
        <v>76</v>
      </c>
      <c r="B4" s="1">
        <v>10</v>
      </c>
    </row>
    <row r="5" spans="1:6" x14ac:dyDescent="0.3">
      <c r="A5" s="1" t="s">
        <v>117</v>
      </c>
      <c r="B5" s="1">
        <v>12</v>
      </c>
    </row>
    <row r="6" spans="1:6" x14ac:dyDescent="0.3">
      <c r="A6" s="1" t="s">
        <v>95</v>
      </c>
      <c r="B6" s="126">
        <f>RATE(B5*B4,B3,B2)</f>
        <v>9.6864588002672763E-3</v>
      </c>
    </row>
    <row r="7" spans="1:6" x14ac:dyDescent="0.3">
      <c r="A7" s="1" t="s">
        <v>118</v>
      </c>
      <c r="B7" s="31">
        <f>B6*B5</f>
        <v>0.11623750560320731</v>
      </c>
    </row>
    <row r="8" spans="1:6" x14ac:dyDescent="0.3">
      <c r="A8" s="1" t="s">
        <v>70</v>
      </c>
      <c r="B8" s="31">
        <f>EFFECT(B7,B5)</f>
        <v>0.12263449397442594</v>
      </c>
    </row>
    <row r="9" spans="1:6" x14ac:dyDescent="0.3">
      <c r="A9" s="1" t="s">
        <v>70</v>
      </c>
      <c r="B9" s="31">
        <f>(1+B6)^B5-1</f>
        <v>0.12263449397442594</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FF"/>
  </sheetPr>
  <dimension ref="A1:F8"/>
  <sheetViews>
    <sheetView zoomScale="145" zoomScaleNormal="145" workbookViewId="0"/>
  </sheetViews>
  <sheetFormatPr defaultRowHeight="14.4" x14ac:dyDescent="0.3"/>
  <cols>
    <col min="1" max="1" width="23.5546875" bestFit="1" customWidth="1"/>
    <col min="2" max="2" width="9.5546875" bestFit="1" customWidth="1"/>
    <col min="257" max="257" width="23.5546875" bestFit="1" customWidth="1"/>
    <col min="258" max="258" width="9.5546875" bestFit="1" customWidth="1"/>
    <col min="513" max="513" width="23.5546875" bestFit="1" customWidth="1"/>
    <col min="514" max="514" width="9.5546875" bestFit="1" customWidth="1"/>
    <col min="769" max="769" width="23.5546875" bestFit="1" customWidth="1"/>
    <col min="770" max="770" width="9.5546875" bestFit="1" customWidth="1"/>
    <col min="1025" max="1025" width="23.5546875" bestFit="1" customWidth="1"/>
    <col min="1026" max="1026" width="9.5546875" bestFit="1" customWidth="1"/>
    <col min="1281" max="1281" width="23.5546875" bestFit="1" customWidth="1"/>
    <col min="1282" max="1282" width="9.5546875" bestFit="1" customWidth="1"/>
    <col min="1537" max="1537" width="23.5546875" bestFit="1" customWidth="1"/>
    <col min="1538" max="1538" width="9.5546875" bestFit="1" customWidth="1"/>
    <col min="1793" max="1793" width="23.5546875" bestFit="1" customWidth="1"/>
    <col min="1794" max="1794" width="9.5546875" bestFit="1" customWidth="1"/>
    <col min="2049" max="2049" width="23.5546875" bestFit="1" customWidth="1"/>
    <col min="2050" max="2050" width="9.5546875" bestFit="1" customWidth="1"/>
    <col min="2305" max="2305" width="23.5546875" bestFit="1" customWidth="1"/>
    <col min="2306" max="2306" width="9.5546875" bestFit="1" customWidth="1"/>
    <col min="2561" max="2561" width="23.5546875" bestFit="1" customWidth="1"/>
    <col min="2562" max="2562" width="9.5546875" bestFit="1" customWidth="1"/>
    <col min="2817" max="2817" width="23.5546875" bestFit="1" customWidth="1"/>
    <col min="2818" max="2818" width="9.5546875" bestFit="1" customWidth="1"/>
    <col min="3073" max="3073" width="23.5546875" bestFit="1" customWidth="1"/>
    <col min="3074" max="3074" width="9.5546875" bestFit="1" customWidth="1"/>
    <col min="3329" max="3329" width="23.5546875" bestFit="1" customWidth="1"/>
    <col min="3330" max="3330" width="9.5546875" bestFit="1" customWidth="1"/>
    <col min="3585" max="3585" width="23.5546875" bestFit="1" customWidth="1"/>
    <col min="3586" max="3586" width="9.5546875" bestFit="1" customWidth="1"/>
    <col min="3841" max="3841" width="23.5546875" bestFit="1" customWidth="1"/>
    <col min="3842" max="3842" width="9.5546875" bestFit="1" customWidth="1"/>
    <col min="4097" max="4097" width="23.5546875" bestFit="1" customWidth="1"/>
    <col min="4098" max="4098" width="9.5546875" bestFit="1" customWidth="1"/>
    <col min="4353" max="4353" width="23.5546875" bestFit="1" customWidth="1"/>
    <col min="4354" max="4354" width="9.5546875" bestFit="1" customWidth="1"/>
    <col min="4609" max="4609" width="23.5546875" bestFit="1" customWidth="1"/>
    <col min="4610" max="4610" width="9.5546875" bestFit="1" customWidth="1"/>
    <col min="4865" max="4865" width="23.5546875" bestFit="1" customWidth="1"/>
    <col min="4866" max="4866" width="9.5546875" bestFit="1" customWidth="1"/>
    <col min="5121" max="5121" width="23.5546875" bestFit="1" customWidth="1"/>
    <col min="5122" max="5122" width="9.5546875" bestFit="1" customWidth="1"/>
    <col min="5377" max="5377" width="23.5546875" bestFit="1" customWidth="1"/>
    <col min="5378" max="5378" width="9.5546875" bestFit="1" customWidth="1"/>
    <col min="5633" max="5633" width="23.5546875" bestFit="1" customWidth="1"/>
    <col min="5634" max="5634" width="9.5546875" bestFit="1" customWidth="1"/>
    <col min="5889" max="5889" width="23.5546875" bestFit="1" customWidth="1"/>
    <col min="5890" max="5890" width="9.5546875" bestFit="1" customWidth="1"/>
    <col min="6145" max="6145" width="23.5546875" bestFit="1" customWidth="1"/>
    <col min="6146" max="6146" width="9.5546875" bestFit="1" customWidth="1"/>
    <col min="6401" max="6401" width="23.5546875" bestFit="1" customWidth="1"/>
    <col min="6402" max="6402" width="9.5546875" bestFit="1" customWidth="1"/>
    <col min="6657" max="6657" width="23.5546875" bestFit="1" customWidth="1"/>
    <col min="6658" max="6658" width="9.5546875" bestFit="1" customWidth="1"/>
    <col min="6913" max="6913" width="23.5546875" bestFit="1" customWidth="1"/>
    <col min="6914" max="6914" width="9.5546875" bestFit="1" customWidth="1"/>
    <col min="7169" max="7169" width="23.5546875" bestFit="1" customWidth="1"/>
    <col min="7170" max="7170" width="9.5546875" bestFit="1" customWidth="1"/>
    <col min="7425" max="7425" width="23.5546875" bestFit="1" customWidth="1"/>
    <col min="7426" max="7426" width="9.5546875" bestFit="1" customWidth="1"/>
    <col min="7681" max="7681" width="23.5546875" bestFit="1" customWidth="1"/>
    <col min="7682" max="7682" width="9.5546875" bestFit="1" customWidth="1"/>
    <col min="7937" max="7937" width="23.5546875" bestFit="1" customWidth="1"/>
    <col min="7938" max="7938" width="9.5546875" bestFit="1" customWidth="1"/>
    <col min="8193" max="8193" width="23.5546875" bestFit="1" customWidth="1"/>
    <col min="8194" max="8194" width="9.5546875" bestFit="1" customWidth="1"/>
    <col min="8449" max="8449" width="23.5546875" bestFit="1" customWidth="1"/>
    <col min="8450" max="8450" width="9.5546875" bestFit="1" customWidth="1"/>
    <col min="8705" max="8705" width="23.5546875" bestFit="1" customWidth="1"/>
    <col min="8706" max="8706" width="9.5546875" bestFit="1" customWidth="1"/>
    <col min="8961" max="8961" width="23.5546875" bestFit="1" customWidth="1"/>
    <col min="8962" max="8962" width="9.5546875" bestFit="1" customWidth="1"/>
    <col min="9217" max="9217" width="23.5546875" bestFit="1" customWidth="1"/>
    <col min="9218" max="9218" width="9.5546875" bestFit="1" customWidth="1"/>
    <col min="9473" max="9473" width="23.5546875" bestFit="1" customWidth="1"/>
    <col min="9474" max="9474" width="9.5546875" bestFit="1" customWidth="1"/>
    <col min="9729" max="9729" width="23.5546875" bestFit="1" customWidth="1"/>
    <col min="9730" max="9730" width="9.5546875" bestFit="1" customWidth="1"/>
    <col min="9985" max="9985" width="23.5546875" bestFit="1" customWidth="1"/>
    <col min="9986" max="9986" width="9.5546875" bestFit="1" customWidth="1"/>
    <col min="10241" max="10241" width="23.5546875" bestFit="1" customWidth="1"/>
    <col min="10242" max="10242" width="9.5546875" bestFit="1" customWidth="1"/>
    <col min="10497" max="10497" width="23.5546875" bestFit="1" customWidth="1"/>
    <col min="10498" max="10498" width="9.5546875" bestFit="1" customWidth="1"/>
    <col min="10753" max="10753" width="23.5546875" bestFit="1" customWidth="1"/>
    <col min="10754" max="10754" width="9.5546875" bestFit="1" customWidth="1"/>
    <col min="11009" max="11009" width="23.5546875" bestFit="1" customWidth="1"/>
    <col min="11010" max="11010" width="9.5546875" bestFit="1" customWidth="1"/>
    <col min="11265" max="11265" width="23.5546875" bestFit="1" customWidth="1"/>
    <col min="11266" max="11266" width="9.5546875" bestFit="1" customWidth="1"/>
    <col min="11521" max="11521" width="23.5546875" bestFit="1" customWidth="1"/>
    <col min="11522" max="11522" width="9.5546875" bestFit="1" customWidth="1"/>
    <col min="11777" max="11777" width="23.5546875" bestFit="1" customWidth="1"/>
    <col min="11778" max="11778" width="9.5546875" bestFit="1" customWidth="1"/>
    <col min="12033" max="12033" width="23.5546875" bestFit="1" customWidth="1"/>
    <col min="12034" max="12034" width="9.5546875" bestFit="1" customWidth="1"/>
    <col min="12289" max="12289" width="23.5546875" bestFit="1" customWidth="1"/>
    <col min="12290" max="12290" width="9.5546875" bestFit="1" customWidth="1"/>
    <col min="12545" max="12545" width="23.5546875" bestFit="1" customWidth="1"/>
    <col min="12546" max="12546" width="9.5546875" bestFit="1" customWidth="1"/>
    <col min="12801" max="12801" width="23.5546875" bestFit="1" customWidth="1"/>
    <col min="12802" max="12802" width="9.5546875" bestFit="1" customWidth="1"/>
    <col min="13057" max="13057" width="23.5546875" bestFit="1" customWidth="1"/>
    <col min="13058" max="13058" width="9.5546875" bestFit="1" customWidth="1"/>
    <col min="13313" max="13313" width="23.5546875" bestFit="1" customWidth="1"/>
    <col min="13314" max="13314" width="9.5546875" bestFit="1" customWidth="1"/>
    <col min="13569" max="13569" width="23.5546875" bestFit="1" customWidth="1"/>
    <col min="13570" max="13570" width="9.5546875" bestFit="1" customWidth="1"/>
    <col min="13825" max="13825" width="23.5546875" bestFit="1" customWidth="1"/>
    <col min="13826" max="13826" width="9.5546875" bestFit="1" customWidth="1"/>
    <col min="14081" max="14081" width="23.5546875" bestFit="1" customWidth="1"/>
    <col min="14082" max="14082" width="9.5546875" bestFit="1" customWidth="1"/>
    <col min="14337" max="14337" width="23.5546875" bestFit="1" customWidth="1"/>
    <col min="14338" max="14338" width="9.5546875" bestFit="1" customWidth="1"/>
    <col min="14593" max="14593" width="23.5546875" bestFit="1" customWidth="1"/>
    <col min="14594" max="14594" width="9.5546875" bestFit="1" customWidth="1"/>
    <col min="14849" max="14849" width="23.5546875" bestFit="1" customWidth="1"/>
    <col min="14850" max="14850" width="9.5546875" bestFit="1" customWidth="1"/>
    <col min="15105" max="15105" width="23.5546875" bestFit="1" customWidth="1"/>
    <col min="15106" max="15106" width="9.5546875" bestFit="1" customWidth="1"/>
    <col min="15361" max="15361" width="23.5546875" bestFit="1" customWidth="1"/>
    <col min="15362" max="15362" width="9.5546875" bestFit="1" customWidth="1"/>
    <col min="15617" max="15617" width="23.5546875" bestFit="1" customWidth="1"/>
    <col min="15618" max="15618" width="9.5546875" bestFit="1" customWidth="1"/>
    <col min="15873" max="15873" width="23.5546875" bestFit="1" customWidth="1"/>
    <col min="15874" max="15874" width="9.5546875" bestFit="1" customWidth="1"/>
    <col min="16129" max="16129" width="23.5546875" bestFit="1" customWidth="1"/>
    <col min="16130" max="16130" width="9.5546875" bestFit="1" customWidth="1"/>
  </cols>
  <sheetData>
    <row r="1" spans="1:6" ht="28.8" x14ac:dyDescent="0.3">
      <c r="A1" s="118" t="s">
        <v>119</v>
      </c>
      <c r="B1" s="95"/>
      <c r="C1" s="95"/>
      <c r="D1" s="95"/>
      <c r="E1" s="92"/>
    </row>
    <row r="2" spans="1:6" x14ac:dyDescent="0.3">
      <c r="A2" s="1" t="s">
        <v>120</v>
      </c>
      <c r="B2" s="50">
        <v>7500</v>
      </c>
    </row>
    <row r="3" spans="1:6" x14ac:dyDescent="0.3">
      <c r="A3" s="1" t="s">
        <v>56</v>
      </c>
      <c r="B3" s="34">
        <v>0.18</v>
      </c>
    </row>
    <row r="4" spans="1:6" x14ac:dyDescent="0.3">
      <c r="A4" s="1" t="s">
        <v>38</v>
      </c>
      <c r="B4" s="1">
        <v>12</v>
      </c>
    </row>
    <row r="5" spans="1:6" x14ac:dyDescent="0.3">
      <c r="A5" s="1" t="s">
        <v>121</v>
      </c>
      <c r="B5" s="14">
        <v>-125</v>
      </c>
    </row>
    <row r="6" spans="1:6" x14ac:dyDescent="0.3">
      <c r="A6" s="1" t="s">
        <v>122</v>
      </c>
      <c r="B6" s="31"/>
    </row>
    <row r="7" spans="1:6" x14ac:dyDescent="0.3">
      <c r="A7" s="1" t="s">
        <v>123</v>
      </c>
      <c r="B7" s="31"/>
    </row>
    <row r="8" spans="1:6" ht="45" customHeight="1" x14ac:dyDescent="0.3">
      <c r="A8" s="1" t="s">
        <v>81</v>
      </c>
      <c r="B8" s="33" t="str">
        <f>IF(B7="","","It will take "&amp;B7&amp;" years to pay off the credit card if we make only the minimum payment each period.")</f>
        <v/>
      </c>
      <c r="C8" s="46"/>
      <c r="D8" s="46"/>
      <c r="E8" s="46"/>
      <c r="F8" s="47"/>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F8"/>
  <sheetViews>
    <sheetView zoomScale="160" zoomScaleNormal="160" workbookViewId="0"/>
  </sheetViews>
  <sheetFormatPr defaultRowHeight="14.4" x14ac:dyDescent="0.3"/>
  <cols>
    <col min="1" max="1" width="23.5546875" bestFit="1" customWidth="1"/>
    <col min="2" max="2" width="9.5546875" bestFit="1" customWidth="1"/>
    <col min="257" max="257" width="23.5546875" bestFit="1" customWidth="1"/>
    <col min="258" max="258" width="9.5546875" bestFit="1" customWidth="1"/>
    <col min="513" max="513" width="23.5546875" bestFit="1" customWidth="1"/>
    <col min="514" max="514" width="9.5546875" bestFit="1" customWidth="1"/>
    <col min="769" max="769" width="23.5546875" bestFit="1" customWidth="1"/>
    <col min="770" max="770" width="9.5546875" bestFit="1" customWidth="1"/>
    <col min="1025" max="1025" width="23.5546875" bestFit="1" customWidth="1"/>
    <col min="1026" max="1026" width="9.5546875" bestFit="1" customWidth="1"/>
    <col min="1281" max="1281" width="23.5546875" bestFit="1" customWidth="1"/>
    <col min="1282" max="1282" width="9.5546875" bestFit="1" customWidth="1"/>
    <col min="1537" max="1537" width="23.5546875" bestFit="1" customWidth="1"/>
    <col min="1538" max="1538" width="9.5546875" bestFit="1" customWidth="1"/>
    <col min="1793" max="1793" width="23.5546875" bestFit="1" customWidth="1"/>
    <col min="1794" max="1794" width="9.5546875" bestFit="1" customWidth="1"/>
    <col min="2049" max="2049" width="23.5546875" bestFit="1" customWidth="1"/>
    <col min="2050" max="2050" width="9.5546875" bestFit="1" customWidth="1"/>
    <col min="2305" max="2305" width="23.5546875" bestFit="1" customWidth="1"/>
    <col min="2306" max="2306" width="9.5546875" bestFit="1" customWidth="1"/>
    <col min="2561" max="2561" width="23.5546875" bestFit="1" customWidth="1"/>
    <col min="2562" max="2562" width="9.5546875" bestFit="1" customWidth="1"/>
    <col min="2817" max="2817" width="23.5546875" bestFit="1" customWidth="1"/>
    <col min="2818" max="2818" width="9.5546875" bestFit="1" customWidth="1"/>
    <col min="3073" max="3073" width="23.5546875" bestFit="1" customWidth="1"/>
    <col min="3074" max="3074" width="9.5546875" bestFit="1" customWidth="1"/>
    <col min="3329" max="3329" width="23.5546875" bestFit="1" customWidth="1"/>
    <col min="3330" max="3330" width="9.5546875" bestFit="1" customWidth="1"/>
    <col min="3585" max="3585" width="23.5546875" bestFit="1" customWidth="1"/>
    <col min="3586" max="3586" width="9.5546875" bestFit="1" customWidth="1"/>
    <col min="3841" max="3841" width="23.5546875" bestFit="1" customWidth="1"/>
    <col min="3842" max="3842" width="9.5546875" bestFit="1" customWidth="1"/>
    <col min="4097" max="4097" width="23.5546875" bestFit="1" customWidth="1"/>
    <col min="4098" max="4098" width="9.5546875" bestFit="1" customWidth="1"/>
    <col min="4353" max="4353" width="23.5546875" bestFit="1" customWidth="1"/>
    <col min="4354" max="4354" width="9.5546875" bestFit="1" customWidth="1"/>
    <col min="4609" max="4609" width="23.5546875" bestFit="1" customWidth="1"/>
    <col min="4610" max="4610" width="9.5546875" bestFit="1" customWidth="1"/>
    <col min="4865" max="4865" width="23.5546875" bestFit="1" customWidth="1"/>
    <col min="4866" max="4866" width="9.5546875" bestFit="1" customWidth="1"/>
    <col min="5121" max="5121" width="23.5546875" bestFit="1" customWidth="1"/>
    <col min="5122" max="5122" width="9.5546875" bestFit="1" customWidth="1"/>
    <col min="5377" max="5377" width="23.5546875" bestFit="1" customWidth="1"/>
    <col min="5378" max="5378" width="9.5546875" bestFit="1" customWidth="1"/>
    <col min="5633" max="5633" width="23.5546875" bestFit="1" customWidth="1"/>
    <col min="5634" max="5634" width="9.5546875" bestFit="1" customWidth="1"/>
    <col min="5889" max="5889" width="23.5546875" bestFit="1" customWidth="1"/>
    <col min="5890" max="5890" width="9.5546875" bestFit="1" customWidth="1"/>
    <col min="6145" max="6145" width="23.5546875" bestFit="1" customWidth="1"/>
    <col min="6146" max="6146" width="9.5546875" bestFit="1" customWidth="1"/>
    <col min="6401" max="6401" width="23.5546875" bestFit="1" customWidth="1"/>
    <col min="6402" max="6402" width="9.5546875" bestFit="1" customWidth="1"/>
    <col min="6657" max="6657" width="23.5546875" bestFit="1" customWidth="1"/>
    <col min="6658" max="6658" width="9.5546875" bestFit="1" customWidth="1"/>
    <col min="6913" max="6913" width="23.5546875" bestFit="1" customWidth="1"/>
    <col min="6914" max="6914" width="9.5546875" bestFit="1" customWidth="1"/>
    <col min="7169" max="7169" width="23.5546875" bestFit="1" customWidth="1"/>
    <col min="7170" max="7170" width="9.5546875" bestFit="1" customWidth="1"/>
    <col min="7425" max="7425" width="23.5546875" bestFit="1" customWidth="1"/>
    <col min="7426" max="7426" width="9.5546875" bestFit="1" customWidth="1"/>
    <col min="7681" max="7681" width="23.5546875" bestFit="1" customWidth="1"/>
    <col min="7682" max="7682" width="9.5546875" bestFit="1" customWidth="1"/>
    <col min="7937" max="7937" width="23.5546875" bestFit="1" customWidth="1"/>
    <col min="7938" max="7938" width="9.5546875" bestFit="1" customWidth="1"/>
    <col min="8193" max="8193" width="23.5546875" bestFit="1" customWidth="1"/>
    <col min="8194" max="8194" width="9.5546875" bestFit="1" customWidth="1"/>
    <col min="8449" max="8449" width="23.5546875" bestFit="1" customWidth="1"/>
    <col min="8450" max="8450" width="9.5546875" bestFit="1" customWidth="1"/>
    <col min="8705" max="8705" width="23.5546875" bestFit="1" customWidth="1"/>
    <col min="8706" max="8706" width="9.5546875" bestFit="1" customWidth="1"/>
    <col min="8961" max="8961" width="23.5546875" bestFit="1" customWidth="1"/>
    <col min="8962" max="8962" width="9.5546875" bestFit="1" customWidth="1"/>
    <col min="9217" max="9217" width="23.5546875" bestFit="1" customWidth="1"/>
    <col min="9218" max="9218" width="9.5546875" bestFit="1" customWidth="1"/>
    <col min="9473" max="9473" width="23.5546875" bestFit="1" customWidth="1"/>
    <col min="9474" max="9474" width="9.5546875" bestFit="1" customWidth="1"/>
    <col min="9729" max="9729" width="23.5546875" bestFit="1" customWidth="1"/>
    <col min="9730" max="9730" width="9.5546875" bestFit="1" customWidth="1"/>
    <col min="9985" max="9985" width="23.5546875" bestFit="1" customWidth="1"/>
    <col min="9986" max="9986" width="9.5546875" bestFit="1" customWidth="1"/>
    <col min="10241" max="10241" width="23.5546875" bestFit="1" customWidth="1"/>
    <col min="10242" max="10242" width="9.5546875" bestFit="1" customWidth="1"/>
    <col min="10497" max="10497" width="23.5546875" bestFit="1" customWidth="1"/>
    <col min="10498" max="10498" width="9.5546875" bestFit="1" customWidth="1"/>
    <col min="10753" max="10753" width="23.5546875" bestFit="1" customWidth="1"/>
    <col min="10754" max="10754" width="9.5546875" bestFit="1" customWidth="1"/>
    <col min="11009" max="11009" width="23.5546875" bestFit="1" customWidth="1"/>
    <col min="11010" max="11010" width="9.5546875" bestFit="1" customWidth="1"/>
    <col min="11265" max="11265" width="23.5546875" bestFit="1" customWidth="1"/>
    <col min="11266" max="11266" width="9.5546875" bestFit="1" customWidth="1"/>
    <col min="11521" max="11521" width="23.5546875" bestFit="1" customWidth="1"/>
    <col min="11522" max="11522" width="9.5546875" bestFit="1" customWidth="1"/>
    <col min="11777" max="11777" width="23.5546875" bestFit="1" customWidth="1"/>
    <col min="11778" max="11778" width="9.5546875" bestFit="1" customWidth="1"/>
    <col min="12033" max="12033" width="23.5546875" bestFit="1" customWidth="1"/>
    <col min="12034" max="12034" width="9.5546875" bestFit="1" customWidth="1"/>
    <col min="12289" max="12289" width="23.5546875" bestFit="1" customWidth="1"/>
    <col min="12290" max="12290" width="9.5546875" bestFit="1" customWidth="1"/>
    <col min="12545" max="12545" width="23.5546875" bestFit="1" customWidth="1"/>
    <col min="12546" max="12546" width="9.5546875" bestFit="1" customWidth="1"/>
    <col min="12801" max="12801" width="23.5546875" bestFit="1" customWidth="1"/>
    <col min="12802" max="12802" width="9.5546875" bestFit="1" customWidth="1"/>
    <col min="13057" max="13057" width="23.5546875" bestFit="1" customWidth="1"/>
    <col min="13058" max="13058" width="9.5546875" bestFit="1" customWidth="1"/>
    <col min="13313" max="13313" width="23.5546875" bestFit="1" customWidth="1"/>
    <col min="13314" max="13314" width="9.5546875" bestFit="1" customWidth="1"/>
    <col min="13569" max="13569" width="23.5546875" bestFit="1" customWidth="1"/>
    <col min="13570" max="13570" width="9.5546875" bestFit="1" customWidth="1"/>
    <col min="13825" max="13825" width="23.5546875" bestFit="1" customWidth="1"/>
    <col min="13826" max="13826" width="9.5546875" bestFit="1" customWidth="1"/>
    <col min="14081" max="14081" width="23.5546875" bestFit="1" customWidth="1"/>
    <col min="14082" max="14082" width="9.5546875" bestFit="1" customWidth="1"/>
    <col min="14337" max="14337" width="23.5546875" bestFit="1" customWidth="1"/>
    <col min="14338" max="14338" width="9.5546875" bestFit="1" customWidth="1"/>
    <col min="14593" max="14593" width="23.5546875" bestFit="1" customWidth="1"/>
    <col min="14594" max="14594" width="9.5546875" bestFit="1" customWidth="1"/>
    <col min="14849" max="14849" width="23.5546875" bestFit="1" customWidth="1"/>
    <col min="14850" max="14850" width="9.5546875" bestFit="1" customWidth="1"/>
    <col min="15105" max="15105" width="23.5546875" bestFit="1" customWidth="1"/>
    <col min="15106" max="15106" width="9.5546875" bestFit="1" customWidth="1"/>
    <col min="15361" max="15361" width="23.5546875" bestFit="1" customWidth="1"/>
    <col min="15362" max="15362" width="9.5546875" bestFit="1" customWidth="1"/>
    <col min="15617" max="15617" width="23.5546875" bestFit="1" customWidth="1"/>
    <col min="15618" max="15618" width="9.5546875" bestFit="1" customWidth="1"/>
    <col min="15873" max="15873" width="23.5546875" bestFit="1" customWidth="1"/>
    <col min="15874" max="15874" width="9.5546875" bestFit="1" customWidth="1"/>
    <col min="16129" max="16129" width="23.5546875" bestFit="1" customWidth="1"/>
    <col min="16130" max="16130" width="9.5546875" bestFit="1" customWidth="1"/>
  </cols>
  <sheetData>
    <row r="1" spans="1:6" ht="28.8" x14ac:dyDescent="0.3">
      <c r="A1" s="118" t="s">
        <v>119</v>
      </c>
      <c r="B1" s="95"/>
      <c r="C1" s="95"/>
      <c r="D1" s="95"/>
      <c r="E1" s="92"/>
    </row>
    <row r="2" spans="1:6" x14ac:dyDescent="0.3">
      <c r="A2" s="1" t="s">
        <v>120</v>
      </c>
      <c r="B2" s="50">
        <v>7500</v>
      </c>
    </row>
    <row r="3" spans="1:6" x14ac:dyDescent="0.3">
      <c r="A3" s="1" t="s">
        <v>56</v>
      </c>
      <c r="B3" s="34">
        <v>0.18</v>
      </c>
    </row>
    <row r="4" spans="1:6" x14ac:dyDescent="0.3">
      <c r="A4" s="1" t="s">
        <v>38</v>
      </c>
      <c r="B4" s="1">
        <v>12</v>
      </c>
    </row>
    <row r="5" spans="1:6" x14ac:dyDescent="0.3">
      <c r="A5" s="1" t="s">
        <v>121</v>
      </c>
      <c r="B5" s="14">
        <v>-125</v>
      </c>
    </row>
    <row r="6" spans="1:6" x14ac:dyDescent="0.3">
      <c r="A6" s="1" t="s">
        <v>122</v>
      </c>
      <c r="B6" s="31">
        <f>NPER(B3/B4,B5,B2)</f>
        <v>154.65410856522377</v>
      </c>
    </row>
    <row r="7" spans="1:6" x14ac:dyDescent="0.3">
      <c r="A7" s="1" t="s">
        <v>123</v>
      </c>
      <c r="B7" s="31">
        <f>B6/B4</f>
        <v>12.887842380435314</v>
      </c>
    </row>
    <row r="8" spans="1:6" ht="43.2" x14ac:dyDescent="0.3">
      <c r="A8" s="1" t="s">
        <v>81</v>
      </c>
      <c r="B8" s="33" t="str">
        <f>IF(B7="","","It will take "&amp;B7&amp;" years to pay off the credit card if we make only the minimum payment each period.")</f>
        <v>It will take 12.8878423804353 years to pay off the credit card if we make only the minimum payment each period.</v>
      </c>
      <c r="C8" s="46"/>
      <c r="D8" s="46"/>
      <c r="E8" s="46"/>
      <c r="F8" s="47"/>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FF"/>
  </sheetPr>
  <dimension ref="A1:H5"/>
  <sheetViews>
    <sheetView zoomScale="145" zoomScaleNormal="145" workbookViewId="0"/>
  </sheetViews>
  <sheetFormatPr defaultRowHeight="14.4" x14ac:dyDescent="0.3"/>
  <cols>
    <col min="1" max="1" width="28.6640625" customWidth="1"/>
    <col min="257" max="257" width="28.6640625" customWidth="1"/>
    <col min="513" max="513" width="28.6640625" customWidth="1"/>
    <col min="769" max="769" width="28.6640625" customWidth="1"/>
    <col min="1025" max="1025" width="28.6640625" customWidth="1"/>
    <col min="1281" max="1281" width="28.6640625" customWidth="1"/>
    <col min="1537" max="1537" width="28.6640625" customWidth="1"/>
    <col min="1793" max="1793" width="28.6640625" customWidth="1"/>
    <col min="2049" max="2049" width="28.6640625" customWidth="1"/>
    <col min="2305" max="2305" width="28.6640625" customWidth="1"/>
    <col min="2561" max="2561" width="28.6640625" customWidth="1"/>
    <col min="2817" max="2817" width="28.6640625" customWidth="1"/>
    <col min="3073" max="3073" width="28.6640625" customWidth="1"/>
    <col min="3329" max="3329" width="28.6640625" customWidth="1"/>
    <col min="3585" max="3585" width="28.6640625" customWidth="1"/>
    <col min="3841" max="3841" width="28.6640625" customWidth="1"/>
    <col min="4097" max="4097" width="28.6640625" customWidth="1"/>
    <col min="4353" max="4353" width="28.6640625" customWidth="1"/>
    <col min="4609" max="4609" width="28.6640625" customWidth="1"/>
    <col min="4865" max="4865" width="28.6640625" customWidth="1"/>
    <col min="5121" max="5121" width="28.6640625" customWidth="1"/>
    <col min="5377" max="5377" width="28.6640625" customWidth="1"/>
    <col min="5633" max="5633" width="28.6640625" customWidth="1"/>
    <col min="5889" max="5889" width="28.6640625" customWidth="1"/>
    <col min="6145" max="6145" width="28.6640625" customWidth="1"/>
    <col min="6401" max="6401" width="28.6640625" customWidth="1"/>
    <col min="6657" max="6657" width="28.6640625" customWidth="1"/>
    <col min="6913" max="6913" width="28.6640625" customWidth="1"/>
    <col min="7169" max="7169" width="28.6640625" customWidth="1"/>
    <col min="7425" max="7425" width="28.6640625" customWidth="1"/>
    <col min="7681" max="7681" width="28.6640625" customWidth="1"/>
    <col min="7937" max="7937" width="28.6640625" customWidth="1"/>
    <col min="8193" max="8193" width="28.6640625" customWidth="1"/>
    <col min="8449" max="8449" width="28.6640625" customWidth="1"/>
    <col min="8705" max="8705" width="28.6640625" customWidth="1"/>
    <col min="8961" max="8961" width="28.6640625" customWidth="1"/>
    <col min="9217" max="9217" width="28.6640625" customWidth="1"/>
    <col min="9473" max="9473" width="28.6640625" customWidth="1"/>
    <col min="9729" max="9729" width="28.6640625" customWidth="1"/>
    <col min="9985" max="9985" width="28.6640625" customWidth="1"/>
    <col min="10241" max="10241" width="28.6640625" customWidth="1"/>
    <col min="10497" max="10497" width="28.6640625" customWidth="1"/>
    <col min="10753" max="10753" width="28.6640625" customWidth="1"/>
    <col min="11009" max="11009" width="28.6640625" customWidth="1"/>
    <col min="11265" max="11265" width="28.6640625" customWidth="1"/>
    <col min="11521" max="11521" width="28.6640625" customWidth="1"/>
    <col min="11777" max="11777" width="28.6640625" customWidth="1"/>
    <col min="12033" max="12033" width="28.6640625" customWidth="1"/>
    <col min="12289" max="12289" width="28.6640625" customWidth="1"/>
    <col min="12545" max="12545" width="28.6640625" customWidth="1"/>
    <col min="12801" max="12801" width="28.6640625" customWidth="1"/>
    <col min="13057" max="13057" width="28.6640625" customWidth="1"/>
    <col min="13313" max="13313" width="28.6640625" customWidth="1"/>
    <col min="13569" max="13569" width="28.6640625" customWidth="1"/>
    <col min="13825" max="13825" width="28.6640625" customWidth="1"/>
    <col min="14081" max="14081" width="28.6640625" customWidth="1"/>
    <col min="14337" max="14337" width="28.6640625" customWidth="1"/>
    <col min="14593" max="14593" width="28.6640625" customWidth="1"/>
    <col min="14849" max="14849" width="28.6640625" customWidth="1"/>
    <col min="15105" max="15105" width="28.6640625" customWidth="1"/>
    <col min="15361" max="15361" width="28.6640625" customWidth="1"/>
    <col min="15617" max="15617" width="28.6640625" customWidth="1"/>
    <col min="15873" max="15873" width="28.6640625" customWidth="1"/>
    <col min="16129" max="16129" width="28.6640625" customWidth="1"/>
  </cols>
  <sheetData>
    <row r="1" spans="1:8" ht="28.8" x14ac:dyDescent="0.3">
      <c r="A1" s="45" t="s">
        <v>124</v>
      </c>
      <c r="B1" s="46"/>
      <c r="C1" s="46"/>
      <c r="D1" s="46"/>
      <c r="E1" s="46"/>
      <c r="F1" s="46"/>
      <c r="G1" s="47"/>
    </row>
    <row r="2" spans="1:8" x14ac:dyDescent="0.3">
      <c r="A2" s="1" t="s">
        <v>125</v>
      </c>
      <c r="B2" s="1">
        <v>1.25</v>
      </c>
    </row>
    <row r="3" spans="1:8" x14ac:dyDescent="0.3">
      <c r="A3" s="1" t="s">
        <v>126</v>
      </c>
      <c r="B3" s="1">
        <v>0.04</v>
      </c>
    </row>
    <row r="4" spans="1:8" x14ac:dyDescent="0.3">
      <c r="A4" s="1" t="s">
        <v>127</v>
      </c>
      <c r="B4" s="31"/>
    </row>
    <row r="5" spans="1:8" x14ac:dyDescent="0.3">
      <c r="A5" s="55" t="s">
        <v>81</v>
      </c>
      <c r="B5" s="45" t="str">
        <f>IF(B4="","","The value of a stock with these parameters would be "&amp;DOLLAR(B4)&amp;".")</f>
        <v/>
      </c>
      <c r="C5" s="46"/>
      <c r="D5" s="46"/>
      <c r="E5" s="46"/>
      <c r="F5" s="46"/>
      <c r="G5" s="46"/>
      <c r="H5" s="47"/>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H5"/>
  <sheetViews>
    <sheetView zoomScale="130" zoomScaleNormal="130" workbookViewId="0"/>
  </sheetViews>
  <sheetFormatPr defaultRowHeight="14.4" x14ac:dyDescent="0.3"/>
  <cols>
    <col min="1" max="1" width="28.6640625" customWidth="1"/>
    <col min="257" max="257" width="28.6640625" customWidth="1"/>
    <col min="513" max="513" width="28.6640625" customWidth="1"/>
    <col min="769" max="769" width="28.6640625" customWidth="1"/>
    <col min="1025" max="1025" width="28.6640625" customWidth="1"/>
    <col min="1281" max="1281" width="28.6640625" customWidth="1"/>
    <col min="1537" max="1537" width="28.6640625" customWidth="1"/>
    <col min="1793" max="1793" width="28.6640625" customWidth="1"/>
    <col min="2049" max="2049" width="28.6640625" customWidth="1"/>
    <col min="2305" max="2305" width="28.6640625" customWidth="1"/>
    <col min="2561" max="2561" width="28.6640625" customWidth="1"/>
    <col min="2817" max="2817" width="28.6640625" customWidth="1"/>
    <col min="3073" max="3073" width="28.6640625" customWidth="1"/>
    <col min="3329" max="3329" width="28.6640625" customWidth="1"/>
    <col min="3585" max="3585" width="28.6640625" customWidth="1"/>
    <col min="3841" max="3841" width="28.6640625" customWidth="1"/>
    <col min="4097" max="4097" width="28.6640625" customWidth="1"/>
    <col min="4353" max="4353" width="28.6640625" customWidth="1"/>
    <col min="4609" max="4609" width="28.6640625" customWidth="1"/>
    <col min="4865" max="4865" width="28.6640625" customWidth="1"/>
    <col min="5121" max="5121" width="28.6640625" customWidth="1"/>
    <col min="5377" max="5377" width="28.6640625" customWidth="1"/>
    <col min="5633" max="5633" width="28.6640625" customWidth="1"/>
    <col min="5889" max="5889" width="28.6640625" customWidth="1"/>
    <col min="6145" max="6145" width="28.6640625" customWidth="1"/>
    <col min="6401" max="6401" width="28.6640625" customWidth="1"/>
    <col min="6657" max="6657" width="28.6640625" customWidth="1"/>
    <col min="6913" max="6913" width="28.6640625" customWidth="1"/>
    <col min="7169" max="7169" width="28.6640625" customWidth="1"/>
    <col min="7425" max="7425" width="28.6640625" customWidth="1"/>
    <col min="7681" max="7681" width="28.6640625" customWidth="1"/>
    <col min="7937" max="7937" width="28.6640625" customWidth="1"/>
    <col min="8193" max="8193" width="28.6640625" customWidth="1"/>
    <col min="8449" max="8449" width="28.6640625" customWidth="1"/>
    <col min="8705" max="8705" width="28.6640625" customWidth="1"/>
    <col min="8961" max="8961" width="28.6640625" customWidth="1"/>
    <col min="9217" max="9217" width="28.6640625" customWidth="1"/>
    <col min="9473" max="9473" width="28.6640625" customWidth="1"/>
    <col min="9729" max="9729" width="28.6640625" customWidth="1"/>
    <col min="9985" max="9985" width="28.6640625" customWidth="1"/>
    <col min="10241" max="10241" width="28.6640625" customWidth="1"/>
    <col min="10497" max="10497" width="28.6640625" customWidth="1"/>
    <col min="10753" max="10753" width="28.6640625" customWidth="1"/>
    <col min="11009" max="11009" width="28.6640625" customWidth="1"/>
    <col min="11265" max="11265" width="28.6640625" customWidth="1"/>
    <col min="11521" max="11521" width="28.6640625" customWidth="1"/>
    <col min="11777" max="11777" width="28.6640625" customWidth="1"/>
    <col min="12033" max="12033" width="28.6640625" customWidth="1"/>
    <col min="12289" max="12289" width="28.6640625" customWidth="1"/>
    <col min="12545" max="12545" width="28.6640625" customWidth="1"/>
    <col min="12801" max="12801" width="28.6640625" customWidth="1"/>
    <col min="13057" max="13057" width="28.6640625" customWidth="1"/>
    <col min="13313" max="13313" width="28.6640625" customWidth="1"/>
    <col min="13569" max="13569" width="28.6640625" customWidth="1"/>
    <col min="13825" max="13825" width="28.6640625" customWidth="1"/>
    <col min="14081" max="14081" width="28.6640625" customWidth="1"/>
    <col min="14337" max="14337" width="28.6640625" customWidth="1"/>
    <col min="14593" max="14593" width="28.6640625" customWidth="1"/>
    <col min="14849" max="14849" width="28.6640625" customWidth="1"/>
    <col min="15105" max="15105" width="28.6640625" customWidth="1"/>
    <col min="15361" max="15361" width="28.6640625" customWidth="1"/>
    <col min="15617" max="15617" width="28.6640625" customWidth="1"/>
    <col min="15873" max="15873" width="28.6640625" customWidth="1"/>
    <col min="16129" max="16129" width="28.6640625" customWidth="1"/>
  </cols>
  <sheetData>
    <row r="1" spans="1:8" ht="28.8" x14ac:dyDescent="0.3">
      <c r="A1" s="45" t="s">
        <v>124</v>
      </c>
      <c r="B1" s="46"/>
      <c r="C1" s="46"/>
      <c r="D1" s="46"/>
      <c r="E1" s="46"/>
      <c r="F1" s="46"/>
      <c r="G1" s="47"/>
    </row>
    <row r="2" spans="1:8" x14ac:dyDescent="0.3">
      <c r="A2" s="1" t="s">
        <v>125</v>
      </c>
      <c r="B2" s="1">
        <v>1.25</v>
      </c>
    </row>
    <row r="3" spans="1:8" x14ac:dyDescent="0.3">
      <c r="A3" s="1" t="s">
        <v>126</v>
      </c>
      <c r="B3" s="1">
        <v>0.04</v>
      </c>
    </row>
    <row r="4" spans="1:8" x14ac:dyDescent="0.3">
      <c r="A4" s="1" t="s">
        <v>127</v>
      </c>
      <c r="B4" s="31">
        <f>B2/B3</f>
        <v>31.25</v>
      </c>
    </row>
    <row r="5" spans="1:8" x14ac:dyDescent="0.3">
      <c r="A5" s="55" t="s">
        <v>81</v>
      </c>
      <c r="B5" s="45" t="str">
        <f>"The value of a stock with these parameters would be "&amp;DOLLAR(B4)&amp;"."</f>
        <v>The value of a stock with these parameters would be $31.25.</v>
      </c>
      <c r="C5" s="46"/>
      <c r="D5" s="46"/>
      <c r="E5" s="46"/>
      <c r="F5" s="46"/>
      <c r="G5" s="46"/>
      <c r="H5" s="47"/>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00FF"/>
  </sheetPr>
  <dimension ref="A1:C19"/>
  <sheetViews>
    <sheetView zoomScale="115" zoomScaleNormal="115" workbookViewId="0"/>
  </sheetViews>
  <sheetFormatPr defaultRowHeight="14.4" x14ac:dyDescent="0.3"/>
  <cols>
    <col min="1" max="1" width="12.33203125" style="7" customWidth="1"/>
    <col min="2" max="3" width="13.33203125" bestFit="1" customWidth="1"/>
    <col min="257" max="257" width="12.33203125" customWidth="1"/>
    <col min="258" max="259" width="13.33203125" bestFit="1" customWidth="1"/>
    <col min="513" max="513" width="12.33203125" customWidth="1"/>
    <col min="514" max="515" width="13.33203125" bestFit="1" customWidth="1"/>
    <col min="769" max="769" width="12.33203125" customWidth="1"/>
    <col min="770" max="771" width="13.33203125" bestFit="1" customWidth="1"/>
    <col min="1025" max="1025" width="12.33203125" customWidth="1"/>
    <col min="1026" max="1027" width="13.33203125" bestFit="1" customWidth="1"/>
    <col min="1281" max="1281" width="12.33203125" customWidth="1"/>
    <col min="1282" max="1283" width="13.33203125" bestFit="1" customWidth="1"/>
    <col min="1537" max="1537" width="12.33203125" customWidth="1"/>
    <col min="1538" max="1539" width="13.33203125" bestFit="1" customWidth="1"/>
    <col min="1793" max="1793" width="12.33203125" customWidth="1"/>
    <col min="1794" max="1795" width="13.33203125" bestFit="1" customWidth="1"/>
    <col min="2049" max="2049" width="12.33203125" customWidth="1"/>
    <col min="2050" max="2051" width="13.33203125" bestFit="1" customWidth="1"/>
    <col min="2305" max="2305" width="12.33203125" customWidth="1"/>
    <col min="2306" max="2307" width="13.33203125" bestFit="1" customWidth="1"/>
    <col min="2561" max="2561" width="12.33203125" customWidth="1"/>
    <col min="2562" max="2563" width="13.33203125" bestFit="1" customWidth="1"/>
    <col min="2817" max="2817" width="12.33203125" customWidth="1"/>
    <col min="2818" max="2819" width="13.33203125" bestFit="1" customWidth="1"/>
    <col min="3073" max="3073" width="12.33203125" customWidth="1"/>
    <col min="3074" max="3075" width="13.33203125" bestFit="1" customWidth="1"/>
    <col min="3329" max="3329" width="12.33203125" customWidth="1"/>
    <col min="3330" max="3331" width="13.33203125" bestFit="1" customWidth="1"/>
    <col min="3585" max="3585" width="12.33203125" customWidth="1"/>
    <col min="3586" max="3587" width="13.33203125" bestFit="1" customWidth="1"/>
    <col min="3841" max="3841" width="12.33203125" customWidth="1"/>
    <col min="3842" max="3843" width="13.33203125" bestFit="1" customWidth="1"/>
    <col min="4097" max="4097" width="12.33203125" customWidth="1"/>
    <col min="4098" max="4099" width="13.33203125" bestFit="1" customWidth="1"/>
    <col min="4353" max="4353" width="12.33203125" customWidth="1"/>
    <col min="4354" max="4355" width="13.33203125" bestFit="1" customWidth="1"/>
    <col min="4609" max="4609" width="12.33203125" customWidth="1"/>
    <col min="4610" max="4611" width="13.33203125" bestFit="1" customWidth="1"/>
    <col min="4865" max="4865" width="12.33203125" customWidth="1"/>
    <col min="4866" max="4867" width="13.33203125" bestFit="1" customWidth="1"/>
    <col min="5121" max="5121" width="12.33203125" customWidth="1"/>
    <col min="5122" max="5123" width="13.33203125" bestFit="1" customWidth="1"/>
    <col min="5377" max="5377" width="12.33203125" customWidth="1"/>
    <col min="5378" max="5379" width="13.33203125" bestFit="1" customWidth="1"/>
    <col min="5633" max="5633" width="12.33203125" customWidth="1"/>
    <col min="5634" max="5635" width="13.33203125" bestFit="1" customWidth="1"/>
    <col min="5889" max="5889" width="12.33203125" customWidth="1"/>
    <col min="5890" max="5891" width="13.33203125" bestFit="1" customWidth="1"/>
    <col min="6145" max="6145" width="12.33203125" customWidth="1"/>
    <col min="6146" max="6147" width="13.33203125" bestFit="1" customWidth="1"/>
    <col min="6401" max="6401" width="12.33203125" customWidth="1"/>
    <col min="6402" max="6403" width="13.33203125" bestFit="1" customWidth="1"/>
    <col min="6657" max="6657" width="12.33203125" customWidth="1"/>
    <col min="6658" max="6659" width="13.33203125" bestFit="1" customWidth="1"/>
    <col min="6913" max="6913" width="12.33203125" customWidth="1"/>
    <col min="6914" max="6915" width="13.33203125" bestFit="1" customWidth="1"/>
    <col min="7169" max="7169" width="12.33203125" customWidth="1"/>
    <col min="7170" max="7171" width="13.33203125" bestFit="1" customWidth="1"/>
    <col min="7425" max="7425" width="12.33203125" customWidth="1"/>
    <col min="7426" max="7427" width="13.33203125" bestFit="1" customWidth="1"/>
    <col min="7681" max="7681" width="12.33203125" customWidth="1"/>
    <col min="7682" max="7683" width="13.33203125" bestFit="1" customWidth="1"/>
    <col min="7937" max="7937" width="12.33203125" customWidth="1"/>
    <col min="7938" max="7939" width="13.33203125" bestFit="1" customWidth="1"/>
    <col min="8193" max="8193" width="12.33203125" customWidth="1"/>
    <col min="8194" max="8195" width="13.33203125" bestFit="1" customWidth="1"/>
    <col min="8449" max="8449" width="12.33203125" customWidth="1"/>
    <col min="8450" max="8451" width="13.33203125" bestFit="1" customWidth="1"/>
    <col min="8705" max="8705" width="12.33203125" customWidth="1"/>
    <col min="8706" max="8707" width="13.33203125" bestFit="1" customWidth="1"/>
    <col min="8961" max="8961" width="12.33203125" customWidth="1"/>
    <col min="8962" max="8963" width="13.33203125" bestFit="1" customWidth="1"/>
    <col min="9217" max="9217" width="12.33203125" customWidth="1"/>
    <col min="9218" max="9219" width="13.33203125" bestFit="1" customWidth="1"/>
    <col min="9473" max="9473" width="12.33203125" customWidth="1"/>
    <col min="9474" max="9475" width="13.33203125" bestFit="1" customWidth="1"/>
    <col min="9729" max="9729" width="12.33203125" customWidth="1"/>
    <col min="9730" max="9731" width="13.33203125" bestFit="1" customWidth="1"/>
    <col min="9985" max="9985" width="12.33203125" customWidth="1"/>
    <col min="9986" max="9987" width="13.33203125" bestFit="1" customWidth="1"/>
    <col min="10241" max="10241" width="12.33203125" customWidth="1"/>
    <col min="10242" max="10243" width="13.33203125" bestFit="1" customWidth="1"/>
    <col min="10497" max="10497" width="12.33203125" customWidth="1"/>
    <col min="10498" max="10499" width="13.33203125" bestFit="1" customWidth="1"/>
    <col min="10753" max="10753" width="12.33203125" customWidth="1"/>
    <col min="10754" max="10755" width="13.33203125" bestFit="1" customWidth="1"/>
    <col min="11009" max="11009" width="12.33203125" customWidth="1"/>
    <col min="11010" max="11011" width="13.33203125" bestFit="1" customWidth="1"/>
    <col min="11265" max="11265" width="12.33203125" customWidth="1"/>
    <col min="11266" max="11267" width="13.33203125" bestFit="1" customWidth="1"/>
    <col min="11521" max="11521" width="12.33203125" customWidth="1"/>
    <col min="11522" max="11523" width="13.33203125" bestFit="1" customWidth="1"/>
    <col min="11777" max="11777" width="12.33203125" customWidth="1"/>
    <col min="11778" max="11779" width="13.33203125" bestFit="1" customWidth="1"/>
    <col min="12033" max="12033" width="12.33203125" customWidth="1"/>
    <col min="12034" max="12035" width="13.33203125" bestFit="1" customWidth="1"/>
    <col min="12289" max="12289" width="12.33203125" customWidth="1"/>
    <col min="12290" max="12291" width="13.33203125" bestFit="1" customWidth="1"/>
    <col min="12545" max="12545" width="12.33203125" customWidth="1"/>
    <col min="12546" max="12547" width="13.33203125" bestFit="1" customWidth="1"/>
    <col min="12801" max="12801" width="12.33203125" customWidth="1"/>
    <col min="12802" max="12803" width="13.33203125" bestFit="1" customWidth="1"/>
    <col min="13057" max="13057" width="12.33203125" customWidth="1"/>
    <col min="13058" max="13059" width="13.33203125" bestFit="1" customWidth="1"/>
    <col min="13313" max="13313" width="12.33203125" customWidth="1"/>
    <col min="13314" max="13315" width="13.33203125" bestFit="1" customWidth="1"/>
    <col min="13569" max="13569" width="12.33203125" customWidth="1"/>
    <col min="13570" max="13571" width="13.33203125" bestFit="1" customWidth="1"/>
    <col min="13825" max="13825" width="12.33203125" customWidth="1"/>
    <col min="13826" max="13827" width="13.33203125" bestFit="1" customWidth="1"/>
    <col min="14081" max="14081" width="12.33203125" customWidth="1"/>
    <col min="14082" max="14083" width="13.33203125" bestFit="1" customWidth="1"/>
    <col min="14337" max="14337" width="12.33203125" customWidth="1"/>
    <col min="14338" max="14339" width="13.33203125" bestFit="1" customWidth="1"/>
    <col min="14593" max="14593" width="12.33203125" customWidth="1"/>
    <col min="14594" max="14595" width="13.33203125" bestFit="1" customWidth="1"/>
    <col min="14849" max="14849" width="12.33203125" customWidth="1"/>
    <col min="14850" max="14851" width="13.33203125" bestFit="1" customWidth="1"/>
    <col min="15105" max="15105" width="12.33203125" customWidth="1"/>
    <col min="15106" max="15107" width="13.33203125" bestFit="1" customWidth="1"/>
    <col min="15361" max="15361" width="12.33203125" customWidth="1"/>
    <col min="15362" max="15363" width="13.33203125" bestFit="1" customWidth="1"/>
    <col min="15617" max="15617" width="12.33203125" customWidth="1"/>
    <col min="15618" max="15619" width="13.33203125" bestFit="1" customWidth="1"/>
    <col min="15873" max="15873" width="12.33203125" customWidth="1"/>
    <col min="15874" max="15875" width="13.33203125" bestFit="1" customWidth="1"/>
    <col min="16129" max="16129" width="12.33203125" customWidth="1"/>
    <col min="16130" max="16131" width="13.33203125" bestFit="1" customWidth="1"/>
  </cols>
  <sheetData>
    <row r="1" spans="1:3" x14ac:dyDescent="0.3">
      <c r="A1" s="60" t="s">
        <v>128</v>
      </c>
      <c r="B1" s="48"/>
      <c r="C1" s="43"/>
    </row>
    <row r="2" spans="1:3" ht="28.8" x14ac:dyDescent="0.3">
      <c r="A2" s="6" t="s">
        <v>129</v>
      </c>
      <c r="B2" s="50">
        <v>1000000</v>
      </c>
    </row>
    <row r="3" spans="1:3" x14ac:dyDescent="0.3">
      <c r="A3" s="6" t="s">
        <v>130</v>
      </c>
      <c r="B3" s="64">
        <v>0.1</v>
      </c>
    </row>
    <row r="4" spans="1:3" x14ac:dyDescent="0.3">
      <c r="A4" s="6" t="s">
        <v>113</v>
      </c>
      <c r="B4" s="1">
        <v>2</v>
      </c>
    </row>
    <row r="5" spans="1:3" x14ac:dyDescent="0.3">
      <c r="A5" s="6" t="s">
        <v>76</v>
      </c>
      <c r="B5" s="1">
        <v>5</v>
      </c>
    </row>
    <row r="6" spans="1:3" ht="28.8" x14ac:dyDescent="0.3">
      <c r="A6" s="6" t="s">
        <v>131</v>
      </c>
      <c r="B6" s="65"/>
    </row>
    <row r="8" spans="1:3" x14ac:dyDescent="0.3">
      <c r="A8" s="66" t="s">
        <v>25</v>
      </c>
      <c r="B8" s="67" t="s">
        <v>132</v>
      </c>
      <c r="C8" s="67" t="s">
        <v>133</v>
      </c>
    </row>
    <row r="9" spans="1:3" x14ac:dyDescent="0.3">
      <c r="A9" s="6">
        <v>0</v>
      </c>
      <c r="B9" s="1"/>
      <c r="C9" s="1"/>
    </row>
    <row r="10" spans="1:3" x14ac:dyDescent="0.3">
      <c r="A10" s="6">
        <v>1</v>
      </c>
      <c r="B10" s="127"/>
      <c r="C10" s="1"/>
    </row>
    <row r="11" spans="1:3" x14ac:dyDescent="0.3">
      <c r="A11" s="6">
        <v>2</v>
      </c>
      <c r="B11" s="127"/>
      <c r="C11" s="1"/>
    </row>
    <row r="12" spans="1:3" x14ac:dyDescent="0.3">
      <c r="A12" s="6">
        <v>3</v>
      </c>
      <c r="B12" s="127"/>
      <c r="C12" s="1"/>
    </row>
    <row r="13" spans="1:3" x14ac:dyDescent="0.3">
      <c r="A13" s="6">
        <v>4</v>
      </c>
      <c r="B13" s="127"/>
      <c r="C13" s="1"/>
    </row>
    <row r="14" spans="1:3" x14ac:dyDescent="0.3">
      <c r="A14" s="6">
        <v>5</v>
      </c>
      <c r="B14" s="127"/>
      <c r="C14" s="1"/>
    </row>
    <row r="15" spans="1:3" x14ac:dyDescent="0.3">
      <c r="A15" s="6">
        <v>6</v>
      </c>
      <c r="B15" s="127"/>
      <c r="C15" s="1"/>
    </row>
    <row r="16" spans="1:3" x14ac:dyDescent="0.3">
      <c r="A16" s="6">
        <v>7</v>
      </c>
      <c r="B16" s="127"/>
      <c r="C16" s="1"/>
    </row>
    <row r="17" spans="1:3" x14ac:dyDescent="0.3">
      <c r="A17" s="6">
        <v>8</v>
      </c>
      <c r="B17" s="127"/>
      <c r="C17" s="1"/>
    </row>
    <row r="18" spans="1:3" x14ac:dyDescent="0.3">
      <c r="A18" s="6">
        <v>9</v>
      </c>
      <c r="B18" s="127"/>
      <c r="C18" s="1"/>
    </row>
    <row r="19" spans="1:3" x14ac:dyDescent="0.3">
      <c r="A19" s="6">
        <v>10</v>
      </c>
      <c r="B19" s="127"/>
      <c r="C19" s="68">
        <f>B2</f>
        <v>1000000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E19"/>
  <sheetViews>
    <sheetView workbookViewId="0"/>
  </sheetViews>
  <sheetFormatPr defaultRowHeight="14.4" x14ac:dyDescent="0.3"/>
  <cols>
    <col min="1" max="1" width="12.33203125" style="7" customWidth="1"/>
    <col min="2" max="3" width="13.33203125" bestFit="1" customWidth="1"/>
    <col min="5" max="5" width="14.77734375" customWidth="1"/>
    <col min="257" max="257" width="12.33203125" customWidth="1"/>
    <col min="258" max="259" width="13.33203125" bestFit="1" customWidth="1"/>
    <col min="513" max="513" width="12.33203125" customWidth="1"/>
    <col min="514" max="515" width="13.33203125" bestFit="1" customWidth="1"/>
    <col min="769" max="769" width="12.33203125" customWidth="1"/>
    <col min="770" max="771" width="13.33203125" bestFit="1" customWidth="1"/>
    <col min="1025" max="1025" width="12.33203125" customWidth="1"/>
    <col min="1026" max="1027" width="13.33203125" bestFit="1" customWidth="1"/>
    <col min="1281" max="1281" width="12.33203125" customWidth="1"/>
    <col min="1282" max="1283" width="13.33203125" bestFit="1" customWidth="1"/>
    <col min="1537" max="1537" width="12.33203125" customWidth="1"/>
    <col min="1538" max="1539" width="13.33203125" bestFit="1" customWidth="1"/>
    <col min="1793" max="1793" width="12.33203125" customWidth="1"/>
    <col min="1794" max="1795" width="13.33203125" bestFit="1" customWidth="1"/>
    <col min="2049" max="2049" width="12.33203125" customWidth="1"/>
    <col min="2050" max="2051" width="13.33203125" bestFit="1" customWidth="1"/>
    <col min="2305" max="2305" width="12.33203125" customWidth="1"/>
    <col min="2306" max="2307" width="13.33203125" bestFit="1" customWidth="1"/>
    <col min="2561" max="2561" width="12.33203125" customWidth="1"/>
    <col min="2562" max="2563" width="13.33203125" bestFit="1" customWidth="1"/>
    <col min="2817" max="2817" width="12.33203125" customWidth="1"/>
    <col min="2818" max="2819" width="13.33203125" bestFit="1" customWidth="1"/>
    <col min="3073" max="3073" width="12.33203125" customWidth="1"/>
    <col min="3074" max="3075" width="13.33203125" bestFit="1" customWidth="1"/>
    <col min="3329" max="3329" width="12.33203125" customWidth="1"/>
    <col min="3330" max="3331" width="13.33203125" bestFit="1" customWidth="1"/>
    <col min="3585" max="3585" width="12.33203125" customWidth="1"/>
    <col min="3586" max="3587" width="13.33203125" bestFit="1" customWidth="1"/>
    <col min="3841" max="3841" width="12.33203125" customWidth="1"/>
    <col min="3842" max="3843" width="13.33203125" bestFit="1" customWidth="1"/>
    <col min="4097" max="4097" width="12.33203125" customWidth="1"/>
    <col min="4098" max="4099" width="13.33203125" bestFit="1" customWidth="1"/>
    <col min="4353" max="4353" width="12.33203125" customWidth="1"/>
    <col min="4354" max="4355" width="13.33203125" bestFit="1" customWidth="1"/>
    <col min="4609" max="4609" width="12.33203125" customWidth="1"/>
    <col min="4610" max="4611" width="13.33203125" bestFit="1" customWidth="1"/>
    <col min="4865" max="4865" width="12.33203125" customWidth="1"/>
    <col min="4866" max="4867" width="13.33203125" bestFit="1" customWidth="1"/>
    <col min="5121" max="5121" width="12.33203125" customWidth="1"/>
    <col min="5122" max="5123" width="13.33203125" bestFit="1" customWidth="1"/>
    <col min="5377" max="5377" width="12.33203125" customWidth="1"/>
    <col min="5378" max="5379" width="13.33203125" bestFit="1" customWidth="1"/>
    <col min="5633" max="5633" width="12.33203125" customWidth="1"/>
    <col min="5634" max="5635" width="13.33203125" bestFit="1" customWidth="1"/>
    <col min="5889" max="5889" width="12.33203125" customWidth="1"/>
    <col min="5890" max="5891" width="13.33203125" bestFit="1" customWidth="1"/>
    <col min="6145" max="6145" width="12.33203125" customWidth="1"/>
    <col min="6146" max="6147" width="13.33203125" bestFit="1" customWidth="1"/>
    <col min="6401" max="6401" width="12.33203125" customWidth="1"/>
    <col min="6402" max="6403" width="13.33203125" bestFit="1" customWidth="1"/>
    <col min="6657" max="6657" width="12.33203125" customWidth="1"/>
    <col min="6658" max="6659" width="13.33203125" bestFit="1" customWidth="1"/>
    <col min="6913" max="6913" width="12.33203125" customWidth="1"/>
    <col min="6914" max="6915" width="13.33203125" bestFit="1" customWidth="1"/>
    <col min="7169" max="7169" width="12.33203125" customWidth="1"/>
    <col min="7170" max="7171" width="13.33203125" bestFit="1" customWidth="1"/>
    <col min="7425" max="7425" width="12.33203125" customWidth="1"/>
    <col min="7426" max="7427" width="13.33203125" bestFit="1" customWidth="1"/>
    <col min="7681" max="7681" width="12.33203125" customWidth="1"/>
    <col min="7682" max="7683" width="13.33203125" bestFit="1" customWidth="1"/>
    <col min="7937" max="7937" width="12.33203125" customWidth="1"/>
    <col min="7938" max="7939" width="13.33203125" bestFit="1" customWidth="1"/>
    <col min="8193" max="8193" width="12.33203125" customWidth="1"/>
    <col min="8194" max="8195" width="13.33203125" bestFit="1" customWidth="1"/>
    <col min="8449" max="8449" width="12.33203125" customWidth="1"/>
    <col min="8450" max="8451" width="13.33203125" bestFit="1" customWidth="1"/>
    <col min="8705" max="8705" width="12.33203125" customWidth="1"/>
    <col min="8706" max="8707" width="13.33203125" bestFit="1" customWidth="1"/>
    <col min="8961" max="8961" width="12.33203125" customWidth="1"/>
    <col min="8962" max="8963" width="13.33203125" bestFit="1" customWidth="1"/>
    <col min="9217" max="9217" width="12.33203125" customWidth="1"/>
    <col min="9218" max="9219" width="13.33203125" bestFit="1" customWidth="1"/>
    <col min="9473" max="9473" width="12.33203125" customWidth="1"/>
    <col min="9474" max="9475" width="13.33203125" bestFit="1" customWidth="1"/>
    <col min="9729" max="9729" width="12.33203125" customWidth="1"/>
    <col min="9730" max="9731" width="13.33203125" bestFit="1" customWidth="1"/>
    <col min="9985" max="9985" width="12.33203125" customWidth="1"/>
    <col min="9986" max="9987" width="13.33203125" bestFit="1" customWidth="1"/>
    <col min="10241" max="10241" width="12.33203125" customWidth="1"/>
    <col min="10242" max="10243" width="13.33203125" bestFit="1" customWidth="1"/>
    <col min="10497" max="10497" width="12.33203125" customWidth="1"/>
    <col min="10498" max="10499" width="13.33203125" bestFit="1" customWidth="1"/>
    <col min="10753" max="10753" width="12.33203125" customWidth="1"/>
    <col min="10754" max="10755" width="13.33203125" bestFit="1" customWidth="1"/>
    <col min="11009" max="11009" width="12.33203125" customWidth="1"/>
    <col min="11010" max="11011" width="13.33203125" bestFit="1" customWidth="1"/>
    <col min="11265" max="11265" width="12.33203125" customWidth="1"/>
    <col min="11266" max="11267" width="13.33203125" bestFit="1" customWidth="1"/>
    <col min="11521" max="11521" width="12.33203125" customWidth="1"/>
    <col min="11522" max="11523" width="13.33203125" bestFit="1" customWidth="1"/>
    <col min="11777" max="11777" width="12.33203125" customWidth="1"/>
    <col min="11778" max="11779" width="13.33203125" bestFit="1" customWidth="1"/>
    <col min="12033" max="12033" width="12.33203125" customWidth="1"/>
    <col min="12034" max="12035" width="13.33203125" bestFit="1" customWidth="1"/>
    <col min="12289" max="12289" width="12.33203125" customWidth="1"/>
    <col min="12290" max="12291" width="13.33203125" bestFit="1" customWidth="1"/>
    <col min="12545" max="12545" width="12.33203125" customWidth="1"/>
    <col min="12546" max="12547" width="13.33203125" bestFit="1" customWidth="1"/>
    <col min="12801" max="12801" width="12.33203125" customWidth="1"/>
    <col min="12802" max="12803" width="13.33203125" bestFit="1" customWidth="1"/>
    <col min="13057" max="13057" width="12.33203125" customWidth="1"/>
    <col min="13058" max="13059" width="13.33203125" bestFit="1" customWidth="1"/>
    <col min="13313" max="13313" width="12.33203125" customWidth="1"/>
    <col min="13314" max="13315" width="13.33203125" bestFit="1" customWidth="1"/>
    <col min="13569" max="13569" width="12.33203125" customWidth="1"/>
    <col min="13570" max="13571" width="13.33203125" bestFit="1" customWidth="1"/>
    <col min="13825" max="13825" width="12.33203125" customWidth="1"/>
    <col min="13826" max="13827" width="13.33203125" bestFit="1" customWidth="1"/>
    <col min="14081" max="14081" width="12.33203125" customWidth="1"/>
    <col min="14082" max="14083" width="13.33203125" bestFit="1" customWidth="1"/>
    <col min="14337" max="14337" width="12.33203125" customWidth="1"/>
    <col min="14338" max="14339" width="13.33203125" bestFit="1" customWidth="1"/>
    <col min="14593" max="14593" width="12.33203125" customWidth="1"/>
    <col min="14594" max="14595" width="13.33203125" bestFit="1" customWidth="1"/>
    <col min="14849" max="14849" width="12.33203125" customWidth="1"/>
    <col min="14850" max="14851" width="13.33203125" bestFit="1" customWidth="1"/>
    <col min="15105" max="15105" width="12.33203125" customWidth="1"/>
    <col min="15106" max="15107" width="13.33203125" bestFit="1" customWidth="1"/>
    <col min="15361" max="15361" width="12.33203125" customWidth="1"/>
    <col min="15362" max="15363" width="13.33203125" bestFit="1" customWidth="1"/>
    <col min="15617" max="15617" width="12.33203125" customWidth="1"/>
    <col min="15618" max="15619" width="13.33203125" bestFit="1" customWidth="1"/>
    <col min="15873" max="15873" width="12.33203125" customWidth="1"/>
    <col min="15874" max="15875" width="13.33203125" bestFit="1" customWidth="1"/>
    <col min="16129" max="16129" width="12.33203125" customWidth="1"/>
    <col min="16130" max="16131" width="13.33203125" bestFit="1" customWidth="1"/>
  </cols>
  <sheetData>
    <row r="1" spans="1:5" x14ac:dyDescent="0.3">
      <c r="A1" s="60" t="s">
        <v>128</v>
      </c>
      <c r="B1" s="48"/>
      <c r="C1" s="43"/>
    </row>
    <row r="2" spans="1:5" ht="28.8" x14ac:dyDescent="0.3">
      <c r="A2" s="6" t="s">
        <v>129</v>
      </c>
      <c r="B2" s="50">
        <v>1000000</v>
      </c>
    </row>
    <row r="3" spans="1:5" x14ac:dyDescent="0.3">
      <c r="A3" s="6" t="s">
        <v>130</v>
      </c>
      <c r="B3" s="64">
        <v>0.1</v>
      </c>
    </row>
    <row r="4" spans="1:5" x14ac:dyDescent="0.3">
      <c r="A4" s="6" t="s">
        <v>113</v>
      </c>
      <c r="B4" s="1">
        <v>2</v>
      </c>
    </row>
    <row r="5" spans="1:5" x14ac:dyDescent="0.3">
      <c r="A5" s="6" t="s">
        <v>76</v>
      </c>
      <c r="B5" s="1">
        <v>5</v>
      </c>
    </row>
    <row r="6" spans="1:5" ht="28.8" x14ac:dyDescent="0.3">
      <c r="A6" s="6" t="s">
        <v>131</v>
      </c>
      <c r="B6" s="65">
        <f>B2*B3/B4</f>
        <v>50000</v>
      </c>
    </row>
    <row r="8" spans="1:5" x14ac:dyDescent="0.3">
      <c r="A8" s="66" t="s">
        <v>25</v>
      </c>
      <c r="B8" s="67" t="s">
        <v>132</v>
      </c>
      <c r="C8" s="67" t="s">
        <v>133</v>
      </c>
    </row>
    <row r="9" spans="1:5" x14ac:dyDescent="0.3">
      <c r="A9" s="6">
        <v>0</v>
      </c>
      <c r="B9" s="1"/>
      <c r="C9" s="1"/>
      <c r="E9" s="85" t="s">
        <v>220</v>
      </c>
    </row>
    <row r="10" spans="1:5" x14ac:dyDescent="0.3">
      <c r="A10" s="6">
        <v>1</v>
      </c>
      <c r="B10" s="127">
        <f>$B$6</f>
        <v>50000</v>
      </c>
      <c r="C10" s="1"/>
      <c r="E10" s="127" cm="1">
        <f t="array" ref="E10:E19">_xlfn.SEQUENCE(A19,,B6,0)</f>
        <v>50000</v>
      </c>
    </row>
    <row r="11" spans="1:5" x14ac:dyDescent="0.3">
      <c r="A11" s="6">
        <v>2</v>
      </c>
      <c r="B11" s="127">
        <f t="shared" ref="B11:B19" si="0">$B$6</f>
        <v>50000</v>
      </c>
      <c r="C11" s="1"/>
      <c r="E11" s="127">
        <v>50000</v>
      </c>
    </row>
    <row r="12" spans="1:5" x14ac:dyDescent="0.3">
      <c r="A12" s="6">
        <v>3</v>
      </c>
      <c r="B12" s="127">
        <f t="shared" si="0"/>
        <v>50000</v>
      </c>
      <c r="C12" s="1"/>
      <c r="E12" s="127">
        <v>50000</v>
      </c>
    </row>
    <row r="13" spans="1:5" x14ac:dyDescent="0.3">
      <c r="A13" s="6">
        <v>4</v>
      </c>
      <c r="B13" s="127">
        <f t="shared" si="0"/>
        <v>50000</v>
      </c>
      <c r="C13" s="1"/>
      <c r="E13" s="127">
        <v>50000</v>
      </c>
    </row>
    <row r="14" spans="1:5" x14ac:dyDescent="0.3">
      <c r="A14" s="6">
        <v>5</v>
      </c>
      <c r="B14" s="127">
        <f t="shared" si="0"/>
        <v>50000</v>
      </c>
      <c r="C14" s="1"/>
      <c r="E14" s="127">
        <v>50000</v>
      </c>
    </row>
    <row r="15" spans="1:5" x14ac:dyDescent="0.3">
      <c r="A15" s="6">
        <v>6</v>
      </c>
      <c r="B15" s="127">
        <f t="shared" si="0"/>
        <v>50000</v>
      </c>
      <c r="C15" s="1"/>
      <c r="E15" s="127">
        <v>50000</v>
      </c>
    </row>
    <row r="16" spans="1:5" x14ac:dyDescent="0.3">
      <c r="A16" s="6">
        <v>7</v>
      </c>
      <c r="B16" s="127">
        <f t="shared" si="0"/>
        <v>50000</v>
      </c>
      <c r="C16" s="1"/>
      <c r="E16" s="127">
        <v>50000</v>
      </c>
    </row>
    <row r="17" spans="1:5" x14ac:dyDescent="0.3">
      <c r="A17" s="6">
        <v>8</v>
      </c>
      <c r="B17" s="127">
        <f t="shared" si="0"/>
        <v>50000</v>
      </c>
      <c r="C17" s="1"/>
      <c r="E17" s="127">
        <v>50000</v>
      </c>
    </row>
    <row r="18" spans="1:5" x14ac:dyDescent="0.3">
      <c r="A18" s="6">
        <v>9</v>
      </c>
      <c r="B18" s="127">
        <f t="shared" si="0"/>
        <v>50000</v>
      </c>
      <c r="C18" s="1"/>
      <c r="E18" s="127">
        <v>50000</v>
      </c>
    </row>
    <row r="19" spans="1:5" x14ac:dyDescent="0.3">
      <c r="A19" s="6">
        <v>10</v>
      </c>
      <c r="B19" s="127">
        <f t="shared" si="0"/>
        <v>50000</v>
      </c>
      <c r="C19" s="68">
        <f>B2</f>
        <v>1000000</v>
      </c>
      <c r="E19" s="127">
        <v>50000</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00FF"/>
  </sheetPr>
  <dimension ref="A1:B7"/>
  <sheetViews>
    <sheetView zoomScale="145" zoomScaleNormal="145" workbookViewId="0"/>
  </sheetViews>
  <sheetFormatPr defaultColWidth="22.88671875" defaultRowHeight="14.4" x14ac:dyDescent="0.3"/>
  <cols>
    <col min="1" max="1" width="15.77734375" customWidth="1"/>
    <col min="2" max="2" width="12.6640625" bestFit="1" customWidth="1"/>
    <col min="3" max="3" width="11.44140625" customWidth="1"/>
    <col min="4" max="4" width="11.77734375" bestFit="1" customWidth="1"/>
    <col min="5" max="5" width="14.5546875" bestFit="1" customWidth="1"/>
    <col min="6" max="6" width="16.6640625" bestFit="1" customWidth="1"/>
    <col min="7" max="7" width="18.44140625" bestFit="1" customWidth="1"/>
    <col min="257" max="257" width="22.6640625" bestFit="1" customWidth="1"/>
    <col min="258" max="258" width="12.6640625" bestFit="1" customWidth="1"/>
    <col min="259" max="259" width="7.33203125" bestFit="1" customWidth="1"/>
    <col min="260" max="260" width="10.6640625" bestFit="1" customWidth="1"/>
    <col min="261" max="261" width="14.5546875" bestFit="1" customWidth="1"/>
    <col min="262" max="262" width="16.6640625" bestFit="1" customWidth="1"/>
    <col min="263" max="263" width="18.44140625" bestFit="1" customWidth="1"/>
    <col min="513" max="513" width="22.6640625" bestFit="1" customWidth="1"/>
    <col min="514" max="514" width="12.6640625" bestFit="1" customWidth="1"/>
    <col min="515" max="515" width="7.33203125" bestFit="1" customWidth="1"/>
    <col min="516" max="516" width="10.6640625" bestFit="1" customWidth="1"/>
    <col min="517" max="517" width="14.5546875" bestFit="1" customWidth="1"/>
    <col min="518" max="518" width="16.6640625" bestFit="1" customWidth="1"/>
    <col min="519" max="519" width="18.44140625" bestFit="1" customWidth="1"/>
    <col min="769" max="769" width="22.6640625" bestFit="1" customWidth="1"/>
    <col min="770" max="770" width="12.6640625" bestFit="1" customWidth="1"/>
    <col min="771" max="771" width="7.33203125" bestFit="1" customWidth="1"/>
    <col min="772" max="772" width="10.6640625" bestFit="1" customWidth="1"/>
    <col min="773" max="773" width="14.5546875" bestFit="1" customWidth="1"/>
    <col min="774" max="774" width="16.6640625" bestFit="1" customWidth="1"/>
    <col min="775" max="775" width="18.44140625" bestFit="1" customWidth="1"/>
    <col min="1025" max="1025" width="22.6640625" bestFit="1" customWidth="1"/>
    <col min="1026" max="1026" width="12.6640625" bestFit="1" customWidth="1"/>
    <col min="1027" max="1027" width="7.33203125" bestFit="1" customWidth="1"/>
    <col min="1028" max="1028" width="10.6640625" bestFit="1" customWidth="1"/>
    <col min="1029" max="1029" width="14.5546875" bestFit="1" customWidth="1"/>
    <col min="1030" max="1030" width="16.6640625" bestFit="1" customWidth="1"/>
    <col min="1031" max="1031" width="18.44140625" bestFit="1" customWidth="1"/>
    <col min="1281" max="1281" width="22.6640625" bestFit="1" customWidth="1"/>
    <col min="1282" max="1282" width="12.6640625" bestFit="1" customWidth="1"/>
    <col min="1283" max="1283" width="7.33203125" bestFit="1" customWidth="1"/>
    <col min="1284" max="1284" width="10.6640625" bestFit="1" customWidth="1"/>
    <col min="1285" max="1285" width="14.5546875" bestFit="1" customWidth="1"/>
    <col min="1286" max="1286" width="16.6640625" bestFit="1" customWidth="1"/>
    <col min="1287" max="1287" width="18.44140625" bestFit="1" customWidth="1"/>
    <col min="1537" max="1537" width="22.6640625" bestFit="1" customWidth="1"/>
    <col min="1538" max="1538" width="12.6640625" bestFit="1" customWidth="1"/>
    <col min="1539" max="1539" width="7.33203125" bestFit="1" customWidth="1"/>
    <col min="1540" max="1540" width="10.6640625" bestFit="1" customWidth="1"/>
    <col min="1541" max="1541" width="14.5546875" bestFit="1" customWidth="1"/>
    <col min="1542" max="1542" width="16.6640625" bestFit="1" customWidth="1"/>
    <col min="1543" max="1543" width="18.44140625" bestFit="1" customWidth="1"/>
    <col min="1793" max="1793" width="22.6640625" bestFit="1" customWidth="1"/>
    <col min="1794" max="1794" width="12.6640625" bestFit="1" customWidth="1"/>
    <col min="1795" max="1795" width="7.33203125" bestFit="1" customWidth="1"/>
    <col min="1796" max="1796" width="10.6640625" bestFit="1" customWidth="1"/>
    <col min="1797" max="1797" width="14.5546875" bestFit="1" customWidth="1"/>
    <col min="1798" max="1798" width="16.6640625" bestFit="1" customWidth="1"/>
    <col min="1799" max="1799" width="18.44140625" bestFit="1" customWidth="1"/>
    <col min="2049" max="2049" width="22.6640625" bestFit="1" customWidth="1"/>
    <col min="2050" max="2050" width="12.6640625" bestFit="1" customWidth="1"/>
    <col min="2051" max="2051" width="7.33203125" bestFit="1" customWidth="1"/>
    <col min="2052" max="2052" width="10.6640625" bestFit="1" customWidth="1"/>
    <col min="2053" max="2053" width="14.5546875" bestFit="1" customWidth="1"/>
    <col min="2054" max="2054" width="16.6640625" bestFit="1" customWidth="1"/>
    <col min="2055" max="2055" width="18.44140625" bestFit="1" customWidth="1"/>
    <col min="2305" max="2305" width="22.6640625" bestFit="1" customWidth="1"/>
    <col min="2306" max="2306" width="12.6640625" bestFit="1" customWidth="1"/>
    <col min="2307" max="2307" width="7.33203125" bestFit="1" customWidth="1"/>
    <col min="2308" max="2308" width="10.6640625" bestFit="1" customWidth="1"/>
    <col min="2309" max="2309" width="14.5546875" bestFit="1" customWidth="1"/>
    <col min="2310" max="2310" width="16.6640625" bestFit="1" customWidth="1"/>
    <col min="2311" max="2311" width="18.44140625" bestFit="1" customWidth="1"/>
    <col min="2561" max="2561" width="22.6640625" bestFit="1" customWidth="1"/>
    <col min="2562" max="2562" width="12.6640625" bestFit="1" customWidth="1"/>
    <col min="2563" max="2563" width="7.33203125" bestFit="1" customWidth="1"/>
    <col min="2564" max="2564" width="10.6640625" bestFit="1" customWidth="1"/>
    <col min="2565" max="2565" width="14.5546875" bestFit="1" customWidth="1"/>
    <col min="2566" max="2566" width="16.6640625" bestFit="1" customWidth="1"/>
    <col min="2567" max="2567" width="18.44140625" bestFit="1" customWidth="1"/>
    <col min="2817" max="2817" width="22.6640625" bestFit="1" customWidth="1"/>
    <col min="2818" max="2818" width="12.6640625" bestFit="1" customWidth="1"/>
    <col min="2819" max="2819" width="7.33203125" bestFit="1" customWidth="1"/>
    <col min="2820" max="2820" width="10.6640625" bestFit="1" customWidth="1"/>
    <col min="2821" max="2821" width="14.5546875" bestFit="1" customWidth="1"/>
    <col min="2822" max="2822" width="16.6640625" bestFit="1" customWidth="1"/>
    <col min="2823" max="2823" width="18.44140625" bestFit="1" customWidth="1"/>
    <col min="3073" max="3073" width="22.6640625" bestFit="1" customWidth="1"/>
    <col min="3074" max="3074" width="12.6640625" bestFit="1" customWidth="1"/>
    <col min="3075" max="3075" width="7.33203125" bestFit="1" customWidth="1"/>
    <col min="3076" max="3076" width="10.6640625" bestFit="1" customWidth="1"/>
    <col min="3077" max="3077" width="14.5546875" bestFit="1" customWidth="1"/>
    <col min="3078" max="3078" width="16.6640625" bestFit="1" customWidth="1"/>
    <col min="3079" max="3079" width="18.44140625" bestFit="1" customWidth="1"/>
    <col min="3329" max="3329" width="22.6640625" bestFit="1" customWidth="1"/>
    <col min="3330" max="3330" width="12.6640625" bestFit="1" customWidth="1"/>
    <col min="3331" max="3331" width="7.33203125" bestFit="1" customWidth="1"/>
    <col min="3332" max="3332" width="10.6640625" bestFit="1" customWidth="1"/>
    <col min="3333" max="3333" width="14.5546875" bestFit="1" customWidth="1"/>
    <col min="3334" max="3334" width="16.6640625" bestFit="1" customWidth="1"/>
    <col min="3335" max="3335" width="18.44140625" bestFit="1" customWidth="1"/>
    <col min="3585" max="3585" width="22.6640625" bestFit="1" customWidth="1"/>
    <col min="3586" max="3586" width="12.6640625" bestFit="1" customWidth="1"/>
    <col min="3587" max="3587" width="7.33203125" bestFit="1" customWidth="1"/>
    <col min="3588" max="3588" width="10.6640625" bestFit="1" customWidth="1"/>
    <col min="3589" max="3589" width="14.5546875" bestFit="1" customWidth="1"/>
    <col min="3590" max="3590" width="16.6640625" bestFit="1" customWidth="1"/>
    <col min="3591" max="3591" width="18.44140625" bestFit="1" customWidth="1"/>
    <col min="3841" max="3841" width="22.6640625" bestFit="1" customWidth="1"/>
    <col min="3842" max="3842" width="12.6640625" bestFit="1" customWidth="1"/>
    <col min="3843" max="3843" width="7.33203125" bestFit="1" customWidth="1"/>
    <col min="3844" max="3844" width="10.6640625" bestFit="1" customWidth="1"/>
    <col min="3845" max="3845" width="14.5546875" bestFit="1" customWidth="1"/>
    <col min="3846" max="3846" width="16.6640625" bestFit="1" customWidth="1"/>
    <col min="3847" max="3847" width="18.44140625" bestFit="1" customWidth="1"/>
    <col min="4097" max="4097" width="22.6640625" bestFit="1" customWidth="1"/>
    <col min="4098" max="4098" width="12.6640625" bestFit="1" customWidth="1"/>
    <col min="4099" max="4099" width="7.33203125" bestFit="1" customWidth="1"/>
    <col min="4100" max="4100" width="10.6640625" bestFit="1" customWidth="1"/>
    <col min="4101" max="4101" width="14.5546875" bestFit="1" customWidth="1"/>
    <col min="4102" max="4102" width="16.6640625" bestFit="1" customWidth="1"/>
    <col min="4103" max="4103" width="18.44140625" bestFit="1" customWidth="1"/>
    <col min="4353" max="4353" width="22.6640625" bestFit="1" customWidth="1"/>
    <col min="4354" max="4354" width="12.6640625" bestFit="1" customWidth="1"/>
    <col min="4355" max="4355" width="7.33203125" bestFit="1" customWidth="1"/>
    <col min="4356" max="4356" width="10.6640625" bestFit="1" customWidth="1"/>
    <col min="4357" max="4357" width="14.5546875" bestFit="1" customWidth="1"/>
    <col min="4358" max="4358" width="16.6640625" bestFit="1" customWidth="1"/>
    <col min="4359" max="4359" width="18.44140625" bestFit="1" customWidth="1"/>
    <col min="4609" max="4609" width="22.6640625" bestFit="1" customWidth="1"/>
    <col min="4610" max="4610" width="12.6640625" bestFit="1" customWidth="1"/>
    <col min="4611" max="4611" width="7.33203125" bestFit="1" customWidth="1"/>
    <col min="4612" max="4612" width="10.6640625" bestFit="1" customWidth="1"/>
    <col min="4613" max="4613" width="14.5546875" bestFit="1" customWidth="1"/>
    <col min="4614" max="4614" width="16.6640625" bestFit="1" customWidth="1"/>
    <col min="4615" max="4615" width="18.44140625" bestFit="1" customWidth="1"/>
    <col min="4865" max="4865" width="22.6640625" bestFit="1" customWidth="1"/>
    <col min="4866" max="4866" width="12.6640625" bestFit="1" customWidth="1"/>
    <col min="4867" max="4867" width="7.33203125" bestFit="1" customWidth="1"/>
    <col min="4868" max="4868" width="10.6640625" bestFit="1" customWidth="1"/>
    <col min="4869" max="4869" width="14.5546875" bestFit="1" customWidth="1"/>
    <col min="4870" max="4870" width="16.6640625" bestFit="1" customWidth="1"/>
    <col min="4871" max="4871" width="18.44140625" bestFit="1" customWidth="1"/>
    <col min="5121" max="5121" width="22.6640625" bestFit="1" customWidth="1"/>
    <col min="5122" max="5122" width="12.6640625" bestFit="1" customWidth="1"/>
    <col min="5123" max="5123" width="7.33203125" bestFit="1" customWidth="1"/>
    <col min="5124" max="5124" width="10.6640625" bestFit="1" customWidth="1"/>
    <col min="5125" max="5125" width="14.5546875" bestFit="1" customWidth="1"/>
    <col min="5126" max="5126" width="16.6640625" bestFit="1" customWidth="1"/>
    <col min="5127" max="5127" width="18.44140625" bestFit="1" customWidth="1"/>
    <col min="5377" max="5377" width="22.6640625" bestFit="1" customWidth="1"/>
    <col min="5378" max="5378" width="12.6640625" bestFit="1" customWidth="1"/>
    <col min="5379" max="5379" width="7.33203125" bestFit="1" customWidth="1"/>
    <col min="5380" max="5380" width="10.6640625" bestFit="1" customWidth="1"/>
    <col min="5381" max="5381" width="14.5546875" bestFit="1" customWidth="1"/>
    <col min="5382" max="5382" width="16.6640625" bestFit="1" customWidth="1"/>
    <col min="5383" max="5383" width="18.44140625" bestFit="1" customWidth="1"/>
    <col min="5633" max="5633" width="22.6640625" bestFit="1" customWidth="1"/>
    <col min="5634" max="5634" width="12.6640625" bestFit="1" customWidth="1"/>
    <col min="5635" max="5635" width="7.33203125" bestFit="1" customWidth="1"/>
    <col min="5636" max="5636" width="10.6640625" bestFit="1" customWidth="1"/>
    <col min="5637" max="5637" width="14.5546875" bestFit="1" customWidth="1"/>
    <col min="5638" max="5638" width="16.6640625" bestFit="1" customWidth="1"/>
    <col min="5639" max="5639" width="18.44140625" bestFit="1" customWidth="1"/>
    <col min="5889" max="5889" width="22.6640625" bestFit="1" customWidth="1"/>
    <col min="5890" max="5890" width="12.6640625" bestFit="1" customWidth="1"/>
    <col min="5891" max="5891" width="7.33203125" bestFit="1" customWidth="1"/>
    <col min="5892" max="5892" width="10.6640625" bestFit="1" customWidth="1"/>
    <col min="5893" max="5893" width="14.5546875" bestFit="1" customWidth="1"/>
    <col min="5894" max="5894" width="16.6640625" bestFit="1" customWidth="1"/>
    <col min="5895" max="5895" width="18.44140625" bestFit="1" customWidth="1"/>
    <col min="6145" max="6145" width="22.6640625" bestFit="1" customWidth="1"/>
    <col min="6146" max="6146" width="12.6640625" bestFit="1" customWidth="1"/>
    <col min="6147" max="6147" width="7.33203125" bestFit="1" customWidth="1"/>
    <col min="6148" max="6148" width="10.6640625" bestFit="1" customWidth="1"/>
    <col min="6149" max="6149" width="14.5546875" bestFit="1" customWidth="1"/>
    <col min="6150" max="6150" width="16.6640625" bestFit="1" customWidth="1"/>
    <col min="6151" max="6151" width="18.44140625" bestFit="1" customWidth="1"/>
    <col min="6401" max="6401" width="22.6640625" bestFit="1" customWidth="1"/>
    <col min="6402" max="6402" width="12.6640625" bestFit="1" customWidth="1"/>
    <col min="6403" max="6403" width="7.33203125" bestFit="1" customWidth="1"/>
    <col min="6404" max="6404" width="10.6640625" bestFit="1" customWidth="1"/>
    <col min="6405" max="6405" width="14.5546875" bestFit="1" customWidth="1"/>
    <col min="6406" max="6406" width="16.6640625" bestFit="1" customWidth="1"/>
    <col min="6407" max="6407" width="18.44140625" bestFit="1" customWidth="1"/>
    <col min="6657" max="6657" width="22.6640625" bestFit="1" customWidth="1"/>
    <col min="6658" max="6658" width="12.6640625" bestFit="1" customWidth="1"/>
    <col min="6659" max="6659" width="7.33203125" bestFit="1" customWidth="1"/>
    <col min="6660" max="6660" width="10.6640625" bestFit="1" customWidth="1"/>
    <col min="6661" max="6661" width="14.5546875" bestFit="1" customWidth="1"/>
    <col min="6662" max="6662" width="16.6640625" bestFit="1" customWidth="1"/>
    <col min="6663" max="6663" width="18.44140625" bestFit="1" customWidth="1"/>
    <col min="6913" max="6913" width="22.6640625" bestFit="1" customWidth="1"/>
    <col min="6914" max="6914" width="12.6640625" bestFit="1" customWidth="1"/>
    <col min="6915" max="6915" width="7.33203125" bestFit="1" customWidth="1"/>
    <col min="6916" max="6916" width="10.6640625" bestFit="1" customWidth="1"/>
    <col min="6917" max="6917" width="14.5546875" bestFit="1" customWidth="1"/>
    <col min="6918" max="6918" width="16.6640625" bestFit="1" customWidth="1"/>
    <col min="6919" max="6919" width="18.44140625" bestFit="1" customWidth="1"/>
    <col min="7169" max="7169" width="22.6640625" bestFit="1" customWidth="1"/>
    <col min="7170" max="7170" width="12.6640625" bestFit="1" customWidth="1"/>
    <col min="7171" max="7171" width="7.33203125" bestFit="1" customWidth="1"/>
    <col min="7172" max="7172" width="10.6640625" bestFit="1" customWidth="1"/>
    <col min="7173" max="7173" width="14.5546875" bestFit="1" customWidth="1"/>
    <col min="7174" max="7174" width="16.6640625" bestFit="1" customWidth="1"/>
    <col min="7175" max="7175" width="18.44140625" bestFit="1" customWidth="1"/>
    <col min="7425" max="7425" width="22.6640625" bestFit="1" customWidth="1"/>
    <col min="7426" max="7426" width="12.6640625" bestFit="1" customWidth="1"/>
    <col min="7427" max="7427" width="7.33203125" bestFit="1" customWidth="1"/>
    <col min="7428" max="7428" width="10.6640625" bestFit="1" customWidth="1"/>
    <col min="7429" max="7429" width="14.5546875" bestFit="1" customWidth="1"/>
    <col min="7430" max="7430" width="16.6640625" bestFit="1" customWidth="1"/>
    <col min="7431" max="7431" width="18.44140625" bestFit="1" customWidth="1"/>
    <col min="7681" max="7681" width="22.6640625" bestFit="1" customWidth="1"/>
    <col min="7682" max="7682" width="12.6640625" bestFit="1" customWidth="1"/>
    <col min="7683" max="7683" width="7.33203125" bestFit="1" customWidth="1"/>
    <col min="7684" max="7684" width="10.6640625" bestFit="1" customWidth="1"/>
    <col min="7685" max="7685" width="14.5546875" bestFit="1" customWidth="1"/>
    <col min="7686" max="7686" width="16.6640625" bestFit="1" customWidth="1"/>
    <col min="7687" max="7687" width="18.44140625" bestFit="1" customWidth="1"/>
    <col min="7937" max="7937" width="22.6640625" bestFit="1" customWidth="1"/>
    <col min="7938" max="7938" width="12.6640625" bestFit="1" customWidth="1"/>
    <col min="7939" max="7939" width="7.33203125" bestFit="1" customWidth="1"/>
    <col min="7940" max="7940" width="10.6640625" bestFit="1" customWidth="1"/>
    <col min="7941" max="7941" width="14.5546875" bestFit="1" customWidth="1"/>
    <col min="7942" max="7942" width="16.6640625" bestFit="1" customWidth="1"/>
    <col min="7943" max="7943" width="18.44140625" bestFit="1" customWidth="1"/>
    <col min="8193" max="8193" width="22.6640625" bestFit="1" customWidth="1"/>
    <col min="8194" max="8194" width="12.6640625" bestFit="1" customWidth="1"/>
    <col min="8195" max="8195" width="7.33203125" bestFit="1" customWidth="1"/>
    <col min="8196" max="8196" width="10.6640625" bestFit="1" customWidth="1"/>
    <col min="8197" max="8197" width="14.5546875" bestFit="1" customWidth="1"/>
    <col min="8198" max="8198" width="16.6640625" bestFit="1" customWidth="1"/>
    <col min="8199" max="8199" width="18.44140625" bestFit="1" customWidth="1"/>
    <col min="8449" max="8449" width="22.6640625" bestFit="1" customWidth="1"/>
    <col min="8450" max="8450" width="12.6640625" bestFit="1" customWidth="1"/>
    <col min="8451" max="8451" width="7.33203125" bestFit="1" customWidth="1"/>
    <col min="8452" max="8452" width="10.6640625" bestFit="1" customWidth="1"/>
    <col min="8453" max="8453" width="14.5546875" bestFit="1" customWidth="1"/>
    <col min="8454" max="8454" width="16.6640625" bestFit="1" customWidth="1"/>
    <col min="8455" max="8455" width="18.44140625" bestFit="1" customWidth="1"/>
    <col min="8705" max="8705" width="22.6640625" bestFit="1" customWidth="1"/>
    <col min="8706" max="8706" width="12.6640625" bestFit="1" customWidth="1"/>
    <col min="8707" max="8707" width="7.33203125" bestFit="1" customWidth="1"/>
    <col min="8708" max="8708" width="10.6640625" bestFit="1" customWidth="1"/>
    <col min="8709" max="8709" width="14.5546875" bestFit="1" customWidth="1"/>
    <col min="8710" max="8710" width="16.6640625" bestFit="1" customWidth="1"/>
    <col min="8711" max="8711" width="18.44140625" bestFit="1" customWidth="1"/>
    <col min="8961" max="8961" width="22.6640625" bestFit="1" customWidth="1"/>
    <col min="8962" max="8962" width="12.6640625" bestFit="1" customWidth="1"/>
    <col min="8963" max="8963" width="7.33203125" bestFit="1" customWidth="1"/>
    <col min="8964" max="8964" width="10.6640625" bestFit="1" customWidth="1"/>
    <col min="8965" max="8965" width="14.5546875" bestFit="1" customWidth="1"/>
    <col min="8966" max="8966" width="16.6640625" bestFit="1" customWidth="1"/>
    <col min="8967" max="8967" width="18.44140625" bestFit="1" customWidth="1"/>
    <col min="9217" max="9217" width="22.6640625" bestFit="1" customWidth="1"/>
    <col min="9218" max="9218" width="12.6640625" bestFit="1" customWidth="1"/>
    <col min="9219" max="9219" width="7.33203125" bestFit="1" customWidth="1"/>
    <col min="9220" max="9220" width="10.6640625" bestFit="1" customWidth="1"/>
    <col min="9221" max="9221" width="14.5546875" bestFit="1" customWidth="1"/>
    <col min="9222" max="9222" width="16.6640625" bestFit="1" customWidth="1"/>
    <col min="9223" max="9223" width="18.44140625" bestFit="1" customWidth="1"/>
    <col min="9473" max="9473" width="22.6640625" bestFit="1" customWidth="1"/>
    <col min="9474" max="9474" width="12.6640625" bestFit="1" customWidth="1"/>
    <col min="9475" max="9475" width="7.33203125" bestFit="1" customWidth="1"/>
    <col min="9476" max="9476" width="10.6640625" bestFit="1" customWidth="1"/>
    <col min="9477" max="9477" width="14.5546875" bestFit="1" customWidth="1"/>
    <col min="9478" max="9478" width="16.6640625" bestFit="1" customWidth="1"/>
    <col min="9479" max="9479" width="18.44140625" bestFit="1" customWidth="1"/>
    <col min="9729" max="9729" width="22.6640625" bestFit="1" customWidth="1"/>
    <col min="9730" max="9730" width="12.6640625" bestFit="1" customWidth="1"/>
    <col min="9731" max="9731" width="7.33203125" bestFit="1" customWidth="1"/>
    <col min="9732" max="9732" width="10.6640625" bestFit="1" customWidth="1"/>
    <col min="9733" max="9733" width="14.5546875" bestFit="1" customWidth="1"/>
    <col min="9734" max="9734" width="16.6640625" bestFit="1" customWidth="1"/>
    <col min="9735" max="9735" width="18.44140625" bestFit="1" customWidth="1"/>
    <col min="9985" max="9985" width="22.6640625" bestFit="1" customWidth="1"/>
    <col min="9986" max="9986" width="12.6640625" bestFit="1" customWidth="1"/>
    <col min="9987" max="9987" width="7.33203125" bestFit="1" customWidth="1"/>
    <col min="9988" max="9988" width="10.6640625" bestFit="1" customWidth="1"/>
    <col min="9989" max="9989" width="14.5546875" bestFit="1" customWidth="1"/>
    <col min="9990" max="9990" width="16.6640625" bestFit="1" customWidth="1"/>
    <col min="9991" max="9991" width="18.44140625" bestFit="1" customWidth="1"/>
    <col min="10241" max="10241" width="22.6640625" bestFit="1" customWidth="1"/>
    <col min="10242" max="10242" width="12.6640625" bestFit="1" customWidth="1"/>
    <col min="10243" max="10243" width="7.33203125" bestFit="1" customWidth="1"/>
    <col min="10244" max="10244" width="10.6640625" bestFit="1" customWidth="1"/>
    <col min="10245" max="10245" width="14.5546875" bestFit="1" customWidth="1"/>
    <col min="10246" max="10246" width="16.6640625" bestFit="1" customWidth="1"/>
    <col min="10247" max="10247" width="18.44140625" bestFit="1" customWidth="1"/>
    <col min="10497" max="10497" width="22.6640625" bestFit="1" customWidth="1"/>
    <col min="10498" max="10498" width="12.6640625" bestFit="1" customWidth="1"/>
    <col min="10499" max="10499" width="7.33203125" bestFit="1" customWidth="1"/>
    <col min="10500" max="10500" width="10.6640625" bestFit="1" customWidth="1"/>
    <col min="10501" max="10501" width="14.5546875" bestFit="1" customWidth="1"/>
    <col min="10502" max="10502" width="16.6640625" bestFit="1" customWidth="1"/>
    <col min="10503" max="10503" width="18.44140625" bestFit="1" customWidth="1"/>
    <col min="10753" max="10753" width="22.6640625" bestFit="1" customWidth="1"/>
    <col min="10754" max="10754" width="12.6640625" bestFit="1" customWidth="1"/>
    <col min="10755" max="10755" width="7.33203125" bestFit="1" customWidth="1"/>
    <col min="10756" max="10756" width="10.6640625" bestFit="1" customWidth="1"/>
    <col min="10757" max="10757" width="14.5546875" bestFit="1" customWidth="1"/>
    <col min="10758" max="10758" width="16.6640625" bestFit="1" customWidth="1"/>
    <col min="10759" max="10759" width="18.44140625" bestFit="1" customWidth="1"/>
    <col min="11009" max="11009" width="22.6640625" bestFit="1" customWidth="1"/>
    <col min="11010" max="11010" width="12.6640625" bestFit="1" customWidth="1"/>
    <col min="11011" max="11011" width="7.33203125" bestFit="1" customWidth="1"/>
    <col min="11012" max="11012" width="10.6640625" bestFit="1" customWidth="1"/>
    <col min="11013" max="11013" width="14.5546875" bestFit="1" customWidth="1"/>
    <col min="11014" max="11014" width="16.6640625" bestFit="1" customWidth="1"/>
    <col min="11015" max="11015" width="18.44140625" bestFit="1" customWidth="1"/>
    <col min="11265" max="11265" width="22.6640625" bestFit="1" customWidth="1"/>
    <col min="11266" max="11266" width="12.6640625" bestFit="1" customWidth="1"/>
    <col min="11267" max="11267" width="7.33203125" bestFit="1" customWidth="1"/>
    <col min="11268" max="11268" width="10.6640625" bestFit="1" customWidth="1"/>
    <col min="11269" max="11269" width="14.5546875" bestFit="1" customWidth="1"/>
    <col min="11270" max="11270" width="16.6640625" bestFit="1" customWidth="1"/>
    <col min="11271" max="11271" width="18.44140625" bestFit="1" customWidth="1"/>
    <col min="11521" max="11521" width="22.6640625" bestFit="1" customWidth="1"/>
    <col min="11522" max="11522" width="12.6640625" bestFit="1" customWidth="1"/>
    <col min="11523" max="11523" width="7.33203125" bestFit="1" customWidth="1"/>
    <col min="11524" max="11524" width="10.6640625" bestFit="1" customWidth="1"/>
    <col min="11525" max="11525" width="14.5546875" bestFit="1" customWidth="1"/>
    <col min="11526" max="11526" width="16.6640625" bestFit="1" customWidth="1"/>
    <col min="11527" max="11527" width="18.44140625" bestFit="1" customWidth="1"/>
    <col min="11777" max="11777" width="22.6640625" bestFit="1" customWidth="1"/>
    <col min="11778" max="11778" width="12.6640625" bestFit="1" customWidth="1"/>
    <col min="11779" max="11779" width="7.33203125" bestFit="1" customWidth="1"/>
    <col min="11780" max="11780" width="10.6640625" bestFit="1" customWidth="1"/>
    <col min="11781" max="11781" width="14.5546875" bestFit="1" customWidth="1"/>
    <col min="11782" max="11782" width="16.6640625" bestFit="1" customWidth="1"/>
    <col min="11783" max="11783" width="18.44140625" bestFit="1" customWidth="1"/>
    <col min="12033" max="12033" width="22.6640625" bestFit="1" customWidth="1"/>
    <col min="12034" max="12034" width="12.6640625" bestFit="1" customWidth="1"/>
    <col min="12035" max="12035" width="7.33203125" bestFit="1" customWidth="1"/>
    <col min="12036" max="12036" width="10.6640625" bestFit="1" customWidth="1"/>
    <col min="12037" max="12037" width="14.5546875" bestFit="1" customWidth="1"/>
    <col min="12038" max="12038" width="16.6640625" bestFit="1" customWidth="1"/>
    <col min="12039" max="12039" width="18.44140625" bestFit="1" customWidth="1"/>
    <col min="12289" max="12289" width="22.6640625" bestFit="1" customWidth="1"/>
    <col min="12290" max="12290" width="12.6640625" bestFit="1" customWidth="1"/>
    <col min="12291" max="12291" width="7.33203125" bestFit="1" customWidth="1"/>
    <col min="12292" max="12292" width="10.6640625" bestFit="1" customWidth="1"/>
    <col min="12293" max="12293" width="14.5546875" bestFit="1" customWidth="1"/>
    <col min="12294" max="12294" width="16.6640625" bestFit="1" customWidth="1"/>
    <col min="12295" max="12295" width="18.44140625" bestFit="1" customWidth="1"/>
    <col min="12545" max="12545" width="22.6640625" bestFit="1" customWidth="1"/>
    <col min="12546" max="12546" width="12.6640625" bestFit="1" customWidth="1"/>
    <col min="12547" max="12547" width="7.33203125" bestFit="1" customWidth="1"/>
    <col min="12548" max="12548" width="10.6640625" bestFit="1" customWidth="1"/>
    <col min="12549" max="12549" width="14.5546875" bestFit="1" customWidth="1"/>
    <col min="12550" max="12550" width="16.6640625" bestFit="1" customWidth="1"/>
    <col min="12551" max="12551" width="18.44140625" bestFit="1" customWidth="1"/>
    <col min="12801" max="12801" width="22.6640625" bestFit="1" customWidth="1"/>
    <col min="12802" max="12802" width="12.6640625" bestFit="1" customWidth="1"/>
    <col min="12803" max="12803" width="7.33203125" bestFit="1" customWidth="1"/>
    <col min="12804" max="12804" width="10.6640625" bestFit="1" customWidth="1"/>
    <col min="12805" max="12805" width="14.5546875" bestFit="1" customWidth="1"/>
    <col min="12806" max="12806" width="16.6640625" bestFit="1" customWidth="1"/>
    <col min="12807" max="12807" width="18.44140625" bestFit="1" customWidth="1"/>
    <col min="13057" max="13057" width="22.6640625" bestFit="1" customWidth="1"/>
    <col min="13058" max="13058" width="12.6640625" bestFit="1" customWidth="1"/>
    <col min="13059" max="13059" width="7.33203125" bestFit="1" customWidth="1"/>
    <col min="13060" max="13060" width="10.6640625" bestFit="1" customWidth="1"/>
    <col min="13061" max="13061" width="14.5546875" bestFit="1" customWidth="1"/>
    <col min="13062" max="13062" width="16.6640625" bestFit="1" customWidth="1"/>
    <col min="13063" max="13063" width="18.44140625" bestFit="1" customWidth="1"/>
    <col min="13313" max="13313" width="22.6640625" bestFit="1" customWidth="1"/>
    <col min="13314" max="13314" width="12.6640625" bestFit="1" customWidth="1"/>
    <col min="13315" max="13315" width="7.33203125" bestFit="1" customWidth="1"/>
    <col min="13316" max="13316" width="10.6640625" bestFit="1" customWidth="1"/>
    <col min="13317" max="13317" width="14.5546875" bestFit="1" customWidth="1"/>
    <col min="13318" max="13318" width="16.6640625" bestFit="1" customWidth="1"/>
    <col min="13319" max="13319" width="18.44140625" bestFit="1" customWidth="1"/>
    <col min="13569" max="13569" width="22.6640625" bestFit="1" customWidth="1"/>
    <col min="13570" max="13570" width="12.6640625" bestFit="1" customWidth="1"/>
    <col min="13571" max="13571" width="7.33203125" bestFit="1" customWidth="1"/>
    <col min="13572" max="13572" width="10.6640625" bestFit="1" customWidth="1"/>
    <col min="13573" max="13573" width="14.5546875" bestFit="1" customWidth="1"/>
    <col min="13574" max="13574" width="16.6640625" bestFit="1" customWidth="1"/>
    <col min="13575" max="13575" width="18.44140625" bestFit="1" customWidth="1"/>
    <col min="13825" max="13825" width="22.6640625" bestFit="1" customWidth="1"/>
    <col min="13826" max="13826" width="12.6640625" bestFit="1" customWidth="1"/>
    <col min="13827" max="13827" width="7.33203125" bestFit="1" customWidth="1"/>
    <col min="13828" max="13828" width="10.6640625" bestFit="1" customWidth="1"/>
    <col min="13829" max="13829" width="14.5546875" bestFit="1" customWidth="1"/>
    <col min="13830" max="13830" width="16.6640625" bestFit="1" customWidth="1"/>
    <col min="13831" max="13831" width="18.44140625" bestFit="1" customWidth="1"/>
    <col min="14081" max="14081" width="22.6640625" bestFit="1" customWidth="1"/>
    <col min="14082" max="14082" width="12.6640625" bestFit="1" customWidth="1"/>
    <col min="14083" max="14083" width="7.33203125" bestFit="1" customWidth="1"/>
    <col min="14084" max="14084" width="10.6640625" bestFit="1" customWidth="1"/>
    <col min="14085" max="14085" width="14.5546875" bestFit="1" customWidth="1"/>
    <col min="14086" max="14086" width="16.6640625" bestFit="1" customWidth="1"/>
    <col min="14087" max="14087" width="18.44140625" bestFit="1" customWidth="1"/>
    <col min="14337" max="14337" width="22.6640625" bestFit="1" customWidth="1"/>
    <col min="14338" max="14338" width="12.6640625" bestFit="1" customWidth="1"/>
    <col min="14339" max="14339" width="7.33203125" bestFit="1" customWidth="1"/>
    <col min="14340" max="14340" width="10.6640625" bestFit="1" customWidth="1"/>
    <col min="14341" max="14341" width="14.5546875" bestFit="1" customWidth="1"/>
    <col min="14342" max="14342" width="16.6640625" bestFit="1" customWidth="1"/>
    <col min="14343" max="14343" width="18.44140625" bestFit="1" customWidth="1"/>
    <col min="14593" max="14593" width="22.6640625" bestFit="1" customWidth="1"/>
    <col min="14594" max="14594" width="12.6640625" bestFit="1" customWidth="1"/>
    <col min="14595" max="14595" width="7.33203125" bestFit="1" customWidth="1"/>
    <col min="14596" max="14596" width="10.6640625" bestFit="1" customWidth="1"/>
    <col min="14597" max="14597" width="14.5546875" bestFit="1" customWidth="1"/>
    <col min="14598" max="14598" width="16.6640625" bestFit="1" customWidth="1"/>
    <col min="14599" max="14599" width="18.44140625" bestFit="1" customWidth="1"/>
    <col min="14849" max="14849" width="22.6640625" bestFit="1" customWidth="1"/>
    <col min="14850" max="14850" width="12.6640625" bestFit="1" customWidth="1"/>
    <col min="14851" max="14851" width="7.33203125" bestFit="1" customWidth="1"/>
    <col min="14852" max="14852" width="10.6640625" bestFit="1" customWidth="1"/>
    <col min="14853" max="14853" width="14.5546875" bestFit="1" customWidth="1"/>
    <col min="14854" max="14854" width="16.6640625" bestFit="1" customWidth="1"/>
    <col min="14855" max="14855" width="18.44140625" bestFit="1" customWidth="1"/>
    <col min="15105" max="15105" width="22.6640625" bestFit="1" customWidth="1"/>
    <col min="15106" max="15106" width="12.6640625" bestFit="1" customWidth="1"/>
    <col min="15107" max="15107" width="7.33203125" bestFit="1" customWidth="1"/>
    <col min="15108" max="15108" width="10.6640625" bestFit="1" customWidth="1"/>
    <col min="15109" max="15109" width="14.5546875" bestFit="1" customWidth="1"/>
    <col min="15110" max="15110" width="16.6640625" bestFit="1" customWidth="1"/>
    <col min="15111" max="15111" width="18.44140625" bestFit="1" customWidth="1"/>
    <col min="15361" max="15361" width="22.6640625" bestFit="1" customWidth="1"/>
    <col min="15362" max="15362" width="12.6640625" bestFit="1" customWidth="1"/>
    <col min="15363" max="15363" width="7.33203125" bestFit="1" customWidth="1"/>
    <col min="15364" max="15364" width="10.6640625" bestFit="1" customWidth="1"/>
    <col min="15365" max="15365" width="14.5546875" bestFit="1" customWidth="1"/>
    <col min="15366" max="15366" width="16.6640625" bestFit="1" customWidth="1"/>
    <col min="15367" max="15367" width="18.44140625" bestFit="1" customWidth="1"/>
    <col min="15617" max="15617" width="22.6640625" bestFit="1" customWidth="1"/>
    <col min="15618" max="15618" width="12.6640625" bestFit="1" customWidth="1"/>
    <col min="15619" max="15619" width="7.33203125" bestFit="1" customWidth="1"/>
    <col min="15620" max="15620" width="10.6640625" bestFit="1" customWidth="1"/>
    <col min="15621" max="15621" width="14.5546875" bestFit="1" customWidth="1"/>
    <col min="15622" max="15622" width="16.6640625" bestFit="1" customWidth="1"/>
    <col min="15623" max="15623" width="18.44140625" bestFit="1" customWidth="1"/>
    <col min="15873" max="15873" width="22.6640625" bestFit="1" customWidth="1"/>
    <col min="15874" max="15874" width="12.6640625" bestFit="1" customWidth="1"/>
    <col min="15875" max="15875" width="7.33203125" bestFit="1" customWidth="1"/>
    <col min="15876" max="15876" width="10.6640625" bestFit="1" customWidth="1"/>
    <col min="15877" max="15877" width="14.5546875" bestFit="1" customWidth="1"/>
    <col min="15878" max="15878" width="16.6640625" bestFit="1" customWidth="1"/>
    <col min="15879" max="15879" width="18.44140625" bestFit="1" customWidth="1"/>
    <col min="16129" max="16129" width="22.6640625" bestFit="1" customWidth="1"/>
    <col min="16130" max="16130" width="12.6640625" bestFit="1" customWidth="1"/>
    <col min="16131" max="16131" width="7.33203125" bestFit="1" customWidth="1"/>
    <col min="16132" max="16132" width="10.6640625" bestFit="1" customWidth="1"/>
    <col min="16133" max="16133" width="14.5546875" bestFit="1" customWidth="1"/>
    <col min="16134" max="16134" width="16.6640625" bestFit="1" customWidth="1"/>
    <col min="16135" max="16135" width="18.44140625" bestFit="1" customWidth="1"/>
  </cols>
  <sheetData>
    <row r="1" spans="1:2" s="69" customFormat="1" ht="13.2" x14ac:dyDescent="0.25">
      <c r="A1" s="128" t="s">
        <v>134</v>
      </c>
      <c r="B1" s="129">
        <v>300000</v>
      </c>
    </row>
    <row r="2" spans="1:2" s="69" customFormat="1" ht="13.2" x14ac:dyDescent="0.25">
      <c r="A2" s="128" t="s">
        <v>135</v>
      </c>
      <c r="B2" s="130">
        <v>5.2499999999999998E-2</v>
      </c>
    </row>
    <row r="3" spans="1:2" s="69" customFormat="1" ht="13.2" x14ac:dyDescent="0.25">
      <c r="A3" s="128" t="s">
        <v>136</v>
      </c>
      <c r="B3" s="131">
        <f>B2/B5</f>
        <v>4.3749999999999995E-3</v>
      </c>
    </row>
    <row r="4" spans="1:2" s="69" customFormat="1" ht="13.2" x14ac:dyDescent="0.25">
      <c r="A4" s="128" t="s">
        <v>10</v>
      </c>
      <c r="B4" s="75">
        <v>30</v>
      </c>
    </row>
    <row r="5" spans="1:2" s="69" customFormat="1" ht="26.4" x14ac:dyDescent="0.25">
      <c r="A5" s="128" t="s">
        <v>137</v>
      </c>
      <c r="B5" s="75">
        <v>12</v>
      </c>
    </row>
    <row r="6" spans="1:2" s="69" customFormat="1" ht="13.2" x14ac:dyDescent="0.25">
      <c r="A6" s="128" t="s">
        <v>12</v>
      </c>
      <c r="B6" s="131">
        <f>B4*B5</f>
        <v>360</v>
      </c>
    </row>
    <row r="7" spans="1:2" s="69" customFormat="1" ht="13.2" x14ac:dyDescent="0.25">
      <c r="A7" s="128" t="s">
        <v>142</v>
      </c>
      <c r="B7" s="135"/>
    </row>
  </sheetData>
  <pageMargins left="0.75" right="0.75" top="1" bottom="1" header="0.5" footer="0.5"/>
  <pageSetup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M371"/>
  <sheetViews>
    <sheetView zoomScaleNormal="100" workbookViewId="0"/>
  </sheetViews>
  <sheetFormatPr defaultColWidth="22.88671875" defaultRowHeight="13.2" x14ac:dyDescent="0.25"/>
  <cols>
    <col min="1" max="1" width="15.77734375" style="69" customWidth="1"/>
    <col min="2" max="2" width="12.6640625" style="69" bestFit="1" customWidth="1"/>
    <col min="3" max="3" width="11.44140625" style="69" customWidth="1"/>
    <col min="4" max="4" width="11.77734375" style="69" bestFit="1" customWidth="1"/>
    <col min="5" max="5" width="14.5546875" style="69" bestFit="1" customWidth="1"/>
    <col min="6" max="6" width="16.6640625" style="69" bestFit="1" customWidth="1"/>
    <col min="7" max="7" width="15.77734375" style="69" customWidth="1"/>
    <col min="8" max="8" width="12.6640625" style="69" bestFit="1" customWidth="1"/>
    <col min="9" max="9" width="13.77734375" style="69" customWidth="1"/>
    <col min="10" max="10" width="11.77734375" style="69" bestFit="1" customWidth="1"/>
    <col min="11" max="11" width="14.5546875" style="69" bestFit="1" customWidth="1"/>
    <col min="12" max="12" width="2.21875" style="69" customWidth="1"/>
    <col min="13" max="256" width="22.88671875" style="69"/>
    <col min="257" max="257" width="22.6640625" style="69" bestFit="1" customWidth="1"/>
    <col min="258" max="258" width="12.6640625" style="69" bestFit="1" customWidth="1"/>
    <col min="259" max="259" width="7.33203125" style="69" bestFit="1" customWidth="1"/>
    <col min="260" max="260" width="10.6640625" style="69" bestFit="1" customWidth="1"/>
    <col min="261" max="261" width="14.5546875" style="69" bestFit="1" customWidth="1"/>
    <col min="262" max="262" width="16.6640625" style="69" bestFit="1" customWidth="1"/>
    <col min="263" max="263" width="18.44140625" style="69" bestFit="1" customWidth="1"/>
    <col min="264" max="512" width="22.88671875" style="69"/>
    <col min="513" max="513" width="22.6640625" style="69" bestFit="1" customWidth="1"/>
    <col min="514" max="514" width="12.6640625" style="69" bestFit="1" customWidth="1"/>
    <col min="515" max="515" width="7.33203125" style="69" bestFit="1" customWidth="1"/>
    <col min="516" max="516" width="10.6640625" style="69" bestFit="1" customWidth="1"/>
    <col min="517" max="517" width="14.5546875" style="69" bestFit="1" customWidth="1"/>
    <col min="518" max="518" width="16.6640625" style="69" bestFit="1" customWidth="1"/>
    <col min="519" max="519" width="18.44140625" style="69" bestFit="1" customWidth="1"/>
    <col min="520" max="768" width="22.88671875" style="69"/>
    <col min="769" max="769" width="22.6640625" style="69" bestFit="1" customWidth="1"/>
    <col min="770" max="770" width="12.6640625" style="69" bestFit="1" customWidth="1"/>
    <col min="771" max="771" width="7.33203125" style="69" bestFit="1" customWidth="1"/>
    <col min="772" max="772" width="10.6640625" style="69" bestFit="1" customWidth="1"/>
    <col min="773" max="773" width="14.5546875" style="69" bestFit="1" customWidth="1"/>
    <col min="774" max="774" width="16.6640625" style="69" bestFit="1" customWidth="1"/>
    <col min="775" max="775" width="18.44140625" style="69" bestFit="1" customWidth="1"/>
    <col min="776" max="1024" width="22.88671875" style="69"/>
    <col min="1025" max="1025" width="22.6640625" style="69" bestFit="1" customWidth="1"/>
    <col min="1026" max="1026" width="12.6640625" style="69" bestFit="1" customWidth="1"/>
    <col min="1027" max="1027" width="7.33203125" style="69" bestFit="1" customWidth="1"/>
    <col min="1028" max="1028" width="10.6640625" style="69" bestFit="1" customWidth="1"/>
    <col min="1029" max="1029" width="14.5546875" style="69" bestFit="1" customWidth="1"/>
    <col min="1030" max="1030" width="16.6640625" style="69" bestFit="1" customWidth="1"/>
    <col min="1031" max="1031" width="18.44140625" style="69" bestFit="1" customWidth="1"/>
    <col min="1032" max="1280" width="22.88671875" style="69"/>
    <col min="1281" max="1281" width="22.6640625" style="69" bestFit="1" customWidth="1"/>
    <col min="1282" max="1282" width="12.6640625" style="69" bestFit="1" customWidth="1"/>
    <col min="1283" max="1283" width="7.33203125" style="69" bestFit="1" customWidth="1"/>
    <col min="1284" max="1284" width="10.6640625" style="69" bestFit="1" customWidth="1"/>
    <col min="1285" max="1285" width="14.5546875" style="69" bestFit="1" customWidth="1"/>
    <col min="1286" max="1286" width="16.6640625" style="69" bestFit="1" customWidth="1"/>
    <col min="1287" max="1287" width="18.44140625" style="69" bestFit="1" customWidth="1"/>
    <col min="1288" max="1536" width="22.88671875" style="69"/>
    <col min="1537" max="1537" width="22.6640625" style="69" bestFit="1" customWidth="1"/>
    <col min="1538" max="1538" width="12.6640625" style="69" bestFit="1" customWidth="1"/>
    <col min="1539" max="1539" width="7.33203125" style="69" bestFit="1" customWidth="1"/>
    <col min="1540" max="1540" width="10.6640625" style="69" bestFit="1" customWidth="1"/>
    <col min="1541" max="1541" width="14.5546875" style="69" bestFit="1" customWidth="1"/>
    <col min="1542" max="1542" width="16.6640625" style="69" bestFit="1" customWidth="1"/>
    <col min="1543" max="1543" width="18.44140625" style="69" bestFit="1" customWidth="1"/>
    <col min="1544" max="1792" width="22.88671875" style="69"/>
    <col min="1793" max="1793" width="22.6640625" style="69" bestFit="1" customWidth="1"/>
    <col min="1794" max="1794" width="12.6640625" style="69" bestFit="1" customWidth="1"/>
    <col min="1795" max="1795" width="7.33203125" style="69" bestFit="1" customWidth="1"/>
    <col min="1796" max="1796" width="10.6640625" style="69" bestFit="1" customWidth="1"/>
    <col min="1797" max="1797" width="14.5546875" style="69" bestFit="1" customWidth="1"/>
    <col min="1798" max="1798" width="16.6640625" style="69" bestFit="1" customWidth="1"/>
    <col min="1799" max="1799" width="18.44140625" style="69" bestFit="1" customWidth="1"/>
    <col min="1800" max="2048" width="22.88671875" style="69"/>
    <col min="2049" max="2049" width="22.6640625" style="69" bestFit="1" customWidth="1"/>
    <col min="2050" max="2050" width="12.6640625" style="69" bestFit="1" customWidth="1"/>
    <col min="2051" max="2051" width="7.33203125" style="69" bestFit="1" customWidth="1"/>
    <col min="2052" max="2052" width="10.6640625" style="69" bestFit="1" customWidth="1"/>
    <col min="2053" max="2053" width="14.5546875" style="69" bestFit="1" customWidth="1"/>
    <col min="2054" max="2054" width="16.6640625" style="69" bestFit="1" customWidth="1"/>
    <col min="2055" max="2055" width="18.44140625" style="69" bestFit="1" customWidth="1"/>
    <col min="2056" max="2304" width="22.88671875" style="69"/>
    <col min="2305" max="2305" width="22.6640625" style="69" bestFit="1" customWidth="1"/>
    <col min="2306" max="2306" width="12.6640625" style="69" bestFit="1" customWidth="1"/>
    <col min="2307" max="2307" width="7.33203125" style="69" bestFit="1" customWidth="1"/>
    <col min="2308" max="2308" width="10.6640625" style="69" bestFit="1" customWidth="1"/>
    <col min="2309" max="2309" width="14.5546875" style="69" bestFit="1" customWidth="1"/>
    <col min="2310" max="2310" width="16.6640625" style="69" bestFit="1" customWidth="1"/>
    <col min="2311" max="2311" width="18.44140625" style="69" bestFit="1" customWidth="1"/>
    <col min="2312" max="2560" width="22.88671875" style="69"/>
    <col min="2561" max="2561" width="22.6640625" style="69" bestFit="1" customWidth="1"/>
    <col min="2562" max="2562" width="12.6640625" style="69" bestFit="1" customWidth="1"/>
    <col min="2563" max="2563" width="7.33203125" style="69" bestFit="1" customWidth="1"/>
    <col min="2564" max="2564" width="10.6640625" style="69" bestFit="1" customWidth="1"/>
    <col min="2565" max="2565" width="14.5546875" style="69" bestFit="1" customWidth="1"/>
    <col min="2566" max="2566" width="16.6640625" style="69" bestFit="1" customWidth="1"/>
    <col min="2567" max="2567" width="18.44140625" style="69" bestFit="1" customWidth="1"/>
    <col min="2568" max="2816" width="22.88671875" style="69"/>
    <col min="2817" max="2817" width="22.6640625" style="69" bestFit="1" customWidth="1"/>
    <col min="2818" max="2818" width="12.6640625" style="69" bestFit="1" customWidth="1"/>
    <col min="2819" max="2819" width="7.33203125" style="69" bestFit="1" customWidth="1"/>
    <col min="2820" max="2820" width="10.6640625" style="69" bestFit="1" customWidth="1"/>
    <col min="2821" max="2821" width="14.5546875" style="69" bestFit="1" customWidth="1"/>
    <col min="2822" max="2822" width="16.6640625" style="69" bestFit="1" customWidth="1"/>
    <col min="2823" max="2823" width="18.44140625" style="69" bestFit="1" customWidth="1"/>
    <col min="2824" max="3072" width="22.88671875" style="69"/>
    <col min="3073" max="3073" width="22.6640625" style="69" bestFit="1" customWidth="1"/>
    <col min="3074" max="3074" width="12.6640625" style="69" bestFit="1" customWidth="1"/>
    <col min="3075" max="3075" width="7.33203125" style="69" bestFit="1" customWidth="1"/>
    <col min="3076" max="3076" width="10.6640625" style="69" bestFit="1" customWidth="1"/>
    <col min="3077" max="3077" width="14.5546875" style="69" bestFit="1" customWidth="1"/>
    <col min="3078" max="3078" width="16.6640625" style="69" bestFit="1" customWidth="1"/>
    <col min="3079" max="3079" width="18.44140625" style="69" bestFit="1" customWidth="1"/>
    <col min="3080" max="3328" width="22.88671875" style="69"/>
    <col min="3329" max="3329" width="22.6640625" style="69" bestFit="1" customWidth="1"/>
    <col min="3330" max="3330" width="12.6640625" style="69" bestFit="1" customWidth="1"/>
    <col min="3331" max="3331" width="7.33203125" style="69" bestFit="1" customWidth="1"/>
    <col min="3332" max="3332" width="10.6640625" style="69" bestFit="1" customWidth="1"/>
    <col min="3333" max="3333" width="14.5546875" style="69" bestFit="1" customWidth="1"/>
    <col min="3334" max="3334" width="16.6640625" style="69" bestFit="1" customWidth="1"/>
    <col min="3335" max="3335" width="18.44140625" style="69" bestFit="1" customWidth="1"/>
    <col min="3336" max="3584" width="22.88671875" style="69"/>
    <col min="3585" max="3585" width="22.6640625" style="69" bestFit="1" customWidth="1"/>
    <col min="3586" max="3586" width="12.6640625" style="69" bestFit="1" customWidth="1"/>
    <col min="3587" max="3587" width="7.33203125" style="69" bestFit="1" customWidth="1"/>
    <col min="3588" max="3588" width="10.6640625" style="69" bestFit="1" customWidth="1"/>
    <col min="3589" max="3589" width="14.5546875" style="69" bestFit="1" customWidth="1"/>
    <col min="3590" max="3590" width="16.6640625" style="69" bestFit="1" customWidth="1"/>
    <col min="3591" max="3591" width="18.44140625" style="69" bestFit="1" customWidth="1"/>
    <col min="3592" max="3840" width="22.88671875" style="69"/>
    <col min="3841" max="3841" width="22.6640625" style="69" bestFit="1" customWidth="1"/>
    <col min="3842" max="3842" width="12.6640625" style="69" bestFit="1" customWidth="1"/>
    <col min="3843" max="3843" width="7.33203125" style="69" bestFit="1" customWidth="1"/>
    <col min="3844" max="3844" width="10.6640625" style="69" bestFit="1" customWidth="1"/>
    <col min="3845" max="3845" width="14.5546875" style="69" bestFit="1" customWidth="1"/>
    <col min="3846" max="3846" width="16.6640625" style="69" bestFit="1" customWidth="1"/>
    <col min="3847" max="3847" width="18.44140625" style="69" bestFit="1" customWidth="1"/>
    <col min="3848" max="4096" width="22.88671875" style="69"/>
    <col min="4097" max="4097" width="22.6640625" style="69" bestFit="1" customWidth="1"/>
    <col min="4098" max="4098" width="12.6640625" style="69" bestFit="1" customWidth="1"/>
    <col min="4099" max="4099" width="7.33203125" style="69" bestFit="1" customWidth="1"/>
    <col min="4100" max="4100" width="10.6640625" style="69" bestFit="1" customWidth="1"/>
    <col min="4101" max="4101" width="14.5546875" style="69" bestFit="1" customWidth="1"/>
    <col min="4102" max="4102" width="16.6640625" style="69" bestFit="1" customWidth="1"/>
    <col min="4103" max="4103" width="18.44140625" style="69" bestFit="1" customWidth="1"/>
    <col min="4104" max="4352" width="22.88671875" style="69"/>
    <col min="4353" max="4353" width="22.6640625" style="69" bestFit="1" customWidth="1"/>
    <col min="4354" max="4354" width="12.6640625" style="69" bestFit="1" customWidth="1"/>
    <col min="4355" max="4355" width="7.33203125" style="69" bestFit="1" customWidth="1"/>
    <col min="4356" max="4356" width="10.6640625" style="69" bestFit="1" customWidth="1"/>
    <col min="4357" max="4357" width="14.5546875" style="69" bestFit="1" customWidth="1"/>
    <col min="4358" max="4358" width="16.6640625" style="69" bestFit="1" customWidth="1"/>
    <col min="4359" max="4359" width="18.44140625" style="69" bestFit="1" customWidth="1"/>
    <col min="4360" max="4608" width="22.88671875" style="69"/>
    <col min="4609" max="4609" width="22.6640625" style="69" bestFit="1" customWidth="1"/>
    <col min="4610" max="4610" width="12.6640625" style="69" bestFit="1" customWidth="1"/>
    <col min="4611" max="4611" width="7.33203125" style="69" bestFit="1" customWidth="1"/>
    <col min="4612" max="4612" width="10.6640625" style="69" bestFit="1" customWidth="1"/>
    <col min="4613" max="4613" width="14.5546875" style="69" bestFit="1" customWidth="1"/>
    <col min="4614" max="4614" width="16.6640625" style="69" bestFit="1" customWidth="1"/>
    <col min="4615" max="4615" width="18.44140625" style="69" bestFit="1" customWidth="1"/>
    <col min="4616" max="4864" width="22.88671875" style="69"/>
    <col min="4865" max="4865" width="22.6640625" style="69" bestFit="1" customWidth="1"/>
    <col min="4866" max="4866" width="12.6640625" style="69" bestFit="1" customWidth="1"/>
    <col min="4867" max="4867" width="7.33203125" style="69" bestFit="1" customWidth="1"/>
    <col min="4868" max="4868" width="10.6640625" style="69" bestFit="1" customWidth="1"/>
    <col min="4869" max="4869" width="14.5546875" style="69" bestFit="1" customWidth="1"/>
    <col min="4870" max="4870" width="16.6640625" style="69" bestFit="1" customWidth="1"/>
    <col min="4871" max="4871" width="18.44140625" style="69" bestFit="1" customWidth="1"/>
    <col min="4872" max="5120" width="22.88671875" style="69"/>
    <col min="5121" max="5121" width="22.6640625" style="69" bestFit="1" customWidth="1"/>
    <col min="5122" max="5122" width="12.6640625" style="69" bestFit="1" customWidth="1"/>
    <col min="5123" max="5123" width="7.33203125" style="69" bestFit="1" customWidth="1"/>
    <col min="5124" max="5124" width="10.6640625" style="69" bestFit="1" customWidth="1"/>
    <col min="5125" max="5125" width="14.5546875" style="69" bestFit="1" customWidth="1"/>
    <col min="5126" max="5126" width="16.6640625" style="69" bestFit="1" customWidth="1"/>
    <col min="5127" max="5127" width="18.44140625" style="69" bestFit="1" customWidth="1"/>
    <col min="5128" max="5376" width="22.88671875" style="69"/>
    <col min="5377" max="5377" width="22.6640625" style="69" bestFit="1" customWidth="1"/>
    <col min="5378" max="5378" width="12.6640625" style="69" bestFit="1" customWidth="1"/>
    <col min="5379" max="5379" width="7.33203125" style="69" bestFit="1" customWidth="1"/>
    <col min="5380" max="5380" width="10.6640625" style="69" bestFit="1" customWidth="1"/>
    <col min="5381" max="5381" width="14.5546875" style="69" bestFit="1" customWidth="1"/>
    <col min="5382" max="5382" width="16.6640625" style="69" bestFit="1" customWidth="1"/>
    <col min="5383" max="5383" width="18.44140625" style="69" bestFit="1" customWidth="1"/>
    <col min="5384" max="5632" width="22.88671875" style="69"/>
    <col min="5633" max="5633" width="22.6640625" style="69" bestFit="1" customWidth="1"/>
    <col min="5634" max="5634" width="12.6640625" style="69" bestFit="1" customWidth="1"/>
    <col min="5635" max="5635" width="7.33203125" style="69" bestFit="1" customWidth="1"/>
    <col min="5636" max="5636" width="10.6640625" style="69" bestFit="1" customWidth="1"/>
    <col min="5637" max="5637" width="14.5546875" style="69" bestFit="1" customWidth="1"/>
    <col min="5638" max="5638" width="16.6640625" style="69" bestFit="1" customWidth="1"/>
    <col min="5639" max="5639" width="18.44140625" style="69" bestFit="1" customWidth="1"/>
    <col min="5640" max="5888" width="22.88671875" style="69"/>
    <col min="5889" max="5889" width="22.6640625" style="69" bestFit="1" customWidth="1"/>
    <col min="5890" max="5890" width="12.6640625" style="69" bestFit="1" customWidth="1"/>
    <col min="5891" max="5891" width="7.33203125" style="69" bestFit="1" customWidth="1"/>
    <col min="5892" max="5892" width="10.6640625" style="69" bestFit="1" customWidth="1"/>
    <col min="5893" max="5893" width="14.5546875" style="69" bestFit="1" customWidth="1"/>
    <col min="5894" max="5894" width="16.6640625" style="69" bestFit="1" customWidth="1"/>
    <col min="5895" max="5895" width="18.44140625" style="69" bestFit="1" customWidth="1"/>
    <col min="5896" max="6144" width="22.88671875" style="69"/>
    <col min="6145" max="6145" width="22.6640625" style="69" bestFit="1" customWidth="1"/>
    <col min="6146" max="6146" width="12.6640625" style="69" bestFit="1" customWidth="1"/>
    <col min="6147" max="6147" width="7.33203125" style="69" bestFit="1" customWidth="1"/>
    <col min="6148" max="6148" width="10.6640625" style="69" bestFit="1" customWidth="1"/>
    <col min="6149" max="6149" width="14.5546875" style="69" bestFit="1" customWidth="1"/>
    <col min="6150" max="6150" width="16.6640625" style="69" bestFit="1" customWidth="1"/>
    <col min="6151" max="6151" width="18.44140625" style="69" bestFit="1" customWidth="1"/>
    <col min="6152" max="6400" width="22.88671875" style="69"/>
    <col min="6401" max="6401" width="22.6640625" style="69" bestFit="1" customWidth="1"/>
    <col min="6402" max="6402" width="12.6640625" style="69" bestFit="1" customWidth="1"/>
    <col min="6403" max="6403" width="7.33203125" style="69" bestFit="1" customWidth="1"/>
    <col min="6404" max="6404" width="10.6640625" style="69" bestFit="1" customWidth="1"/>
    <col min="6405" max="6405" width="14.5546875" style="69" bestFit="1" customWidth="1"/>
    <col min="6406" max="6406" width="16.6640625" style="69" bestFit="1" customWidth="1"/>
    <col min="6407" max="6407" width="18.44140625" style="69" bestFit="1" customWidth="1"/>
    <col min="6408" max="6656" width="22.88671875" style="69"/>
    <col min="6657" max="6657" width="22.6640625" style="69" bestFit="1" customWidth="1"/>
    <col min="6658" max="6658" width="12.6640625" style="69" bestFit="1" customWidth="1"/>
    <col min="6659" max="6659" width="7.33203125" style="69" bestFit="1" customWidth="1"/>
    <col min="6660" max="6660" width="10.6640625" style="69" bestFit="1" customWidth="1"/>
    <col min="6661" max="6661" width="14.5546875" style="69" bestFit="1" customWidth="1"/>
    <col min="6662" max="6662" width="16.6640625" style="69" bestFit="1" customWidth="1"/>
    <col min="6663" max="6663" width="18.44140625" style="69" bestFit="1" customWidth="1"/>
    <col min="6664" max="6912" width="22.88671875" style="69"/>
    <col min="6913" max="6913" width="22.6640625" style="69" bestFit="1" customWidth="1"/>
    <col min="6914" max="6914" width="12.6640625" style="69" bestFit="1" customWidth="1"/>
    <col min="6915" max="6915" width="7.33203125" style="69" bestFit="1" customWidth="1"/>
    <col min="6916" max="6916" width="10.6640625" style="69" bestFit="1" customWidth="1"/>
    <col min="6917" max="6917" width="14.5546875" style="69" bestFit="1" customWidth="1"/>
    <col min="6918" max="6918" width="16.6640625" style="69" bestFit="1" customWidth="1"/>
    <col min="6919" max="6919" width="18.44140625" style="69" bestFit="1" customWidth="1"/>
    <col min="6920" max="7168" width="22.88671875" style="69"/>
    <col min="7169" max="7169" width="22.6640625" style="69" bestFit="1" customWidth="1"/>
    <col min="7170" max="7170" width="12.6640625" style="69" bestFit="1" customWidth="1"/>
    <col min="7171" max="7171" width="7.33203125" style="69" bestFit="1" customWidth="1"/>
    <col min="7172" max="7172" width="10.6640625" style="69" bestFit="1" customWidth="1"/>
    <col min="7173" max="7173" width="14.5546875" style="69" bestFit="1" customWidth="1"/>
    <col min="7174" max="7174" width="16.6640625" style="69" bestFit="1" customWidth="1"/>
    <col min="7175" max="7175" width="18.44140625" style="69" bestFit="1" customWidth="1"/>
    <col min="7176" max="7424" width="22.88671875" style="69"/>
    <col min="7425" max="7425" width="22.6640625" style="69" bestFit="1" customWidth="1"/>
    <col min="7426" max="7426" width="12.6640625" style="69" bestFit="1" customWidth="1"/>
    <col min="7427" max="7427" width="7.33203125" style="69" bestFit="1" customWidth="1"/>
    <col min="7428" max="7428" width="10.6640625" style="69" bestFit="1" customWidth="1"/>
    <col min="7429" max="7429" width="14.5546875" style="69" bestFit="1" customWidth="1"/>
    <col min="7430" max="7430" width="16.6640625" style="69" bestFit="1" customWidth="1"/>
    <col min="7431" max="7431" width="18.44140625" style="69" bestFit="1" customWidth="1"/>
    <col min="7432" max="7680" width="22.88671875" style="69"/>
    <col min="7681" max="7681" width="22.6640625" style="69" bestFit="1" customWidth="1"/>
    <col min="7682" max="7682" width="12.6640625" style="69" bestFit="1" customWidth="1"/>
    <col min="7683" max="7683" width="7.33203125" style="69" bestFit="1" customWidth="1"/>
    <col min="7684" max="7684" width="10.6640625" style="69" bestFit="1" customWidth="1"/>
    <col min="7685" max="7685" width="14.5546875" style="69" bestFit="1" customWidth="1"/>
    <col min="7686" max="7686" width="16.6640625" style="69" bestFit="1" customWidth="1"/>
    <col min="7687" max="7687" width="18.44140625" style="69" bestFit="1" customWidth="1"/>
    <col min="7688" max="7936" width="22.88671875" style="69"/>
    <col min="7937" max="7937" width="22.6640625" style="69" bestFit="1" customWidth="1"/>
    <col min="7938" max="7938" width="12.6640625" style="69" bestFit="1" customWidth="1"/>
    <col min="7939" max="7939" width="7.33203125" style="69" bestFit="1" customWidth="1"/>
    <col min="7940" max="7940" width="10.6640625" style="69" bestFit="1" customWidth="1"/>
    <col min="7941" max="7941" width="14.5546875" style="69" bestFit="1" customWidth="1"/>
    <col min="7942" max="7942" width="16.6640625" style="69" bestFit="1" customWidth="1"/>
    <col min="7943" max="7943" width="18.44140625" style="69" bestFit="1" customWidth="1"/>
    <col min="7944" max="8192" width="22.88671875" style="69"/>
    <col min="8193" max="8193" width="22.6640625" style="69" bestFit="1" customWidth="1"/>
    <col min="8194" max="8194" width="12.6640625" style="69" bestFit="1" customWidth="1"/>
    <col min="8195" max="8195" width="7.33203125" style="69" bestFit="1" customWidth="1"/>
    <col min="8196" max="8196" width="10.6640625" style="69" bestFit="1" customWidth="1"/>
    <col min="8197" max="8197" width="14.5546875" style="69" bestFit="1" customWidth="1"/>
    <col min="8198" max="8198" width="16.6640625" style="69" bestFit="1" customWidth="1"/>
    <col min="8199" max="8199" width="18.44140625" style="69" bestFit="1" customWidth="1"/>
    <col min="8200" max="8448" width="22.88671875" style="69"/>
    <col min="8449" max="8449" width="22.6640625" style="69" bestFit="1" customWidth="1"/>
    <col min="8450" max="8450" width="12.6640625" style="69" bestFit="1" customWidth="1"/>
    <col min="8451" max="8451" width="7.33203125" style="69" bestFit="1" customWidth="1"/>
    <col min="8452" max="8452" width="10.6640625" style="69" bestFit="1" customWidth="1"/>
    <col min="8453" max="8453" width="14.5546875" style="69" bestFit="1" customWidth="1"/>
    <col min="8454" max="8454" width="16.6640625" style="69" bestFit="1" customWidth="1"/>
    <col min="8455" max="8455" width="18.44140625" style="69" bestFit="1" customWidth="1"/>
    <col min="8456" max="8704" width="22.88671875" style="69"/>
    <col min="8705" max="8705" width="22.6640625" style="69" bestFit="1" customWidth="1"/>
    <col min="8706" max="8706" width="12.6640625" style="69" bestFit="1" customWidth="1"/>
    <col min="8707" max="8707" width="7.33203125" style="69" bestFit="1" customWidth="1"/>
    <col min="8708" max="8708" width="10.6640625" style="69" bestFit="1" customWidth="1"/>
    <col min="8709" max="8709" width="14.5546875" style="69" bestFit="1" customWidth="1"/>
    <col min="8710" max="8710" width="16.6640625" style="69" bestFit="1" customWidth="1"/>
    <col min="8711" max="8711" width="18.44140625" style="69" bestFit="1" customWidth="1"/>
    <col min="8712" max="8960" width="22.88671875" style="69"/>
    <col min="8961" max="8961" width="22.6640625" style="69" bestFit="1" customWidth="1"/>
    <col min="8962" max="8962" width="12.6640625" style="69" bestFit="1" customWidth="1"/>
    <col min="8963" max="8963" width="7.33203125" style="69" bestFit="1" customWidth="1"/>
    <col min="8964" max="8964" width="10.6640625" style="69" bestFit="1" customWidth="1"/>
    <col min="8965" max="8965" width="14.5546875" style="69" bestFit="1" customWidth="1"/>
    <col min="8966" max="8966" width="16.6640625" style="69" bestFit="1" customWidth="1"/>
    <col min="8967" max="8967" width="18.44140625" style="69" bestFit="1" customWidth="1"/>
    <col min="8968" max="9216" width="22.88671875" style="69"/>
    <col min="9217" max="9217" width="22.6640625" style="69" bestFit="1" customWidth="1"/>
    <col min="9218" max="9218" width="12.6640625" style="69" bestFit="1" customWidth="1"/>
    <col min="9219" max="9219" width="7.33203125" style="69" bestFit="1" customWidth="1"/>
    <col min="9220" max="9220" width="10.6640625" style="69" bestFit="1" customWidth="1"/>
    <col min="9221" max="9221" width="14.5546875" style="69" bestFit="1" customWidth="1"/>
    <col min="9222" max="9222" width="16.6640625" style="69" bestFit="1" customWidth="1"/>
    <col min="9223" max="9223" width="18.44140625" style="69" bestFit="1" customWidth="1"/>
    <col min="9224" max="9472" width="22.88671875" style="69"/>
    <col min="9473" max="9473" width="22.6640625" style="69" bestFit="1" customWidth="1"/>
    <col min="9474" max="9474" width="12.6640625" style="69" bestFit="1" customWidth="1"/>
    <col min="9475" max="9475" width="7.33203125" style="69" bestFit="1" customWidth="1"/>
    <col min="9476" max="9476" width="10.6640625" style="69" bestFit="1" customWidth="1"/>
    <col min="9477" max="9477" width="14.5546875" style="69" bestFit="1" customWidth="1"/>
    <col min="9478" max="9478" width="16.6640625" style="69" bestFit="1" customWidth="1"/>
    <col min="9479" max="9479" width="18.44140625" style="69" bestFit="1" customWidth="1"/>
    <col min="9480" max="9728" width="22.88671875" style="69"/>
    <col min="9729" max="9729" width="22.6640625" style="69" bestFit="1" customWidth="1"/>
    <col min="9730" max="9730" width="12.6640625" style="69" bestFit="1" customWidth="1"/>
    <col min="9731" max="9731" width="7.33203125" style="69" bestFit="1" customWidth="1"/>
    <col min="9732" max="9732" width="10.6640625" style="69" bestFit="1" customWidth="1"/>
    <col min="9733" max="9733" width="14.5546875" style="69" bestFit="1" customWidth="1"/>
    <col min="9734" max="9734" width="16.6640625" style="69" bestFit="1" customWidth="1"/>
    <col min="9735" max="9735" width="18.44140625" style="69" bestFit="1" customWidth="1"/>
    <col min="9736" max="9984" width="22.88671875" style="69"/>
    <col min="9985" max="9985" width="22.6640625" style="69" bestFit="1" customWidth="1"/>
    <col min="9986" max="9986" width="12.6640625" style="69" bestFit="1" customWidth="1"/>
    <col min="9987" max="9987" width="7.33203125" style="69" bestFit="1" customWidth="1"/>
    <col min="9988" max="9988" width="10.6640625" style="69" bestFit="1" customWidth="1"/>
    <col min="9989" max="9989" width="14.5546875" style="69" bestFit="1" customWidth="1"/>
    <col min="9990" max="9990" width="16.6640625" style="69" bestFit="1" customWidth="1"/>
    <col min="9991" max="9991" width="18.44140625" style="69" bestFit="1" customWidth="1"/>
    <col min="9992" max="10240" width="22.88671875" style="69"/>
    <col min="10241" max="10241" width="22.6640625" style="69" bestFit="1" customWidth="1"/>
    <col min="10242" max="10242" width="12.6640625" style="69" bestFit="1" customWidth="1"/>
    <col min="10243" max="10243" width="7.33203125" style="69" bestFit="1" customWidth="1"/>
    <col min="10244" max="10244" width="10.6640625" style="69" bestFit="1" customWidth="1"/>
    <col min="10245" max="10245" width="14.5546875" style="69" bestFit="1" customWidth="1"/>
    <col min="10246" max="10246" width="16.6640625" style="69" bestFit="1" customWidth="1"/>
    <col min="10247" max="10247" width="18.44140625" style="69" bestFit="1" customWidth="1"/>
    <col min="10248" max="10496" width="22.88671875" style="69"/>
    <col min="10497" max="10497" width="22.6640625" style="69" bestFit="1" customWidth="1"/>
    <col min="10498" max="10498" width="12.6640625" style="69" bestFit="1" customWidth="1"/>
    <col min="10499" max="10499" width="7.33203125" style="69" bestFit="1" customWidth="1"/>
    <col min="10500" max="10500" width="10.6640625" style="69" bestFit="1" customWidth="1"/>
    <col min="10501" max="10501" width="14.5546875" style="69" bestFit="1" customWidth="1"/>
    <col min="10502" max="10502" width="16.6640625" style="69" bestFit="1" customWidth="1"/>
    <col min="10503" max="10503" width="18.44140625" style="69" bestFit="1" customWidth="1"/>
    <col min="10504" max="10752" width="22.88671875" style="69"/>
    <col min="10753" max="10753" width="22.6640625" style="69" bestFit="1" customWidth="1"/>
    <col min="10754" max="10754" width="12.6640625" style="69" bestFit="1" customWidth="1"/>
    <col min="10755" max="10755" width="7.33203125" style="69" bestFit="1" customWidth="1"/>
    <col min="10756" max="10756" width="10.6640625" style="69" bestFit="1" customWidth="1"/>
    <col min="10757" max="10757" width="14.5546875" style="69" bestFit="1" customWidth="1"/>
    <col min="10758" max="10758" width="16.6640625" style="69" bestFit="1" customWidth="1"/>
    <col min="10759" max="10759" width="18.44140625" style="69" bestFit="1" customWidth="1"/>
    <col min="10760" max="11008" width="22.88671875" style="69"/>
    <col min="11009" max="11009" width="22.6640625" style="69" bestFit="1" customWidth="1"/>
    <col min="11010" max="11010" width="12.6640625" style="69" bestFit="1" customWidth="1"/>
    <col min="11011" max="11011" width="7.33203125" style="69" bestFit="1" customWidth="1"/>
    <col min="11012" max="11012" width="10.6640625" style="69" bestFit="1" customWidth="1"/>
    <col min="11013" max="11013" width="14.5546875" style="69" bestFit="1" customWidth="1"/>
    <col min="11014" max="11014" width="16.6640625" style="69" bestFit="1" customWidth="1"/>
    <col min="11015" max="11015" width="18.44140625" style="69" bestFit="1" customWidth="1"/>
    <col min="11016" max="11264" width="22.88671875" style="69"/>
    <col min="11265" max="11265" width="22.6640625" style="69" bestFit="1" customWidth="1"/>
    <col min="11266" max="11266" width="12.6640625" style="69" bestFit="1" customWidth="1"/>
    <col min="11267" max="11267" width="7.33203125" style="69" bestFit="1" customWidth="1"/>
    <col min="11268" max="11268" width="10.6640625" style="69" bestFit="1" customWidth="1"/>
    <col min="11269" max="11269" width="14.5546875" style="69" bestFit="1" customWidth="1"/>
    <col min="11270" max="11270" width="16.6640625" style="69" bestFit="1" customWidth="1"/>
    <col min="11271" max="11271" width="18.44140625" style="69" bestFit="1" customWidth="1"/>
    <col min="11272" max="11520" width="22.88671875" style="69"/>
    <col min="11521" max="11521" width="22.6640625" style="69" bestFit="1" customWidth="1"/>
    <col min="11522" max="11522" width="12.6640625" style="69" bestFit="1" customWidth="1"/>
    <col min="11523" max="11523" width="7.33203125" style="69" bestFit="1" customWidth="1"/>
    <col min="11524" max="11524" width="10.6640625" style="69" bestFit="1" customWidth="1"/>
    <col min="11525" max="11525" width="14.5546875" style="69" bestFit="1" customWidth="1"/>
    <col min="11526" max="11526" width="16.6640625" style="69" bestFit="1" customWidth="1"/>
    <col min="11527" max="11527" width="18.44140625" style="69" bestFit="1" customWidth="1"/>
    <col min="11528" max="11776" width="22.88671875" style="69"/>
    <col min="11777" max="11777" width="22.6640625" style="69" bestFit="1" customWidth="1"/>
    <col min="11778" max="11778" width="12.6640625" style="69" bestFit="1" customWidth="1"/>
    <col min="11779" max="11779" width="7.33203125" style="69" bestFit="1" customWidth="1"/>
    <col min="11780" max="11780" width="10.6640625" style="69" bestFit="1" customWidth="1"/>
    <col min="11781" max="11781" width="14.5546875" style="69" bestFit="1" customWidth="1"/>
    <col min="11782" max="11782" width="16.6640625" style="69" bestFit="1" customWidth="1"/>
    <col min="11783" max="11783" width="18.44140625" style="69" bestFit="1" customWidth="1"/>
    <col min="11784" max="12032" width="22.88671875" style="69"/>
    <col min="12033" max="12033" width="22.6640625" style="69" bestFit="1" customWidth="1"/>
    <col min="12034" max="12034" width="12.6640625" style="69" bestFit="1" customWidth="1"/>
    <col min="12035" max="12035" width="7.33203125" style="69" bestFit="1" customWidth="1"/>
    <col min="12036" max="12036" width="10.6640625" style="69" bestFit="1" customWidth="1"/>
    <col min="12037" max="12037" width="14.5546875" style="69" bestFit="1" customWidth="1"/>
    <col min="12038" max="12038" width="16.6640625" style="69" bestFit="1" customWidth="1"/>
    <col min="12039" max="12039" width="18.44140625" style="69" bestFit="1" customWidth="1"/>
    <col min="12040" max="12288" width="22.88671875" style="69"/>
    <col min="12289" max="12289" width="22.6640625" style="69" bestFit="1" customWidth="1"/>
    <col min="12290" max="12290" width="12.6640625" style="69" bestFit="1" customWidth="1"/>
    <col min="12291" max="12291" width="7.33203125" style="69" bestFit="1" customWidth="1"/>
    <col min="12292" max="12292" width="10.6640625" style="69" bestFit="1" customWidth="1"/>
    <col min="12293" max="12293" width="14.5546875" style="69" bestFit="1" customWidth="1"/>
    <col min="12294" max="12294" width="16.6640625" style="69" bestFit="1" customWidth="1"/>
    <col min="12295" max="12295" width="18.44140625" style="69" bestFit="1" customWidth="1"/>
    <col min="12296" max="12544" width="22.88671875" style="69"/>
    <col min="12545" max="12545" width="22.6640625" style="69" bestFit="1" customWidth="1"/>
    <col min="12546" max="12546" width="12.6640625" style="69" bestFit="1" customWidth="1"/>
    <col min="12547" max="12547" width="7.33203125" style="69" bestFit="1" customWidth="1"/>
    <col min="12548" max="12548" width="10.6640625" style="69" bestFit="1" customWidth="1"/>
    <col min="12549" max="12549" width="14.5546875" style="69" bestFit="1" customWidth="1"/>
    <col min="12550" max="12550" width="16.6640625" style="69" bestFit="1" customWidth="1"/>
    <col min="12551" max="12551" width="18.44140625" style="69" bestFit="1" customWidth="1"/>
    <col min="12552" max="12800" width="22.88671875" style="69"/>
    <col min="12801" max="12801" width="22.6640625" style="69" bestFit="1" customWidth="1"/>
    <col min="12802" max="12802" width="12.6640625" style="69" bestFit="1" customWidth="1"/>
    <col min="12803" max="12803" width="7.33203125" style="69" bestFit="1" customWidth="1"/>
    <col min="12804" max="12804" width="10.6640625" style="69" bestFit="1" customWidth="1"/>
    <col min="12805" max="12805" width="14.5546875" style="69" bestFit="1" customWidth="1"/>
    <col min="12806" max="12806" width="16.6640625" style="69" bestFit="1" customWidth="1"/>
    <col min="12807" max="12807" width="18.44140625" style="69" bestFit="1" customWidth="1"/>
    <col min="12808" max="13056" width="22.88671875" style="69"/>
    <col min="13057" max="13057" width="22.6640625" style="69" bestFit="1" customWidth="1"/>
    <col min="13058" max="13058" width="12.6640625" style="69" bestFit="1" customWidth="1"/>
    <col min="13059" max="13059" width="7.33203125" style="69" bestFit="1" customWidth="1"/>
    <col min="13060" max="13060" width="10.6640625" style="69" bestFit="1" customWidth="1"/>
    <col min="13061" max="13061" width="14.5546875" style="69" bestFit="1" customWidth="1"/>
    <col min="13062" max="13062" width="16.6640625" style="69" bestFit="1" customWidth="1"/>
    <col min="13063" max="13063" width="18.44140625" style="69" bestFit="1" customWidth="1"/>
    <col min="13064" max="13312" width="22.88671875" style="69"/>
    <col min="13313" max="13313" width="22.6640625" style="69" bestFit="1" customWidth="1"/>
    <col min="13314" max="13314" width="12.6640625" style="69" bestFit="1" customWidth="1"/>
    <col min="13315" max="13315" width="7.33203125" style="69" bestFit="1" customWidth="1"/>
    <col min="13316" max="13316" width="10.6640625" style="69" bestFit="1" customWidth="1"/>
    <col min="13317" max="13317" width="14.5546875" style="69" bestFit="1" customWidth="1"/>
    <col min="13318" max="13318" width="16.6640625" style="69" bestFit="1" customWidth="1"/>
    <col min="13319" max="13319" width="18.44140625" style="69" bestFit="1" customWidth="1"/>
    <col min="13320" max="13568" width="22.88671875" style="69"/>
    <col min="13569" max="13569" width="22.6640625" style="69" bestFit="1" customWidth="1"/>
    <col min="13570" max="13570" width="12.6640625" style="69" bestFit="1" customWidth="1"/>
    <col min="13571" max="13571" width="7.33203125" style="69" bestFit="1" customWidth="1"/>
    <col min="13572" max="13572" width="10.6640625" style="69" bestFit="1" customWidth="1"/>
    <col min="13573" max="13573" width="14.5546875" style="69" bestFit="1" customWidth="1"/>
    <col min="13574" max="13574" width="16.6640625" style="69" bestFit="1" customWidth="1"/>
    <col min="13575" max="13575" width="18.44140625" style="69" bestFit="1" customWidth="1"/>
    <col min="13576" max="13824" width="22.88671875" style="69"/>
    <col min="13825" max="13825" width="22.6640625" style="69" bestFit="1" customWidth="1"/>
    <col min="13826" max="13826" width="12.6640625" style="69" bestFit="1" customWidth="1"/>
    <col min="13827" max="13827" width="7.33203125" style="69" bestFit="1" customWidth="1"/>
    <col min="13828" max="13828" width="10.6640625" style="69" bestFit="1" customWidth="1"/>
    <col min="13829" max="13829" width="14.5546875" style="69" bestFit="1" customWidth="1"/>
    <col min="13830" max="13830" width="16.6640625" style="69" bestFit="1" customWidth="1"/>
    <col min="13831" max="13831" width="18.44140625" style="69" bestFit="1" customWidth="1"/>
    <col min="13832" max="14080" width="22.88671875" style="69"/>
    <col min="14081" max="14081" width="22.6640625" style="69" bestFit="1" customWidth="1"/>
    <col min="14082" max="14082" width="12.6640625" style="69" bestFit="1" customWidth="1"/>
    <col min="14083" max="14083" width="7.33203125" style="69" bestFit="1" customWidth="1"/>
    <col min="14084" max="14084" width="10.6640625" style="69" bestFit="1" customWidth="1"/>
    <col min="14085" max="14085" width="14.5546875" style="69" bestFit="1" customWidth="1"/>
    <col min="14086" max="14086" width="16.6640625" style="69" bestFit="1" customWidth="1"/>
    <col min="14087" max="14087" width="18.44140625" style="69" bestFit="1" customWidth="1"/>
    <col min="14088" max="14336" width="22.88671875" style="69"/>
    <col min="14337" max="14337" width="22.6640625" style="69" bestFit="1" customWidth="1"/>
    <col min="14338" max="14338" width="12.6640625" style="69" bestFit="1" customWidth="1"/>
    <col min="14339" max="14339" width="7.33203125" style="69" bestFit="1" customWidth="1"/>
    <col min="14340" max="14340" width="10.6640625" style="69" bestFit="1" customWidth="1"/>
    <col min="14341" max="14341" width="14.5546875" style="69" bestFit="1" customWidth="1"/>
    <col min="14342" max="14342" width="16.6640625" style="69" bestFit="1" customWidth="1"/>
    <col min="14343" max="14343" width="18.44140625" style="69" bestFit="1" customWidth="1"/>
    <col min="14344" max="14592" width="22.88671875" style="69"/>
    <col min="14593" max="14593" width="22.6640625" style="69" bestFit="1" customWidth="1"/>
    <col min="14594" max="14594" width="12.6640625" style="69" bestFit="1" customWidth="1"/>
    <col min="14595" max="14595" width="7.33203125" style="69" bestFit="1" customWidth="1"/>
    <col min="14596" max="14596" width="10.6640625" style="69" bestFit="1" customWidth="1"/>
    <col min="14597" max="14597" width="14.5546875" style="69" bestFit="1" customWidth="1"/>
    <col min="14598" max="14598" width="16.6640625" style="69" bestFit="1" customWidth="1"/>
    <col min="14599" max="14599" width="18.44140625" style="69" bestFit="1" customWidth="1"/>
    <col min="14600" max="14848" width="22.88671875" style="69"/>
    <col min="14849" max="14849" width="22.6640625" style="69" bestFit="1" customWidth="1"/>
    <col min="14850" max="14850" width="12.6640625" style="69" bestFit="1" customWidth="1"/>
    <col min="14851" max="14851" width="7.33203125" style="69" bestFit="1" customWidth="1"/>
    <col min="14852" max="14852" width="10.6640625" style="69" bestFit="1" customWidth="1"/>
    <col min="14853" max="14853" width="14.5546875" style="69" bestFit="1" customWidth="1"/>
    <col min="14854" max="14854" width="16.6640625" style="69" bestFit="1" customWidth="1"/>
    <col min="14855" max="14855" width="18.44140625" style="69" bestFit="1" customWidth="1"/>
    <col min="14856" max="15104" width="22.88671875" style="69"/>
    <col min="15105" max="15105" width="22.6640625" style="69" bestFit="1" customWidth="1"/>
    <col min="15106" max="15106" width="12.6640625" style="69" bestFit="1" customWidth="1"/>
    <col min="15107" max="15107" width="7.33203125" style="69" bestFit="1" customWidth="1"/>
    <col min="15108" max="15108" width="10.6640625" style="69" bestFit="1" customWidth="1"/>
    <col min="15109" max="15109" width="14.5546875" style="69" bestFit="1" customWidth="1"/>
    <col min="15110" max="15110" width="16.6640625" style="69" bestFit="1" customWidth="1"/>
    <col min="15111" max="15111" width="18.44140625" style="69" bestFit="1" customWidth="1"/>
    <col min="15112" max="15360" width="22.88671875" style="69"/>
    <col min="15361" max="15361" width="22.6640625" style="69" bestFit="1" customWidth="1"/>
    <col min="15362" max="15362" width="12.6640625" style="69" bestFit="1" customWidth="1"/>
    <col min="15363" max="15363" width="7.33203125" style="69" bestFit="1" customWidth="1"/>
    <col min="15364" max="15364" width="10.6640625" style="69" bestFit="1" customWidth="1"/>
    <col min="15365" max="15365" width="14.5546875" style="69" bestFit="1" customWidth="1"/>
    <col min="15366" max="15366" width="16.6640625" style="69" bestFit="1" customWidth="1"/>
    <col min="15367" max="15367" width="18.44140625" style="69" bestFit="1" customWidth="1"/>
    <col min="15368" max="15616" width="22.88671875" style="69"/>
    <col min="15617" max="15617" width="22.6640625" style="69" bestFit="1" customWidth="1"/>
    <col min="15618" max="15618" width="12.6640625" style="69" bestFit="1" customWidth="1"/>
    <col min="15619" max="15619" width="7.33203125" style="69" bestFit="1" customWidth="1"/>
    <col min="15620" max="15620" width="10.6640625" style="69" bestFit="1" customWidth="1"/>
    <col min="15621" max="15621" width="14.5546875" style="69" bestFit="1" customWidth="1"/>
    <col min="15622" max="15622" width="16.6640625" style="69" bestFit="1" customWidth="1"/>
    <col min="15623" max="15623" width="18.44140625" style="69" bestFit="1" customWidth="1"/>
    <col min="15624" max="15872" width="22.88671875" style="69"/>
    <col min="15873" max="15873" width="22.6640625" style="69" bestFit="1" customWidth="1"/>
    <col min="15874" max="15874" width="12.6640625" style="69" bestFit="1" customWidth="1"/>
    <col min="15875" max="15875" width="7.33203125" style="69" bestFit="1" customWidth="1"/>
    <col min="15876" max="15876" width="10.6640625" style="69" bestFit="1" customWidth="1"/>
    <col min="15877" max="15877" width="14.5546875" style="69" bestFit="1" customWidth="1"/>
    <col min="15878" max="15878" width="16.6640625" style="69" bestFit="1" customWidth="1"/>
    <col min="15879" max="15879" width="18.44140625" style="69" bestFit="1" customWidth="1"/>
    <col min="15880" max="16128" width="22.88671875" style="69"/>
    <col min="16129" max="16129" width="22.6640625" style="69" bestFit="1" customWidth="1"/>
    <col min="16130" max="16130" width="12.6640625" style="69" bestFit="1" customWidth="1"/>
    <col min="16131" max="16131" width="7.33203125" style="69" bestFit="1" customWidth="1"/>
    <col min="16132" max="16132" width="10.6640625" style="69" bestFit="1" customWidth="1"/>
    <col min="16133" max="16133" width="14.5546875" style="69" bestFit="1" customWidth="1"/>
    <col min="16134" max="16134" width="16.6640625" style="69" bestFit="1" customWidth="1"/>
    <col min="16135" max="16135" width="18.44140625" style="69" bestFit="1" customWidth="1"/>
    <col min="16136" max="16384" width="22.88671875" style="69"/>
  </cols>
  <sheetData>
    <row r="1" spans="1:13" ht="13.8" thickTop="1" x14ac:dyDescent="0.25">
      <c r="A1" s="128" t="s">
        <v>134</v>
      </c>
      <c r="B1" s="129">
        <v>300000</v>
      </c>
      <c r="G1" s="148" t="s">
        <v>134</v>
      </c>
      <c r="H1" s="149">
        <v>300000</v>
      </c>
      <c r="I1" s="150"/>
      <c r="J1" s="150"/>
      <c r="K1" s="150"/>
      <c r="L1" s="150"/>
      <c r="M1" s="151"/>
    </row>
    <row r="2" spans="1:13" x14ac:dyDescent="0.25">
      <c r="A2" s="128" t="s">
        <v>135</v>
      </c>
      <c r="B2" s="130">
        <v>5.2499999999999998E-2</v>
      </c>
      <c r="G2" s="152" t="s">
        <v>135</v>
      </c>
      <c r="H2" s="130">
        <v>5.2499999999999998E-2</v>
      </c>
      <c r="I2" s="145"/>
      <c r="J2" s="145"/>
      <c r="K2" s="145"/>
      <c r="L2" s="145"/>
      <c r="M2" s="153"/>
    </row>
    <row r="3" spans="1:13" x14ac:dyDescent="0.25">
      <c r="A3" s="128" t="s">
        <v>136</v>
      </c>
      <c r="B3" s="131">
        <f>B2/B5</f>
        <v>4.3749999999999995E-3</v>
      </c>
      <c r="G3" s="152" t="s">
        <v>136</v>
      </c>
      <c r="H3" s="131">
        <f>H2/H5</f>
        <v>4.3749999999999995E-3</v>
      </c>
      <c r="I3" s="145"/>
      <c r="J3" s="145"/>
      <c r="K3" s="145"/>
      <c r="L3" s="145"/>
      <c r="M3" s="153"/>
    </row>
    <row r="4" spans="1:13" x14ac:dyDescent="0.25">
      <c r="A4" s="128" t="s">
        <v>10</v>
      </c>
      <c r="B4" s="75">
        <v>30</v>
      </c>
      <c r="G4" s="152" t="s">
        <v>10</v>
      </c>
      <c r="H4" s="75">
        <v>30</v>
      </c>
      <c r="I4" s="145"/>
      <c r="J4" s="167" t="s">
        <v>220</v>
      </c>
      <c r="K4" s="145"/>
      <c r="L4" s="145"/>
      <c r="M4" s="153"/>
    </row>
    <row r="5" spans="1:13" ht="26.4" x14ac:dyDescent="0.25">
      <c r="A5" s="128" t="s">
        <v>137</v>
      </c>
      <c r="B5" s="75">
        <v>12</v>
      </c>
      <c r="G5" s="152" t="s">
        <v>137</v>
      </c>
      <c r="H5" s="75">
        <v>12</v>
      </c>
      <c r="I5" s="145"/>
      <c r="J5" s="145"/>
      <c r="K5" s="145"/>
      <c r="L5" s="145"/>
      <c r="M5" s="153"/>
    </row>
    <row r="6" spans="1:13" x14ac:dyDescent="0.25">
      <c r="A6" s="128" t="s">
        <v>12</v>
      </c>
      <c r="B6" s="131">
        <f>B4*B5</f>
        <v>360</v>
      </c>
      <c r="G6" s="152" t="s">
        <v>12</v>
      </c>
      <c r="H6" s="131">
        <f>H4*H5</f>
        <v>360</v>
      </c>
      <c r="I6" s="145"/>
      <c r="J6" s="145"/>
      <c r="K6" s="145"/>
      <c r="L6" s="145"/>
      <c r="M6" s="153"/>
    </row>
    <row r="7" spans="1:13" x14ac:dyDescent="0.25">
      <c r="A7" s="128" t="s">
        <v>142</v>
      </c>
      <c r="B7" s="135">
        <f>PMT(B3,B6,B1)</f>
        <v>-1656.611106425695</v>
      </c>
      <c r="G7" s="152" t="s">
        <v>142</v>
      </c>
      <c r="H7" s="135">
        <f>PMT(H3,H6,H1)</f>
        <v>-1656.611106425695</v>
      </c>
      <c r="I7" s="145"/>
      <c r="J7" s="145"/>
      <c r="K7" s="145"/>
      <c r="L7" s="145"/>
      <c r="M7" s="153"/>
    </row>
    <row r="8" spans="1:13" s="73" customFormat="1" ht="14.4" x14ac:dyDescent="0.3">
      <c r="C8"/>
      <c r="D8"/>
      <c r="E8"/>
      <c r="F8"/>
      <c r="G8" s="154"/>
      <c r="H8" s="146"/>
      <c r="I8" s="147"/>
      <c r="J8" s="147"/>
      <c r="K8" s="147"/>
      <c r="L8" s="146"/>
      <c r="M8" s="155"/>
    </row>
    <row r="9" spans="1:13" ht="28.8" x14ac:dyDescent="0.3">
      <c r="A9" s="137" t="s">
        <v>47</v>
      </c>
      <c r="B9" s="137" t="s">
        <v>142</v>
      </c>
      <c r="C9" s="8" t="s">
        <v>132</v>
      </c>
      <c r="D9" s="8" t="s">
        <v>148</v>
      </c>
      <c r="E9" s="8" t="s">
        <v>143</v>
      </c>
      <c r="F9"/>
      <c r="G9" s="156" t="s">
        <v>47</v>
      </c>
      <c r="H9" s="137" t="s">
        <v>142</v>
      </c>
      <c r="I9" s="8" t="s">
        <v>132</v>
      </c>
      <c r="J9" s="8" t="s">
        <v>148</v>
      </c>
      <c r="K9" s="8" t="s">
        <v>143</v>
      </c>
      <c r="L9" s="145"/>
      <c r="M9" s="157" t="s">
        <v>143</v>
      </c>
    </row>
    <row r="10" spans="1:13" ht="14.4" x14ac:dyDescent="0.3">
      <c r="A10" s="71">
        <v>0</v>
      </c>
      <c r="B10" s="71"/>
      <c r="C10" s="1"/>
      <c r="D10" s="1"/>
      <c r="E10" s="10">
        <f>B1</f>
        <v>300000</v>
      </c>
      <c r="F10"/>
      <c r="G10" s="158" cm="1">
        <f t="array" ref="G10:G370">_xlfn.SEQUENCE(H6+1,,0)</f>
        <v>0</v>
      </c>
      <c r="H10" s="71"/>
      <c r="I10" s="1"/>
      <c r="J10" s="1"/>
      <c r="K10" s="10">
        <f>H1</f>
        <v>300000</v>
      </c>
      <c r="L10" s="145"/>
      <c r="M10" s="159">
        <f>H1</f>
        <v>300000</v>
      </c>
    </row>
    <row r="11" spans="1:13" ht="14.4" x14ac:dyDescent="0.3">
      <c r="A11" s="71">
        <v>1</v>
      </c>
      <c r="B11" s="135">
        <f>-$B$7</f>
        <v>1656.611106425695</v>
      </c>
      <c r="C11" s="86">
        <f>E10*$B$3</f>
        <v>1312.4999999999998</v>
      </c>
      <c r="D11" s="86">
        <f>B11-C11</f>
        <v>344.1111064256952</v>
      </c>
      <c r="E11" s="13">
        <f>E10-D11</f>
        <v>299655.8888935743</v>
      </c>
      <c r="F11"/>
      <c r="G11" s="158">
        <v>1</v>
      </c>
      <c r="H11" s="135" cm="1">
        <f t="array" ref="H11:H370">-_xlfn.SEQUENCE(H6,,H7,0)</f>
        <v>1656.611106425695</v>
      </c>
      <c r="I11" s="86" cm="1">
        <f t="array" ref="I11:I370">-IPMT(H3,_xlfn.DROP(_xlfn.ANCHORARRAY(G10),1),H6,K10)</f>
        <v>1312.4999999999998</v>
      </c>
      <c r="J11" s="86" cm="1">
        <f t="array" ref="J11:J370">_xlfn.ANCHORARRAY(H11)-_xlfn.ANCHORARRAY(I11)</f>
        <v>344.1111064256952</v>
      </c>
      <c r="K11" s="13" cm="1">
        <f t="array" ref="K11:K370">_xlfn.SCAN(K10,-_xlfn.ANCHORARRAY(J11),_xleta.SUM)</f>
        <v>299655.8888935743</v>
      </c>
      <c r="L11" s="145"/>
      <c r="M11" s="160" cm="1">
        <f t="array" ref="M11:M370">K10:K369-J11:J370</f>
        <v>299655.8888935743</v>
      </c>
    </row>
    <row r="12" spans="1:13" ht="14.4" x14ac:dyDescent="0.3">
      <c r="A12" s="71">
        <v>2</v>
      </c>
      <c r="B12" s="135">
        <f t="shared" ref="B12:B75" si="0">-$B$7</f>
        <v>1656.611106425695</v>
      </c>
      <c r="C12" s="86">
        <f t="shared" ref="C12:C75" si="1">E11*$B$3</f>
        <v>1310.9945139093875</v>
      </c>
      <c r="D12" s="86">
        <f t="shared" ref="D12:D75" si="2">B12-C12</f>
        <v>345.61659251630749</v>
      </c>
      <c r="E12" s="13">
        <f t="shared" ref="E12:E75" si="3">E11-D12</f>
        <v>299310.27230105799</v>
      </c>
      <c r="F12"/>
      <c r="G12" s="158">
        <v>2</v>
      </c>
      <c r="H12" s="135">
        <v>1656.611106425695</v>
      </c>
      <c r="I12" s="86">
        <v>1310.9945139093875</v>
      </c>
      <c r="J12" s="86">
        <v>345.61659251630749</v>
      </c>
      <c r="K12" s="13">
        <v>299310.27230105799</v>
      </c>
      <c r="L12" s="145"/>
      <c r="M12" s="160">
        <v>299310.27230105799</v>
      </c>
    </row>
    <row r="13" spans="1:13" ht="14.4" x14ac:dyDescent="0.3">
      <c r="A13" s="71">
        <v>3</v>
      </c>
      <c r="B13" s="135">
        <f t="shared" si="0"/>
        <v>1656.611106425695</v>
      </c>
      <c r="C13" s="86">
        <f t="shared" si="1"/>
        <v>1309.4824413171286</v>
      </c>
      <c r="D13" s="86">
        <f t="shared" si="2"/>
        <v>347.12866510856634</v>
      </c>
      <c r="E13" s="13">
        <f t="shared" si="3"/>
        <v>298963.14363594941</v>
      </c>
      <c r="F13"/>
      <c r="G13" s="158">
        <v>3</v>
      </c>
      <c r="H13" s="135">
        <v>1656.611106425695</v>
      </c>
      <c r="I13" s="86">
        <v>1309.4824413171286</v>
      </c>
      <c r="J13" s="86">
        <v>347.12866510856634</v>
      </c>
      <c r="K13" s="13">
        <v>298963.14363594941</v>
      </c>
      <c r="L13" s="145"/>
      <c r="M13" s="160">
        <v>298963.14363594941</v>
      </c>
    </row>
    <row r="14" spans="1:13" ht="14.4" x14ac:dyDescent="0.3">
      <c r="A14" s="71">
        <v>4</v>
      </c>
      <c r="B14" s="135">
        <f t="shared" si="0"/>
        <v>1656.611106425695</v>
      </c>
      <c r="C14" s="86">
        <f t="shared" si="1"/>
        <v>1307.9637534072785</v>
      </c>
      <c r="D14" s="86">
        <f t="shared" si="2"/>
        <v>348.64735301841642</v>
      </c>
      <c r="E14" s="13">
        <f t="shared" si="3"/>
        <v>298614.49628293101</v>
      </c>
      <c r="F14"/>
      <c r="G14" s="158">
        <v>4</v>
      </c>
      <c r="H14" s="135">
        <v>1656.611106425695</v>
      </c>
      <c r="I14" s="86">
        <v>1307.9637534072785</v>
      </c>
      <c r="J14" s="86">
        <v>348.64735301841642</v>
      </c>
      <c r="K14" s="13">
        <v>298614.49628293101</v>
      </c>
      <c r="L14" s="145"/>
      <c r="M14" s="160">
        <v>298614.49628293101</v>
      </c>
    </row>
    <row r="15" spans="1:13" ht="14.4" x14ac:dyDescent="0.3">
      <c r="A15" s="71">
        <v>5</v>
      </c>
      <c r="B15" s="135">
        <f t="shared" si="0"/>
        <v>1656.611106425695</v>
      </c>
      <c r="C15" s="86">
        <f t="shared" si="1"/>
        <v>1306.4384212378229</v>
      </c>
      <c r="D15" s="86">
        <f t="shared" si="2"/>
        <v>350.17268518787205</v>
      </c>
      <c r="E15" s="13">
        <f t="shared" si="3"/>
        <v>298264.32359774312</v>
      </c>
      <c r="F15"/>
      <c r="G15" s="158">
        <v>5</v>
      </c>
      <c r="H15" s="135">
        <v>1656.611106425695</v>
      </c>
      <c r="I15" s="86">
        <v>1306.4384212378229</v>
      </c>
      <c r="J15" s="86">
        <v>350.17268518787205</v>
      </c>
      <c r="K15" s="13">
        <v>298264.32359774312</v>
      </c>
      <c r="L15" s="145"/>
      <c r="M15" s="160">
        <v>298264.32359774312</v>
      </c>
    </row>
    <row r="16" spans="1:13" ht="14.4" x14ac:dyDescent="0.3">
      <c r="A16" s="71">
        <v>6</v>
      </c>
      <c r="B16" s="135">
        <f t="shared" si="0"/>
        <v>1656.611106425695</v>
      </c>
      <c r="C16" s="86">
        <f t="shared" si="1"/>
        <v>1304.906415740126</v>
      </c>
      <c r="D16" s="86">
        <f t="shared" si="2"/>
        <v>351.70469068556895</v>
      </c>
      <c r="E16" s="13">
        <f t="shared" si="3"/>
        <v>297912.61890705756</v>
      </c>
      <c r="F16"/>
      <c r="G16" s="158">
        <v>6</v>
      </c>
      <c r="H16" s="135">
        <v>1656.611106425695</v>
      </c>
      <c r="I16" s="86">
        <v>1304.9064157401262</v>
      </c>
      <c r="J16" s="86">
        <v>351.70469068556872</v>
      </c>
      <c r="K16" s="13">
        <v>297912.61890705756</v>
      </c>
      <c r="L16" s="145"/>
      <c r="M16" s="160">
        <v>297912.61890705756</v>
      </c>
    </row>
    <row r="17" spans="1:13" ht="14.4" x14ac:dyDescent="0.3">
      <c r="A17" s="71">
        <v>7</v>
      </c>
      <c r="B17" s="135">
        <f t="shared" si="0"/>
        <v>1656.611106425695</v>
      </c>
      <c r="C17" s="86">
        <f t="shared" si="1"/>
        <v>1303.3677077183768</v>
      </c>
      <c r="D17" s="86">
        <f t="shared" si="2"/>
        <v>353.24339870731819</v>
      </c>
      <c r="E17" s="13">
        <f t="shared" si="3"/>
        <v>297559.37550835026</v>
      </c>
      <c r="F17"/>
      <c r="G17" s="158">
        <v>7</v>
      </c>
      <c r="H17" s="135">
        <v>1656.611106425695</v>
      </c>
      <c r="I17" s="86">
        <v>1303.3677077183768</v>
      </c>
      <c r="J17" s="86">
        <v>353.24339870731819</v>
      </c>
      <c r="K17" s="13">
        <v>297559.37550835026</v>
      </c>
      <c r="L17" s="145"/>
      <c r="M17" s="160">
        <v>297559.37550835026</v>
      </c>
    </row>
    <row r="18" spans="1:13" ht="14.4" x14ac:dyDescent="0.3">
      <c r="A18" s="71">
        <v>8</v>
      </c>
      <c r="B18" s="135">
        <f t="shared" si="0"/>
        <v>1656.611106425695</v>
      </c>
      <c r="C18" s="86">
        <f t="shared" si="1"/>
        <v>1301.8222678490322</v>
      </c>
      <c r="D18" s="86">
        <f t="shared" si="2"/>
        <v>354.78883857666278</v>
      </c>
      <c r="E18" s="13">
        <f t="shared" si="3"/>
        <v>297204.58666977362</v>
      </c>
      <c r="F18"/>
      <c r="G18" s="158">
        <v>8</v>
      </c>
      <c r="H18" s="135">
        <v>1656.611106425695</v>
      </c>
      <c r="I18" s="86">
        <v>1301.8222678490322</v>
      </c>
      <c r="J18" s="86">
        <v>354.78883857666278</v>
      </c>
      <c r="K18" s="13">
        <v>297204.58666977362</v>
      </c>
      <c r="L18" s="145"/>
      <c r="M18" s="160">
        <v>297204.58666977362</v>
      </c>
    </row>
    <row r="19" spans="1:13" ht="14.4" x14ac:dyDescent="0.3">
      <c r="A19" s="71">
        <v>9</v>
      </c>
      <c r="B19" s="135">
        <f t="shared" si="0"/>
        <v>1656.611106425695</v>
      </c>
      <c r="C19" s="86">
        <f t="shared" si="1"/>
        <v>1300.2700666802596</v>
      </c>
      <c r="D19" s="86">
        <f t="shared" si="2"/>
        <v>356.34103974543541</v>
      </c>
      <c r="E19" s="13">
        <f t="shared" si="3"/>
        <v>296848.24563002819</v>
      </c>
      <c r="F19"/>
      <c r="G19" s="158">
        <v>9</v>
      </c>
      <c r="H19" s="135">
        <v>1656.611106425695</v>
      </c>
      <c r="I19" s="86">
        <v>1300.2700666802591</v>
      </c>
      <c r="J19" s="86">
        <v>356.34103974543586</v>
      </c>
      <c r="K19" s="13">
        <v>296848.24563002819</v>
      </c>
      <c r="L19" s="145"/>
      <c r="M19" s="160">
        <v>296848.24563002819</v>
      </c>
    </row>
    <row r="20" spans="1:13" ht="14.4" x14ac:dyDescent="0.3">
      <c r="A20" s="71">
        <v>10</v>
      </c>
      <c r="B20" s="135">
        <f t="shared" si="0"/>
        <v>1656.611106425695</v>
      </c>
      <c r="C20" s="86">
        <f t="shared" si="1"/>
        <v>1298.7110746313731</v>
      </c>
      <c r="D20" s="86">
        <f t="shared" si="2"/>
        <v>357.90003179432188</v>
      </c>
      <c r="E20" s="13">
        <f t="shared" si="3"/>
        <v>296490.34559823386</v>
      </c>
      <c r="F20"/>
      <c r="G20" s="158">
        <v>10</v>
      </c>
      <c r="H20" s="135">
        <v>1656.611106425695</v>
      </c>
      <c r="I20" s="86">
        <v>1298.7110746313729</v>
      </c>
      <c r="J20" s="86">
        <v>357.9000317943221</v>
      </c>
      <c r="K20" s="13">
        <v>296490.34559823386</v>
      </c>
      <c r="L20" s="145"/>
      <c r="M20" s="160">
        <v>296490.34559823386</v>
      </c>
    </row>
    <row r="21" spans="1:13" ht="14.4" x14ac:dyDescent="0.3">
      <c r="A21" s="71">
        <v>11</v>
      </c>
      <c r="B21" s="135">
        <f t="shared" si="0"/>
        <v>1656.611106425695</v>
      </c>
      <c r="C21" s="86">
        <f t="shared" si="1"/>
        <v>1297.1452619922729</v>
      </c>
      <c r="D21" s="86">
        <f t="shared" si="2"/>
        <v>359.46584443342203</v>
      </c>
      <c r="E21" s="13">
        <f t="shared" si="3"/>
        <v>296130.87975380046</v>
      </c>
      <c r="F21"/>
      <c r="G21" s="158">
        <v>11</v>
      </c>
      <c r="H21" s="135">
        <v>1656.611106425695</v>
      </c>
      <c r="I21" s="86">
        <v>1297.1452619922727</v>
      </c>
      <c r="J21" s="86">
        <v>359.46584443342226</v>
      </c>
      <c r="K21" s="13">
        <v>296130.87975380046</v>
      </c>
      <c r="L21" s="145"/>
      <c r="M21" s="160">
        <v>296130.87975380046</v>
      </c>
    </row>
    <row r="22" spans="1:13" ht="14.4" x14ac:dyDescent="0.3">
      <c r="A22" s="71">
        <v>12</v>
      </c>
      <c r="B22" s="135">
        <f t="shared" si="0"/>
        <v>1656.611106425695</v>
      </c>
      <c r="C22" s="86">
        <f t="shared" si="1"/>
        <v>1295.572598922877</v>
      </c>
      <c r="D22" s="86">
        <f t="shared" si="2"/>
        <v>361.03850750281799</v>
      </c>
      <c r="E22" s="13">
        <f t="shared" si="3"/>
        <v>295769.84124629764</v>
      </c>
      <c r="F22"/>
      <c r="G22" s="158">
        <v>12</v>
      </c>
      <c r="H22" s="135">
        <v>1656.611106425695</v>
      </c>
      <c r="I22" s="86">
        <v>1295.5725989228765</v>
      </c>
      <c r="J22" s="86">
        <v>361.03850750281845</v>
      </c>
      <c r="K22" s="13">
        <v>295769.84124629764</v>
      </c>
      <c r="L22" s="145"/>
      <c r="M22" s="160">
        <v>295769.84124629764</v>
      </c>
    </row>
    <row r="23" spans="1:13" ht="14.4" x14ac:dyDescent="0.3">
      <c r="A23" s="71">
        <v>13</v>
      </c>
      <c r="B23" s="135">
        <f t="shared" si="0"/>
        <v>1656.611106425695</v>
      </c>
      <c r="C23" s="86">
        <f t="shared" si="1"/>
        <v>1293.993055452552</v>
      </c>
      <c r="D23" s="86">
        <f t="shared" si="2"/>
        <v>362.618050973143</v>
      </c>
      <c r="E23" s="13">
        <f t="shared" si="3"/>
        <v>295407.22319532448</v>
      </c>
      <c r="F23"/>
      <c r="G23" s="158">
        <v>13</v>
      </c>
      <c r="H23" s="135">
        <v>1656.611106425695</v>
      </c>
      <c r="I23" s="86">
        <v>1293.9930554525517</v>
      </c>
      <c r="J23" s="86">
        <v>362.61805097314323</v>
      </c>
      <c r="K23" s="13">
        <v>295407.22319532448</v>
      </c>
      <c r="L23" s="145"/>
      <c r="M23" s="160">
        <v>295407.22319532448</v>
      </c>
    </row>
    <row r="24" spans="1:13" ht="14.4" x14ac:dyDescent="0.3">
      <c r="A24" s="71">
        <v>14</v>
      </c>
      <c r="B24" s="135">
        <f t="shared" si="0"/>
        <v>1656.611106425695</v>
      </c>
      <c r="C24" s="86">
        <f t="shared" si="1"/>
        <v>1292.4066014795444</v>
      </c>
      <c r="D24" s="86">
        <f t="shared" si="2"/>
        <v>364.20450494615056</v>
      </c>
      <c r="E24" s="13">
        <f t="shared" si="3"/>
        <v>295043.01869037835</v>
      </c>
      <c r="F24"/>
      <c r="G24" s="158">
        <v>14</v>
      </c>
      <c r="H24" s="135">
        <v>1656.611106425695</v>
      </c>
      <c r="I24" s="86">
        <v>1292.4066014795444</v>
      </c>
      <c r="J24" s="86">
        <v>364.20450494615056</v>
      </c>
      <c r="K24" s="13">
        <v>295043.01869037835</v>
      </c>
      <c r="L24" s="145"/>
      <c r="M24" s="160">
        <v>295043.01869037835</v>
      </c>
    </row>
    <row r="25" spans="1:13" ht="14.4" x14ac:dyDescent="0.3">
      <c r="A25" s="71">
        <v>15</v>
      </c>
      <c r="B25" s="135">
        <f t="shared" si="0"/>
        <v>1656.611106425695</v>
      </c>
      <c r="C25" s="86">
        <f t="shared" si="1"/>
        <v>1290.813206770405</v>
      </c>
      <c r="D25" s="86">
        <f t="shared" si="2"/>
        <v>365.79789965528994</v>
      </c>
      <c r="E25" s="13">
        <f t="shared" si="3"/>
        <v>294677.22079072305</v>
      </c>
      <c r="F25"/>
      <c r="G25" s="158">
        <v>15</v>
      </c>
      <c r="H25" s="135">
        <v>1656.611106425695</v>
      </c>
      <c r="I25" s="86">
        <v>1290.813206770405</v>
      </c>
      <c r="J25" s="86">
        <v>365.79789965528994</v>
      </c>
      <c r="K25" s="13">
        <v>294677.22079072305</v>
      </c>
      <c r="L25" s="145"/>
      <c r="M25" s="160">
        <v>294677.22079072305</v>
      </c>
    </row>
    <row r="26" spans="1:13" ht="14.4" x14ac:dyDescent="0.3">
      <c r="A26" s="71">
        <v>16</v>
      </c>
      <c r="B26" s="135">
        <f t="shared" si="0"/>
        <v>1656.611106425695</v>
      </c>
      <c r="C26" s="86">
        <f t="shared" si="1"/>
        <v>1289.2128409594131</v>
      </c>
      <c r="D26" s="86">
        <f t="shared" si="2"/>
        <v>367.39826546628183</v>
      </c>
      <c r="E26" s="13">
        <f t="shared" si="3"/>
        <v>294309.82252525678</v>
      </c>
      <c r="F26"/>
      <c r="G26" s="158">
        <v>16</v>
      </c>
      <c r="H26" s="135">
        <v>1656.611106425695</v>
      </c>
      <c r="I26" s="86">
        <v>1289.2128409594129</v>
      </c>
      <c r="J26" s="86">
        <v>367.39826546628206</v>
      </c>
      <c r="K26" s="13">
        <v>294309.82252525678</v>
      </c>
      <c r="L26" s="145"/>
      <c r="M26" s="160">
        <v>294309.82252525678</v>
      </c>
    </row>
    <row r="27" spans="1:13" ht="14.4" x14ac:dyDescent="0.3">
      <c r="A27" s="71">
        <v>17</v>
      </c>
      <c r="B27" s="135">
        <f t="shared" si="0"/>
        <v>1656.611106425695</v>
      </c>
      <c r="C27" s="86">
        <f t="shared" si="1"/>
        <v>1287.6054735479984</v>
      </c>
      <c r="D27" s="86">
        <f t="shared" si="2"/>
        <v>369.0056328776966</v>
      </c>
      <c r="E27" s="13">
        <f t="shared" si="3"/>
        <v>293940.81689237908</v>
      </c>
      <c r="F27"/>
      <c r="G27" s="158">
        <v>17</v>
      </c>
      <c r="H27" s="135">
        <v>1656.611106425695</v>
      </c>
      <c r="I27" s="86">
        <v>1287.6054735479979</v>
      </c>
      <c r="J27" s="86">
        <v>369.00563287769705</v>
      </c>
      <c r="K27" s="13">
        <v>293940.81689237908</v>
      </c>
      <c r="L27" s="145"/>
      <c r="M27" s="160">
        <v>293940.81689237908</v>
      </c>
    </row>
    <row r="28" spans="1:13" ht="14.4" x14ac:dyDescent="0.3">
      <c r="A28" s="71">
        <v>18</v>
      </c>
      <c r="B28" s="135">
        <f t="shared" si="0"/>
        <v>1656.611106425695</v>
      </c>
      <c r="C28" s="86">
        <f t="shared" si="1"/>
        <v>1285.9910739041584</v>
      </c>
      <c r="D28" s="86">
        <f t="shared" si="2"/>
        <v>370.62003252153659</v>
      </c>
      <c r="E28" s="13">
        <f t="shared" si="3"/>
        <v>293570.19685985753</v>
      </c>
      <c r="F28"/>
      <c r="G28" s="158">
        <v>18</v>
      </c>
      <c r="H28" s="135">
        <v>1656.611106425695</v>
      </c>
      <c r="I28" s="86">
        <v>1285.9910739041582</v>
      </c>
      <c r="J28" s="86">
        <v>370.62003252153681</v>
      </c>
      <c r="K28" s="13">
        <v>293570.19685985753</v>
      </c>
      <c r="L28" s="145"/>
      <c r="M28" s="160">
        <v>293570.19685985753</v>
      </c>
    </row>
    <row r="29" spans="1:13" ht="14.4" x14ac:dyDescent="0.3">
      <c r="A29" s="71">
        <v>19</v>
      </c>
      <c r="B29" s="135">
        <f t="shared" si="0"/>
        <v>1656.611106425695</v>
      </c>
      <c r="C29" s="86">
        <f t="shared" si="1"/>
        <v>1284.3696112618766</v>
      </c>
      <c r="D29" s="86">
        <f t="shared" si="2"/>
        <v>372.2414951638184</v>
      </c>
      <c r="E29" s="13">
        <f t="shared" si="3"/>
        <v>293197.95536469371</v>
      </c>
      <c r="F29"/>
      <c r="G29" s="158">
        <v>19</v>
      </c>
      <c r="H29" s="135">
        <v>1656.611106425695</v>
      </c>
      <c r="I29" s="86">
        <v>1284.3696112618763</v>
      </c>
      <c r="J29" s="86">
        <v>372.24149516381863</v>
      </c>
      <c r="K29" s="13">
        <v>293197.95536469371</v>
      </c>
      <c r="L29" s="145"/>
      <c r="M29" s="160">
        <v>293197.95536469371</v>
      </c>
    </row>
    <row r="30" spans="1:13" ht="14.4" x14ac:dyDescent="0.3">
      <c r="A30" s="71">
        <v>20</v>
      </c>
      <c r="B30" s="135">
        <f t="shared" si="0"/>
        <v>1656.611106425695</v>
      </c>
      <c r="C30" s="86">
        <f t="shared" si="1"/>
        <v>1282.7410547205347</v>
      </c>
      <c r="D30" s="86">
        <f t="shared" si="2"/>
        <v>373.87005170516022</v>
      </c>
      <c r="E30" s="13">
        <f t="shared" si="3"/>
        <v>292824.08531298855</v>
      </c>
      <c r="F30"/>
      <c r="G30" s="158">
        <v>20</v>
      </c>
      <c r="H30" s="135">
        <v>1656.611106425695</v>
      </c>
      <c r="I30" s="86">
        <v>1282.7410547205345</v>
      </c>
      <c r="J30" s="86">
        <v>373.87005170516045</v>
      </c>
      <c r="K30" s="13">
        <v>292824.08531298855</v>
      </c>
      <c r="L30" s="145"/>
      <c r="M30" s="160">
        <v>292824.08531298855</v>
      </c>
    </row>
    <row r="31" spans="1:13" ht="14.4" x14ac:dyDescent="0.3">
      <c r="A31" s="71">
        <v>21</v>
      </c>
      <c r="B31" s="135">
        <f t="shared" si="0"/>
        <v>1656.611106425695</v>
      </c>
      <c r="C31" s="86">
        <f t="shared" si="1"/>
        <v>1281.1053732443247</v>
      </c>
      <c r="D31" s="86">
        <f t="shared" si="2"/>
        <v>375.50573318137026</v>
      </c>
      <c r="E31" s="13">
        <f t="shared" si="3"/>
        <v>292448.57957980718</v>
      </c>
      <c r="F31"/>
      <c r="G31" s="158">
        <v>21</v>
      </c>
      <c r="H31" s="135">
        <v>1656.611106425695</v>
      </c>
      <c r="I31" s="86">
        <v>1281.1053732443247</v>
      </c>
      <c r="J31" s="86">
        <v>375.50573318137026</v>
      </c>
      <c r="K31" s="13">
        <v>292448.57957980718</v>
      </c>
      <c r="L31" s="145"/>
      <c r="M31" s="160">
        <v>292448.57957980718</v>
      </c>
    </row>
    <row r="32" spans="1:13" ht="14.4" x14ac:dyDescent="0.3">
      <c r="A32" s="71">
        <v>22</v>
      </c>
      <c r="B32" s="135">
        <f t="shared" si="0"/>
        <v>1656.611106425695</v>
      </c>
      <c r="C32" s="86">
        <f t="shared" si="1"/>
        <v>1279.4625356616564</v>
      </c>
      <c r="D32" s="86">
        <f t="shared" si="2"/>
        <v>377.1485707640386</v>
      </c>
      <c r="E32" s="13">
        <f t="shared" si="3"/>
        <v>292071.43100904312</v>
      </c>
      <c r="F32"/>
      <c r="G32" s="158">
        <v>22</v>
      </c>
      <c r="H32" s="135">
        <v>1656.611106425695</v>
      </c>
      <c r="I32" s="86">
        <v>1279.4625356616559</v>
      </c>
      <c r="J32" s="86">
        <v>377.14857076403905</v>
      </c>
      <c r="K32" s="13">
        <v>292071.43100904312</v>
      </c>
      <c r="L32" s="145"/>
      <c r="M32" s="160">
        <v>292071.43100904312</v>
      </c>
    </row>
    <row r="33" spans="1:13" ht="14.4" x14ac:dyDescent="0.3">
      <c r="A33" s="71">
        <v>23</v>
      </c>
      <c r="B33" s="135">
        <f t="shared" si="0"/>
        <v>1656.611106425695</v>
      </c>
      <c r="C33" s="86">
        <f t="shared" si="1"/>
        <v>1277.8125106645634</v>
      </c>
      <c r="D33" s="86">
        <f t="shared" si="2"/>
        <v>378.79859576113154</v>
      </c>
      <c r="E33" s="13">
        <f t="shared" si="3"/>
        <v>291692.632413282</v>
      </c>
      <c r="F33"/>
      <c r="G33" s="158">
        <v>23</v>
      </c>
      <c r="H33" s="135">
        <v>1656.611106425695</v>
      </c>
      <c r="I33" s="86">
        <v>1277.8125106645634</v>
      </c>
      <c r="J33" s="86">
        <v>378.79859576113154</v>
      </c>
      <c r="K33" s="13">
        <v>291692.632413282</v>
      </c>
      <c r="L33" s="145"/>
      <c r="M33" s="160">
        <v>291692.632413282</v>
      </c>
    </row>
    <row r="34" spans="1:13" ht="14.4" x14ac:dyDescent="0.3">
      <c r="A34" s="71">
        <v>24</v>
      </c>
      <c r="B34" s="135">
        <f t="shared" si="0"/>
        <v>1656.611106425695</v>
      </c>
      <c r="C34" s="86">
        <f t="shared" si="1"/>
        <v>1276.1552668081085</v>
      </c>
      <c r="D34" s="86">
        <f t="shared" si="2"/>
        <v>380.45583961758643</v>
      </c>
      <c r="E34" s="13">
        <f t="shared" si="3"/>
        <v>291312.17657366442</v>
      </c>
      <c r="F34"/>
      <c r="G34" s="158">
        <v>24</v>
      </c>
      <c r="H34" s="135">
        <v>1656.611106425695</v>
      </c>
      <c r="I34" s="86">
        <v>1276.1552668081085</v>
      </c>
      <c r="J34" s="86">
        <v>380.45583961758643</v>
      </c>
      <c r="K34" s="13">
        <v>291312.17657366442</v>
      </c>
      <c r="L34" s="145"/>
      <c r="M34" s="160">
        <v>291312.17657366442</v>
      </c>
    </row>
    <row r="35" spans="1:13" ht="14.4" x14ac:dyDescent="0.3">
      <c r="A35" s="71">
        <v>25</v>
      </c>
      <c r="B35" s="135">
        <f t="shared" si="0"/>
        <v>1656.611106425695</v>
      </c>
      <c r="C35" s="86">
        <f t="shared" si="1"/>
        <v>1274.4907725097817</v>
      </c>
      <c r="D35" s="86">
        <f t="shared" si="2"/>
        <v>382.12033391591331</v>
      </c>
      <c r="E35" s="13">
        <f t="shared" si="3"/>
        <v>290930.05623974849</v>
      </c>
      <c r="F35"/>
      <c r="G35" s="158">
        <v>25</v>
      </c>
      <c r="H35" s="135">
        <v>1656.611106425695</v>
      </c>
      <c r="I35" s="86">
        <v>1274.4907725097817</v>
      </c>
      <c r="J35" s="86">
        <v>382.12033391591331</v>
      </c>
      <c r="K35" s="13">
        <v>290930.05623974849</v>
      </c>
      <c r="L35" s="145"/>
      <c r="M35" s="160">
        <v>290930.05623974849</v>
      </c>
    </row>
    <row r="36" spans="1:13" ht="14.4" x14ac:dyDescent="0.3">
      <c r="A36" s="71">
        <v>26</v>
      </c>
      <c r="B36" s="135">
        <f t="shared" si="0"/>
        <v>1656.611106425695</v>
      </c>
      <c r="C36" s="86">
        <f t="shared" si="1"/>
        <v>1272.8189960488994</v>
      </c>
      <c r="D36" s="86">
        <f t="shared" si="2"/>
        <v>383.79211037679556</v>
      </c>
      <c r="E36" s="13">
        <f t="shared" si="3"/>
        <v>290546.26412937167</v>
      </c>
      <c r="F36"/>
      <c r="G36" s="158">
        <v>26</v>
      </c>
      <c r="H36" s="135">
        <v>1656.611106425695</v>
      </c>
      <c r="I36" s="86">
        <v>1272.8189960488994</v>
      </c>
      <c r="J36" s="86">
        <v>383.79211037679556</v>
      </c>
      <c r="K36" s="13">
        <v>290546.26412937167</v>
      </c>
      <c r="L36" s="145"/>
      <c r="M36" s="160">
        <v>290546.26412937167</v>
      </c>
    </row>
    <row r="37" spans="1:13" ht="14.4" x14ac:dyDescent="0.3">
      <c r="A37" s="71">
        <v>27</v>
      </c>
      <c r="B37" s="135">
        <f t="shared" si="0"/>
        <v>1656.611106425695</v>
      </c>
      <c r="C37" s="86">
        <f t="shared" si="1"/>
        <v>1271.1399055660008</v>
      </c>
      <c r="D37" s="86">
        <f t="shared" si="2"/>
        <v>385.47120085969414</v>
      </c>
      <c r="E37" s="13">
        <f t="shared" si="3"/>
        <v>290160.79292851198</v>
      </c>
      <c r="F37"/>
      <c r="G37" s="158">
        <v>27</v>
      </c>
      <c r="H37" s="135">
        <v>1656.611106425695</v>
      </c>
      <c r="I37" s="86">
        <v>1271.1399055660008</v>
      </c>
      <c r="J37" s="86">
        <v>385.47120085969414</v>
      </c>
      <c r="K37" s="13">
        <v>290160.79292851198</v>
      </c>
      <c r="L37" s="145"/>
      <c r="M37" s="160">
        <v>290160.79292851198</v>
      </c>
    </row>
    <row r="38" spans="1:13" ht="14.4" x14ac:dyDescent="0.3">
      <c r="A38" s="71">
        <v>28</v>
      </c>
      <c r="B38" s="135">
        <f t="shared" si="0"/>
        <v>1656.611106425695</v>
      </c>
      <c r="C38" s="86">
        <f t="shared" si="1"/>
        <v>1269.4534690622397</v>
      </c>
      <c r="D38" s="86">
        <f t="shared" si="2"/>
        <v>387.15763736345525</v>
      </c>
      <c r="E38" s="13">
        <f t="shared" si="3"/>
        <v>289773.6352911485</v>
      </c>
      <c r="F38"/>
      <c r="G38" s="158">
        <v>28</v>
      </c>
      <c r="H38" s="135">
        <v>1656.611106425695</v>
      </c>
      <c r="I38" s="86">
        <v>1269.4534690622397</v>
      </c>
      <c r="J38" s="86">
        <v>387.15763736345525</v>
      </c>
      <c r="K38" s="13">
        <v>289773.6352911485</v>
      </c>
      <c r="L38" s="145"/>
      <c r="M38" s="160">
        <v>289773.6352911485</v>
      </c>
    </row>
    <row r="39" spans="1:13" ht="14.4" x14ac:dyDescent="0.3">
      <c r="A39" s="71">
        <v>29</v>
      </c>
      <c r="B39" s="135">
        <f t="shared" si="0"/>
        <v>1656.611106425695</v>
      </c>
      <c r="C39" s="86">
        <f t="shared" si="1"/>
        <v>1267.7596543987745</v>
      </c>
      <c r="D39" s="86">
        <f t="shared" si="2"/>
        <v>388.85145202692047</v>
      </c>
      <c r="E39" s="13">
        <f t="shared" si="3"/>
        <v>289384.78383912158</v>
      </c>
      <c r="F39"/>
      <c r="G39" s="158">
        <v>29</v>
      </c>
      <c r="H39" s="135">
        <v>1656.611106425695</v>
      </c>
      <c r="I39" s="86">
        <v>1267.7596543987745</v>
      </c>
      <c r="J39" s="86">
        <v>388.85145202692047</v>
      </c>
      <c r="K39" s="13">
        <v>289384.78383912158</v>
      </c>
      <c r="L39" s="145"/>
      <c r="M39" s="160">
        <v>289384.78383912158</v>
      </c>
    </row>
    <row r="40" spans="1:13" ht="14.4" x14ac:dyDescent="0.3">
      <c r="A40" s="71">
        <v>30</v>
      </c>
      <c r="B40" s="135">
        <f t="shared" si="0"/>
        <v>1656.611106425695</v>
      </c>
      <c r="C40" s="86">
        <f t="shared" si="1"/>
        <v>1266.0584292961569</v>
      </c>
      <c r="D40" s="86">
        <f t="shared" si="2"/>
        <v>390.5526771295381</v>
      </c>
      <c r="E40" s="13">
        <f t="shared" si="3"/>
        <v>288994.23116199207</v>
      </c>
      <c r="F40"/>
      <c r="G40" s="158">
        <v>30</v>
      </c>
      <c r="H40" s="135">
        <v>1656.611106425695</v>
      </c>
      <c r="I40" s="86">
        <v>1266.0584292961571</v>
      </c>
      <c r="J40" s="86">
        <v>390.55267712953787</v>
      </c>
      <c r="K40" s="13">
        <v>288994.23116199207</v>
      </c>
      <c r="L40" s="145"/>
      <c r="M40" s="160">
        <v>288994.23116199207</v>
      </c>
    </row>
    <row r="41" spans="1:13" ht="14.4" x14ac:dyDescent="0.3">
      <c r="A41" s="71">
        <v>31</v>
      </c>
      <c r="B41" s="135">
        <f t="shared" si="0"/>
        <v>1656.611106425695</v>
      </c>
      <c r="C41" s="86">
        <f t="shared" si="1"/>
        <v>1264.3497613337152</v>
      </c>
      <c r="D41" s="86">
        <f t="shared" si="2"/>
        <v>392.26134509197982</v>
      </c>
      <c r="E41" s="13">
        <f t="shared" si="3"/>
        <v>288601.96981690009</v>
      </c>
      <c r="F41"/>
      <c r="G41" s="158">
        <v>31</v>
      </c>
      <c r="H41" s="135">
        <v>1656.611106425695</v>
      </c>
      <c r="I41" s="86">
        <v>1264.3497613337152</v>
      </c>
      <c r="J41" s="86">
        <v>392.26134509197982</v>
      </c>
      <c r="K41" s="13">
        <v>288601.96981690009</v>
      </c>
      <c r="L41" s="145"/>
      <c r="M41" s="160">
        <v>288601.96981690009</v>
      </c>
    </row>
    <row r="42" spans="1:13" ht="14.4" x14ac:dyDescent="0.3">
      <c r="A42" s="71">
        <v>32</v>
      </c>
      <c r="B42" s="135">
        <f t="shared" si="0"/>
        <v>1656.611106425695</v>
      </c>
      <c r="C42" s="86">
        <f t="shared" si="1"/>
        <v>1262.6336179489379</v>
      </c>
      <c r="D42" s="86">
        <f t="shared" si="2"/>
        <v>393.97748847675712</v>
      </c>
      <c r="E42" s="13">
        <f t="shared" si="3"/>
        <v>288207.99232842331</v>
      </c>
      <c r="F42"/>
      <c r="G42" s="158">
        <v>32</v>
      </c>
      <c r="H42" s="135">
        <v>1656.611106425695</v>
      </c>
      <c r="I42" s="86">
        <v>1262.6336179489379</v>
      </c>
      <c r="J42" s="86">
        <v>393.97748847675712</v>
      </c>
      <c r="K42" s="13">
        <v>288207.99232842331</v>
      </c>
      <c r="L42" s="145"/>
      <c r="M42" s="160">
        <v>288207.99232842331</v>
      </c>
    </row>
    <row r="43" spans="1:13" ht="14.4" x14ac:dyDescent="0.3">
      <c r="A43" s="71">
        <v>33</v>
      </c>
      <c r="B43" s="135">
        <f t="shared" si="0"/>
        <v>1656.611106425695</v>
      </c>
      <c r="C43" s="86">
        <f t="shared" si="1"/>
        <v>1260.9099664368518</v>
      </c>
      <c r="D43" s="86">
        <f t="shared" si="2"/>
        <v>395.70113998884312</v>
      </c>
      <c r="E43" s="13">
        <f t="shared" si="3"/>
        <v>287812.29118843446</v>
      </c>
      <c r="F43"/>
      <c r="G43" s="158">
        <v>33</v>
      </c>
      <c r="H43" s="135">
        <v>1656.611106425695</v>
      </c>
      <c r="I43" s="86">
        <v>1260.9099664368521</v>
      </c>
      <c r="J43" s="86">
        <v>395.7011399888429</v>
      </c>
      <c r="K43" s="13">
        <v>287812.29118843446</v>
      </c>
      <c r="L43" s="145"/>
      <c r="M43" s="160">
        <v>287812.29118843446</v>
      </c>
    </row>
    <row r="44" spans="1:13" ht="14.4" x14ac:dyDescent="0.3">
      <c r="A44" s="71">
        <v>34</v>
      </c>
      <c r="B44" s="135">
        <f t="shared" si="0"/>
        <v>1656.611106425695</v>
      </c>
      <c r="C44" s="86">
        <f t="shared" si="1"/>
        <v>1259.1787739494007</v>
      </c>
      <c r="D44" s="86">
        <f t="shared" si="2"/>
        <v>397.43233247629428</v>
      </c>
      <c r="E44" s="13">
        <f t="shared" si="3"/>
        <v>287414.85885595815</v>
      </c>
      <c r="F44"/>
      <c r="G44" s="158">
        <v>34</v>
      </c>
      <c r="H44" s="135">
        <v>1656.611106425695</v>
      </c>
      <c r="I44" s="86">
        <v>1259.1787739494009</v>
      </c>
      <c r="J44" s="86">
        <v>397.43233247629405</v>
      </c>
      <c r="K44" s="13">
        <v>287414.85885595815</v>
      </c>
      <c r="L44" s="145"/>
      <c r="M44" s="160">
        <v>287414.85885595815</v>
      </c>
    </row>
    <row r="45" spans="1:13" ht="14.4" x14ac:dyDescent="0.3">
      <c r="A45" s="71">
        <v>35</v>
      </c>
      <c r="B45" s="135">
        <f t="shared" si="0"/>
        <v>1656.611106425695</v>
      </c>
      <c r="C45" s="86">
        <f t="shared" si="1"/>
        <v>1257.4400074948169</v>
      </c>
      <c r="D45" s="86">
        <f t="shared" si="2"/>
        <v>399.17109893087809</v>
      </c>
      <c r="E45" s="13">
        <f t="shared" si="3"/>
        <v>287015.68775702728</v>
      </c>
      <c r="F45"/>
      <c r="G45" s="158">
        <v>35</v>
      </c>
      <c r="H45" s="135">
        <v>1656.611106425695</v>
      </c>
      <c r="I45" s="86">
        <v>1257.4400074948171</v>
      </c>
      <c r="J45" s="86">
        <v>399.17109893087786</v>
      </c>
      <c r="K45" s="13">
        <v>287015.68775702728</v>
      </c>
      <c r="L45" s="145"/>
      <c r="M45" s="160">
        <v>287015.68775702728</v>
      </c>
    </row>
    <row r="46" spans="1:13" ht="14.4" x14ac:dyDescent="0.3">
      <c r="A46" s="71">
        <v>36</v>
      </c>
      <c r="B46" s="135">
        <f t="shared" si="0"/>
        <v>1656.611106425695</v>
      </c>
      <c r="C46" s="86">
        <f t="shared" si="1"/>
        <v>1255.6936339369943</v>
      </c>
      <c r="D46" s="86">
        <f t="shared" si="2"/>
        <v>400.9174724887007</v>
      </c>
      <c r="E46" s="13">
        <f t="shared" si="3"/>
        <v>286614.77028453856</v>
      </c>
      <c r="F46"/>
      <c r="G46" s="158">
        <v>36</v>
      </c>
      <c r="H46" s="135">
        <v>1656.611106425695</v>
      </c>
      <c r="I46" s="86">
        <v>1255.6936339369943</v>
      </c>
      <c r="J46" s="86">
        <v>400.9174724887007</v>
      </c>
      <c r="K46" s="13">
        <v>286614.77028453856</v>
      </c>
      <c r="L46" s="145"/>
      <c r="M46" s="160">
        <v>286614.77028453856</v>
      </c>
    </row>
    <row r="47" spans="1:13" ht="14.4" x14ac:dyDescent="0.3">
      <c r="A47" s="71">
        <v>37</v>
      </c>
      <c r="B47" s="135">
        <f t="shared" si="0"/>
        <v>1656.611106425695</v>
      </c>
      <c r="C47" s="86">
        <f t="shared" si="1"/>
        <v>1253.939619994856</v>
      </c>
      <c r="D47" s="86">
        <f t="shared" si="2"/>
        <v>402.67148643083897</v>
      </c>
      <c r="E47" s="13">
        <f t="shared" si="3"/>
        <v>286212.09879810771</v>
      </c>
      <c r="F47"/>
      <c r="G47" s="158">
        <v>37</v>
      </c>
      <c r="H47" s="135">
        <v>1656.611106425695</v>
      </c>
      <c r="I47" s="86">
        <v>1253.9396199948565</v>
      </c>
      <c r="J47" s="86">
        <v>402.67148643083851</v>
      </c>
      <c r="K47" s="13">
        <v>286212.09879810771</v>
      </c>
      <c r="L47" s="145"/>
      <c r="M47" s="160">
        <v>286212.09879810771</v>
      </c>
    </row>
    <row r="48" spans="1:13" ht="14.4" x14ac:dyDescent="0.3">
      <c r="A48" s="71">
        <v>38</v>
      </c>
      <c r="B48" s="135">
        <f t="shared" si="0"/>
        <v>1656.611106425695</v>
      </c>
      <c r="C48" s="86">
        <f t="shared" si="1"/>
        <v>1252.177932241721</v>
      </c>
      <c r="D48" s="86">
        <f t="shared" si="2"/>
        <v>404.43317418397396</v>
      </c>
      <c r="E48" s="13">
        <f t="shared" si="3"/>
        <v>285807.66562392371</v>
      </c>
      <c r="F48"/>
      <c r="G48" s="158">
        <v>38</v>
      </c>
      <c r="H48" s="135">
        <v>1656.611106425695</v>
      </c>
      <c r="I48" s="86">
        <v>1252.1779322417217</v>
      </c>
      <c r="J48" s="86">
        <v>404.43317418397328</v>
      </c>
      <c r="K48" s="13">
        <v>285807.66562392371</v>
      </c>
      <c r="L48" s="145"/>
      <c r="M48" s="160">
        <v>285807.66562392371</v>
      </c>
    </row>
    <row r="49" spans="1:13" ht="14.4" x14ac:dyDescent="0.3">
      <c r="A49" s="71">
        <v>39</v>
      </c>
      <c r="B49" s="135">
        <f t="shared" si="0"/>
        <v>1656.611106425695</v>
      </c>
      <c r="C49" s="86">
        <f t="shared" si="1"/>
        <v>1250.408537104666</v>
      </c>
      <c r="D49" s="86">
        <f t="shared" si="2"/>
        <v>406.20256932102893</v>
      </c>
      <c r="E49" s="13">
        <f t="shared" si="3"/>
        <v>285401.46305460267</v>
      </c>
      <c r="F49"/>
      <c r="G49" s="158">
        <v>39</v>
      </c>
      <c r="H49" s="135">
        <v>1656.611106425695</v>
      </c>
      <c r="I49" s="86">
        <v>1250.4085371046663</v>
      </c>
      <c r="J49" s="86">
        <v>406.2025693210287</v>
      </c>
      <c r="K49" s="13">
        <v>285401.46305460267</v>
      </c>
      <c r="L49" s="145"/>
      <c r="M49" s="160">
        <v>285401.46305460267</v>
      </c>
    </row>
    <row r="50" spans="1:13" ht="14.4" x14ac:dyDescent="0.3">
      <c r="A50" s="71">
        <v>40</v>
      </c>
      <c r="B50" s="135">
        <f t="shared" si="0"/>
        <v>1656.611106425695</v>
      </c>
      <c r="C50" s="86">
        <f t="shared" si="1"/>
        <v>1248.6314008638865</v>
      </c>
      <c r="D50" s="86">
        <f t="shared" si="2"/>
        <v>407.97970556180849</v>
      </c>
      <c r="E50" s="13">
        <f t="shared" si="3"/>
        <v>284993.48334904085</v>
      </c>
      <c r="G50" s="158">
        <v>40</v>
      </c>
      <c r="H50" s="135">
        <v>1656.611106425695</v>
      </c>
      <c r="I50" s="86">
        <v>1248.6314008638872</v>
      </c>
      <c r="J50" s="86">
        <v>407.9797055618078</v>
      </c>
      <c r="K50" s="13">
        <v>284993.48334904085</v>
      </c>
      <c r="L50" s="145"/>
      <c r="M50" s="160">
        <v>284993.48334904085</v>
      </c>
    </row>
    <row r="51" spans="1:13" ht="14.4" x14ac:dyDescent="0.3">
      <c r="A51" s="71">
        <v>41</v>
      </c>
      <c r="B51" s="135">
        <f t="shared" si="0"/>
        <v>1656.611106425695</v>
      </c>
      <c r="C51" s="86">
        <f t="shared" si="1"/>
        <v>1246.8464896520536</v>
      </c>
      <c r="D51" s="86">
        <f t="shared" si="2"/>
        <v>409.76461677364136</v>
      </c>
      <c r="E51" s="13">
        <f t="shared" si="3"/>
        <v>284583.71873226721</v>
      </c>
      <c r="G51" s="158">
        <v>41</v>
      </c>
      <c r="H51" s="135">
        <v>1656.611106425695</v>
      </c>
      <c r="I51" s="86">
        <v>1246.8464896520541</v>
      </c>
      <c r="J51" s="86">
        <v>409.76461677364091</v>
      </c>
      <c r="K51" s="13">
        <v>284583.71873226721</v>
      </c>
      <c r="L51" s="145"/>
      <c r="M51" s="160">
        <v>284583.71873226721</v>
      </c>
    </row>
    <row r="52" spans="1:13" ht="14.4" x14ac:dyDescent="0.3">
      <c r="A52" s="71">
        <v>42</v>
      </c>
      <c r="B52" s="135">
        <f t="shared" si="0"/>
        <v>1656.611106425695</v>
      </c>
      <c r="C52" s="86">
        <f t="shared" si="1"/>
        <v>1245.053769453669</v>
      </c>
      <c r="D52" s="86">
        <f t="shared" si="2"/>
        <v>411.55733697202595</v>
      </c>
      <c r="E52" s="13">
        <f t="shared" si="3"/>
        <v>284172.16139529517</v>
      </c>
      <c r="G52" s="158">
        <v>42</v>
      </c>
      <c r="H52" s="135">
        <v>1656.611106425695</v>
      </c>
      <c r="I52" s="86">
        <v>1245.0537694536695</v>
      </c>
      <c r="J52" s="86">
        <v>411.5573369720255</v>
      </c>
      <c r="K52" s="13">
        <v>284172.16139529517</v>
      </c>
      <c r="L52" s="145"/>
      <c r="M52" s="160">
        <v>284172.16139529517</v>
      </c>
    </row>
    <row r="53" spans="1:13" ht="14.4" x14ac:dyDescent="0.3">
      <c r="A53" s="71">
        <v>43</v>
      </c>
      <c r="B53" s="135">
        <f t="shared" si="0"/>
        <v>1656.611106425695</v>
      </c>
      <c r="C53" s="86">
        <f t="shared" si="1"/>
        <v>1243.2532061044162</v>
      </c>
      <c r="D53" s="86">
        <f t="shared" si="2"/>
        <v>413.35790032127875</v>
      </c>
      <c r="E53" s="13">
        <f t="shared" si="3"/>
        <v>283758.80349497392</v>
      </c>
      <c r="G53" s="158">
        <v>43</v>
      </c>
      <c r="H53" s="135">
        <v>1656.611106425695</v>
      </c>
      <c r="I53" s="86">
        <v>1243.2532061044167</v>
      </c>
      <c r="J53" s="86">
        <v>413.35790032127829</v>
      </c>
      <c r="K53" s="13">
        <v>283758.80349497392</v>
      </c>
      <c r="L53" s="145"/>
      <c r="M53" s="160">
        <v>283758.80349497392</v>
      </c>
    </row>
    <row r="54" spans="1:13" ht="14.4" x14ac:dyDescent="0.3">
      <c r="A54" s="71">
        <v>44</v>
      </c>
      <c r="B54" s="135">
        <f t="shared" si="0"/>
        <v>1656.611106425695</v>
      </c>
      <c r="C54" s="86">
        <f t="shared" si="1"/>
        <v>1241.4447652905108</v>
      </c>
      <c r="D54" s="86">
        <f t="shared" si="2"/>
        <v>415.16634113518421</v>
      </c>
      <c r="E54" s="13">
        <f t="shared" si="3"/>
        <v>283343.63715383876</v>
      </c>
      <c r="G54" s="158">
        <v>44</v>
      </c>
      <c r="H54" s="135">
        <v>1656.611106425695</v>
      </c>
      <c r="I54" s="86">
        <v>1241.4447652905112</v>
      </c>
      <c r="J54" s="86">
        <v>415.16634113518376</v>
      </c>
      <c r="K54" s="13">
        <v>283343.63715383876</v>
      </c>
      <c r="L54" s="145"/>
      <c r="M54" s="160">
        <v>283343.63715383876</v>
      </c>
    </row>
    <row r="55" spans="1:13" ht="14.4" x14ac:dyDescent="0.3">
      <c r="A55" s="71">
        <v>45</v>
      </c>
      <c r="B55" s="135">
        <f t="shared" si="0"/>
        <v>1656.611106425695</v>
      </c>
      <c r="C55" s="86">
        <f t="shared" si="1"/>
        <v>1239.6284125480445</v>
      </c>
      <c r="D55" s="86">
        <f t="shared" si="2"/>
        <v>416.98269387765049</v>
      </c>
      <c r="E55" s="13">
        <f t="shared" si="3"/>
        <v>282926.65445996111</v>
      </c>
      <c r="G55" s="158">
        <v>45</v>
      </c>
      <c r="H55" s="135">
        <v>1656.611106425695</v>
      </c>
      <c r="I55" s="86">
        <v>1239.6284125480447</v>
      </c>
      <c r="J55" s="86">
        <v>416.98269387765026</v>
      </c>
      <c r="K55" s="13">
        <v>282926.65445996111</v>
      </c>
      <c r="L55" s="145"/>
      <c r="M55" s="160">
        <v>282926.65445996111</v>
      </c>
    </row>
    <row r="56" spans="1:13" ht="14.4" x14ac:dyDescent="0.3">
      <c r="A56" s="71">
        <v>46</v>
      </c>
      <c r="B56" s="135">
        <f t="shared" si="0"/>
        <v>1656.611106425695</v>
      </c>
      <c r="C56" s="86">
        <f t="shared" si="1"/>
        <v>1237.8041132623298</v>
      </c>
      <c r="D56" s="86">
        <f t="shared" si="2"/>
        <v>418.80699316336518</v>
      </c>
      <c r="E56" s="13">
        <f t="shared" si="3"/>
        <v>282507.84746679774</v>
      </c>
      <c r="G56" s="158">
        <v>46</v>
      </c>
      <c r="H56" s="135">
        <v>1656.611106425695</v>
      </c>
      <c r="I56" s="86">
        <v>1237.8041132623302</v>
      </c>
      <c r="J56" s="86">
        <v>418.80699316336472</v>
      </c>
      <c r="K56" s="13">
        <v>282507.84746679774</v>
      </c>
      <c r="L56" s="145"/>
      <c r="M56" s="160">
        <v>282507.84746679774</v>
      </c>
    </row>
    <row r="57" spans="1:13" ht="14.4" x14ac:dyDescent="0.3">
      <c r="A57" s="71">
        <v>47</v>
      </c>
      <c r="B57" s="135">
        <f t="shared" si="0"/>
        <v>1656.611106425695</v>
      </c>
      <c r="C57" s="86">
        <f t="shared" si="1"/>
        <v>1235.9718326672401</v>
      </c>
      <c r="D57" s="86">
        <f t="shared" si="2"/>
        <v>420.63927375845492</v>
      </c>
      <c r="E57" s="13">
        <f t="shared" si="3"/>
        <v>282087.20819303929</v>
      </c>
      <c r="G57" s="158">
        <v>47</v>
      </c>
      <c r="H57" s="135">
        <v>1656.611106425695</v>
      </c>
      <c r="I57" s="86">
        <v>1235.9718326672403</v>
      </c>
      <c r="J57" s="86">
        <v>420.63927375845469</v>
      </c>
      <c r="K57" s="13">
        <v>282087.20819303929</v>
      </c>
      <c r="L57" s="145"/>
      <c r="M57" s="160">
        <v>282087.20819303929</v>
      </c>
    </row>
    <row r="58" spans="1:13" ht="14.4" x14ac:dyDescent="0.3">
      <c r="A58" s="71">
        <v>48</v>
      </c>
      <c r="B58" s="135">
        <f t="shared" si="0"/>
        <v>1656.611106425695</v>
      </c>
      <c r="C58" s="86">
        <f t="shared" si="1"/>
        <v>1234.1315358445468</v>
      </c>
      <c r="D58" s="86">
        <f t="shared" si="2"/>
        <v>422.47957058114821</v>
      </c>
      <c r="E58" s="13">
        <f t="shared" si="3"/>
        <v>281664.72862245812</v>
      </c>
      <c r="G58" s="158">
        <v>48</v>
      </c>
      <c r="H58" s="135">
        <v>1656.611106425695</v>
      </c>
      <c r="I58" s="86">
        <v>1234.1315358445472</v>
      </c>
      <c r="J58" s="86">
        <v>422.47957058114775</v>
      </c>
      <c r="K58" s="13">
        <v>281664.72862245812</v>
      </c>
      <c r="L58" s="145"/>
      <c r="M58" s="160">
        <v>281664.72862245812</v>
      </c>
    </row>
    <row r="59" spans="1:13" ht="14.4" x14ac:dyDescent="0.3">
      <c r="A59" s="71">
        <v>49</v>
      </c>
      <c r="B59" s="135">
        <f t="shared" si="0"/>
        <v>1656.611106425695</v>
      </c>
      <c r="C59" s="86">
        <f t="shared" si="1"/>
        <v>1232.2831877232541</v>
      </c>
      <c r="D59" s="86">
        <f t="shared" si="2"/>
        <v>424.32791870244091</v>
      </c>
      <c r="E59" s="13">
        <f t="shared" si="3"/>
        <v>281240.40070375567</v>
      </c>
      <c r="G59" s="158">
        <v>49</v>
      </c>
      <c r="H59" s="135">
        <v>1656.611106425695</v>
      </c>
      <c r="I59" s="86">
        <v>1232.2831877232547</v>
      </c>
      <c r="J59" s="86">
        <v>424.32791870244023</v>
      </c>
      <c r="K59" s="13">
        <v>281240.40070375567</v>
      </c>
      <c r="L59" s="145"/>
      <c r="M59" s="160">
        <v>281240.40070375567</v>
      </c>
    </row>
    <row r="60" spans="1:13" ht="14.4" x14ac:dyDescent="0.3">
      <c r="A60" s="71">
        <v>50</v>
      </c>
      <c r="B60" s="135">
        <f t="shared" si="0"/>
        <v>1656.611106425695</v>
      </c>
      <c r="C60" s="86">
        <f t="shared" si="1"/>
        <v>1230.4267530789309</v>
      </c>
      <c r="D60" s="86">
        <f t="shared" si="2"/>
        <v>426.18435334676406</v>
      </c>
      <c r="E60" s="13">
        <f t="shared" si="3"/>
        <v>280814.21635040891</v>
      </c>
      <c r="G60" s="158">
        <v>50</v>
      </c>
      <c r="H60" s="135">
        <v>1656.611106425695</v>
      </c>
      <c r="I60" s="86">
        <v>1230.4267530789314</v>
      </c>
      <c r="J60" s="86">
        <v>426.1843533467636</v>
      </c>
      <c r="K60" s="13">
        <v>280814.21635040891</v>
      </c>
      <c r="L60" s="145"/>
      <c r="M60" s="160">
        <v>280814.21635040891</v>
      </c>
    </row>
    <row r="61" spans="1:13" ht="14.4" x14ac:dyDescent="0.3">
      <c r="A61" s="71">
        <v>51</v>
      </c>
      <c r="B61" s="135">
        <f t="shared" si="0"/>
        <v>1656.611106425695</v>
      </c>
      <c r="C61" s="86">
        <f t="shared" si="1"/>
        <v>1228.5621965330388</v>
      </c>
      <c r="D61" s="86">
        <f t="shared" si="2"/>
        <v>428.04890989265618</v>
      </c>
      <c r="E61" s="13">
        <f t="shared" si="3"/>
        <v>280386.16744051623</v>
      </c>
      <c r="G61" s="158">
        <v>51</v>
      </c>
      <c r="H61" s="135">
        <v>1656.611106425695</v>
      </c>
      <c r="I61" s="86">
        <v>1228.5621965330395</v>
      </c>
      <c r="J61" s="86">
        <v>428.0489098926555</v>
      </c>
      <c r="K61" s="13">
        <v>280386.16744051623</v>
      </c>
      <c r="L61" s="145"/>
      <c r="M61" s="160">
        <v>280386.16744051623</v>
      </c>
    </row>
    <row r="62" spans="1:13" ht="14.4" x14ac:dyDescent="0.3">
      <c r="A62" s="71">
        <v>52</v>
      </c>
      <c r="B62" s="135">
        <f t="shared" si="0"/>
        <v>1656.611106425695</v>
      </c>
      <c r="C62" s="86">
        <f t="shared" si="1"/>
        <v>1226.6894825522584</v>
      </c>
      <c r="D62" s="86">
        <f t="shared" si="2"/>
        <v>429.9216238734366</v>
      </c>
      <c r="E62" s="13">
        <f t="shared" si="3"/>
        <v>279956.24581664283</v>
      </c>
      <c r="G62" s="158">
        <v>52</v>
      </c>
      <c r="H62" s="135">
        <v>1656.611106425695</v>
      </c>
      <c r="I62" s="86">
        <v>1226.6894825522591</v>
      </c>
      <c r="J62" s="86">
        <v>429.92162387343592</v>
      </c>
      <c r="K62" s="13">
        <v>279956.24581664283</v>
      </c>
      <c r="L62" s="145"/>
      <c r="M62" s="160">
        <v>279956.24581664283</v>
      </c>
    </row>
    <row r="63" spans="1:13" ht="14.4" x14ac:dyDescent="0.3">
      <c r="A63" s="71">
        <v>53</v>
      </c>
      <c r="B63" s="135">
        <f t="shared" si="0"/>
        <v>1656.611106425695</v>
      </c>
      <c r="C63" s="86">
        <f t="shared" si="1"/>
        <v>1224.8085754478122</v>
      </c>
      <c r="D63" s="86">
        <f t="shared" si="2"/>
        <v>431.80253097788272</v>
      </c>
      <c r="E63" s="13">
        <f t="shared" si="3"/>
        <v>279524.44328566495</v>
      </c>
      <c r="G63" s="158">
        <v>53</v>
      </c>
      <c r="H63" s="135">
        <v>1656.611106425695</v>
      </c>
      <c r="I63" s="86">
        <v>1224.8085754478127</v>
      </c>
      <c r="J63" s="86">
        <v>431.80253097788227</v>
      </c>
      <c r="K63" s="13">
        <v>279524.44328566495</v>
      </c>
      <c r="L63" s="145"/>
      <c r="M63" s="160">
        <v>279524.44328566495</v>
      </c>
    </row>
    <row r="64" spans="1:13" ht="14.4" x14ac:dyDescent="0.3">
      <c r="A64" s="71">
        <v>54</v>
      </c>
      <c r="B64" s="135">
        <f t="shared" si="0"/>
        <v>1656.611106425695</v>
      </c>
      <c r="C64" s="86">
        <f t="shared" si="1"/>
        <v>1222.9194393747841</v>
      </c>
      <c r="D64" s="86">
        <f t="shared" si="2"/>
        <v>433.69166705091084</v>
      </c>
      <c r="E64" s="13">
        <f t="shared" si="3"/>
        <v>279090.75161861401</v>
      </c>
      <c r="G64" s="158">
        <v>54</v>
      </c>
      <c r="H64" s="135">
        <v>1656.611106425695</v>
      </c>
      <c r="I64" s="86">
        <v>1222.9194393747846</v>
      </c>
      <c r="J64" s="86">
        <v>433.69166705091038</v>
      </c>
      <c r="K64" s="13">
        <v>279090.75161861401</v>
      </c>
      <c r="L64" s="145"/>
      <c r="M64" s="160">
        <v>279090.75161861401</v>
      </c>
    </row>
    <row r="65" spans="1:13" ht="14.4" x14ac:dyDescent="0.3">
      <c r="A65" s="71">
        <v>55</v>
      </c>
      <c r="B65" s="135">
        <f t="shared" si="0"/>
        <v>1656.611106425695</v>
      </c>
      <c r="C65" s="86">
        <f t="shared" si="1"/>
        <v>1221.0220383314361</v>
      </c>
      <c r="D65" s="86">
        <f t="shared" si="2"/>
        <v>435.58906809425889</v>
      </c>
      <c r="E65" s="13">
        <f t="shared" si="3"/>
        <v>278655.16255051974</v>
      </c>
      <c r="G65" s="158">
        <v>55</v>
      </c>
      <c r="H65" s="135">
        <v>1656.611106425695</v>
      </c>
      <c r="I65" s="86">
        <v>1221.0220383314368</v>
      </c>
      <c r="J65" s="86">
        <v>435.58906809425821</v>
      </c>
      <c r="K65" s="13">
        <v>278655.16255051974</v>
      </c>
      <c r="L65" s="145"/>
      <c r="M65" s="160">
        <v>278655.16255051974</v>
      </c>
    </row>
    <row r="66" spans="1:13" ht="14.4" x14ac:dyDescent="0.3">
      <c r="A66" s="71">
        <v>56</v>
      </c>
      <c r="B66" s="135">
        <f t="shared" si="0"/>
        <v>1656.611106425695</v>
      </c>
      <c r="C66" s="86">
        <f t="shared" si="1"/>
        <v>1219.1163361585238</v>
      </c>
      <c r="D66" s="86">
        <f t="shared" si="2"/>
        <v>437.49477026717113</v>
      </c>
      <c r="E66" s="13">
        <f t="shared" si="3"/>
        <v>278217.66778025258</v>
      </c>
      <c r="G66" s="158">
        <v>56</v>
      </c>
      <c r="H66" s="135">
        <v>1656.611106425695</v>
      </c>
      <c r="I66" s="86">
        <v>1219.1163361585245</v>
      </c>
      <c r="J66" s="86">
        <v>437.49477026717045</v>
      </c>
      <c r="K66" s="13">
        <v>278217.66778025258</v>
      </c>
      <c r="L66" s="145"/>
      <c r="M66" s="160">
        <v>278217.66778025258</v>
      </c>
    </row>
    <row r="67" spans="1:13" ht="14.4" x14ac:dyDescent="0.3">
      <c r="A67" s="71">
        <v>57</v>
      </c>
      <c r="B67" s="135">
        <f t="shared" si="0"/>
        <v>1656.611106425695</v>
      </c>
      <c r="C67" s="86">
        <f t="shared" si="1"/>
        <v>1217.202296538605</v>
      </c>
      <c r="D67" s="86">
        <f t="shared" si="2"/>
        <v>439.40880988709</v>
      </c>
      <c r="E67" s="13">
        <f t="shared" si="3"/>
        <v>277778.25897036551</v>
      </c>
      <c r="G67" s="158">
        <v>57</v>
      </c>
      <c r="H67" s="135">
        <v>1656.611106425695</v>
      </c>
      <c r="I67" s="86">
        <v>1217.2022965386054</v>
      </c>
      <c r="J67" s="86">
        <v>439.40880988708955</v>
      </c>
      <c r="K67" s="13">
        <v>277778.25897036551</v>
      </c>
      <c r="L67" s="145"/>
      <c r="M67" s="160">
        <v>277778.25897036551</v>
      </c>
    </row>
    <row r="68" spans="1:13" ht="14.4" x14ac:dyDescent="0.3">
      <c r="A68" s="71">
        <v>58</v>
      </c>
      <c r="B68" s="135">
        <f t="shared" si="0"/>
        <v>1656.611106425695</v>
      </c>
      <c r="C68" s="86">
        <f t="shared" si="1"/>
        <v>1215.279882995349</v>
      </c>
      <c r="D68" s="86">
        <f t="shared" si="2"/>
        <v>441.33122343034597</v>
      </c>
      <c r="E68" s="13">
        <f t="shared" si="3"/>
        <v>277336.92774693517</v>
      </c>
      <c r="G68" s="158">
        <v>58</v>
      </c>
      <c r="H68" s="135">
        <v>1656.611106425695</v>
      </c>
      <c r="I68" s="86">
        <v>1215.2798829953495</v>
      </c>
      <c r="J68" s="86">
        <v>441.33122343034552</v>
      </c>
      <c r="K68" s="13">
        <v>277336.92774693517</v>
      </c>
      <c r="L68" s="145"/>
      <c r="M68" s="160">
        <v>277336.92774693517</v>
      </c>
    </row>
    <row r="69" spans="1:13" ht="14.4" x14ac:dyDescent="0.3">
      <c r="A69" s="71">
        <v>59</v>
      </c>
      <c r="B69" s="135">
        <f t="shared" si="0"/>
        <v>1656.611106425695</v>
      </c>
      <c r="C69" s="86">
        <f t="shared" si="1"/>
        <v>1213.3490588928412</v>
      </c>
      <c r="D69" s="86">
        <f t="shared" si="2"/>
        <v>443.26204753285379</v>
      </c>
      <c r="E69" s="13">
        <f t="shared" si="3"/>
        <v>276893.66569940234</v>
      </c>
      <c r="G69" s="158">
        <v>59</v>
      </c>
      <c r="H69" s="135">
        <v>1656.611106425695</v>
      </c>
      <c r="I69" s="86">
        <v>1213.3490588928416</v>
      </c>
      <c r="J69" s="86">
        <v>443.26204753285333</v>
      </c>
      <c r="K69" s="13">
        <v>276893.66569940234</v>
      </c>
      <c r="L69" s="145"/>
      <c r="M69" s="160">
        <v>276893.66569940234</v>
      </c>
    </row>
    <row r="70" spans="1:13" ht="14.4" x14ac:dyDescent="0.3">
      <c r="A70" s="71">
        <v>60</v>
      </c>
      <c r="B70" s="135">
        <f t="shared" si="0"/>
        <v>1656.611106425695</v>
      </c>
      <c r="C70" s="86">
        <f t="shared" si="1"/>
        <v>1211.4097874348852</v>
      </c>
      <c r="D70" s="86">
        <f t="shared" si="2"/>
        <v>445.2013189908098</v>
      </c>
      <c r="E70" s="13">
        <f t="shared" si="3"/>
        <v>276448.46438041155</v>
      </c>
      <c r="G70" s="158">
        <v>60</v>
      </c>
      <c r="H70" s="135">
        <v>1656.611106425695</v>
      </c>
      <c r="I70" s="86">
        <v>1211.4097874348854</v>
      </c>
      <c r="J70" s="86">
        <v>445.20131899080957</v>
      </c>
      <c r="K70" s="13">
        <v>276448.46438041155</v>
      </c>
      <c r="L70" s="145"/>
      <c r="M70" s="160">
        <v>276448.46438041155</v>
      </c>
    </row>
    <row r="71" spans="1:13" ht="14.4" x14ac:dyDescent="0.3">
      <c r="A71" s="71">
        <v>61</v>
      </c>
      <c r="B71" s="135">
        <f t="shared" si="0"/>
        <v>1656.611106425695</v>
      </c>
      <c r="C71" s="86">
        <f t="shared" si="1"/>
        <v>1209.4620316643004</v>
      </c>
      <c r="D71" s="86">
        <f t="shared" si="2"/>
        <v>447.14907476139456</v>
      </c>
      <c r="E71" s="13">
        <f t="shared" si="3"/>
        <v>276001.31530565018</v>
      </c>
      <c r="G71" s="158">
        <v>61</v>
      </c>
      <c r="H71" s="135">
        <v>1656.611106425695</v>
      </c>
      <c r="I71" s="86">
        <v>1209.4620316643006</v>
      </c>
      <c r="J71" s="86">
        <v>447.14907476139433</v>
      </c>
      <c r="K71" s="13">
        <v>276001.31530565018</v>
      </c>
      <c r="L71" s="145"/>
      <c r="M71" s="160">
        <v>276001.31530565018</v>
      </c>
    </row>
    <row r="72" spans="1:13" ht="14.4" x14ac:dyDescent="0.3">
      <c r="A72" s="71">
        <v>62</v>
      </c>
      <c r="B72" s="135">
        <f t="shared" si="0"/>
        <v>1656.611106425695</v>
      </c>
      <c r="C72" s="86">
        <f t="shared" si="1"/>
        <v>1207.5057544622193</v>
      </c>
      <c r="D72" s="86">
        <f t="shared" si="2"/>
        <v>449.10535196347564</v>
      </c>
      <c r="E72" s="13">
        <f t="shared" si="3"/>
        <v>275552.20995368669</v>
      </c>
      <c r="G72" s="158">
        <v>62</v>
      </c>
      <c r="H72" s="135">
        <v>1656.611106425695</v>
      </c>
      <c r="I72" s="86">
        <v>1207.5057544622196</v>
      </c>
      <c r="J72" s="86">
        <v>449.10535196347541</v>
      </c>
      <c r="K72" s="13">
        <v>275552.20995368669</v>
      </c>
      <c r="L72" s="145"/>
      <c r="M72" s="160">
        <v>275552.20995368669</v>
      </c>
    </row>
    <row r="73" spans="1:13" ht="14.4" x14ac:dyDescent="0.3">
      <c r="A73" s="71">
        <v>63</v>
      </c>
      <c r="B73" s="135">
        <f t="shared" si="0"/>
        <v>1656.611106425695</v>
      </c>
      <c r="C73" s="86">
        <f t="shared" si="1"/>
        <v>1205.5409185473791</v>
      </c>
      <c r="D73" s="86">
        <f t="shared" si="2"/>
        <v>451.07018787831589</v>
      </c>
      <c r="E73" s="13">
        <f t="shared" si="3"/>
        <v>275101.13976580836</v>
      </c>
      <c r="G73" s="158">
        <v>63</v>
      </c>
      <c r="H73" s="135">
        <v>1656.611106425695</v>
      </c>
      <c r="I73" s="86">
        <v>1205.5409185473793</v>
      </c>
      <c r="J73" s="86">
        <v>451.07018787831566</v>
      </c>
      <c r="K73" s="13">
        <v>275101.13976580836</v>
      </c>
      <c r="L73" s="145"/>
      <c r="M73" s="160">
        <v>275101.13976580836</v>
      </c>
    </row>
    <row r="74" spans="1:13" ht="14.4" x14ac:dyDescent="0.3">
      <c r="A74" s="71">
        <v>64</v>
      </c>
      <c r="B74" s="135">
        <f t="shared" si="0"/>
        <v>1656.611106425695</v>
      </c>
      <c r="C74" s="86">
        <f t="shared" si="1"/>
        <v>1203.5674864754114</v>
      </c>
      <c r="D74" s="86">
        <f t="shared" si="2"/>
        <v>453.04361995028353</v>
      </c>
      <c r="E74" s="13">
        <f t="shared" si="3"/>
        <v>274648.09614585806</v>
      </c>
      <c r="G74" s="158">
        <v>64</v>
      </c>
      <c r="H74" s="135">
        <v>1656.611106425695</v>
      </c>
      <c r="I74" s="86">
        <v>1203.5674864754117</v>
      </c>
      <c r="J74" s="86">
        <v>453.0436199502833</v>
      </c>
      <c r="K74" s="13">
        <v>274648.09614585806</v>
      </c>
      <c r="L74" s="145"/>
      <c r="M74" s="160">
        <v>274648.09614585806</v>
      </c>
    </row>
    <row r="75" spans="1:13" ht="14.4" x14ac:dyDescent="0.3">
      <c r="A75" s="71">
        <v>65</v>
      </c>
      <c r="B75" s="135">
        <f t="shared" si="0"/>
        <v>1656.611106425695</v>
      </c>
      <c r="C75" s="86">
        <f t="shared" si="1"/>
        <v>1201.5854206381289</v>
      </c>
      <c r="D75" s="86">
        <f t="shared" si="2"/>
        <v>455.02568578756609</v>
      </c>
      <c r="E75" s="13">
        <f t="shared" si="3"/>
        <v>274193.07046007051</v>
      </c>
      <c r="G75" s="158">
        <v>65</v>
      </c>
      <c r="H75" s="135">
        <v>1656.611106425695</v>
      </c>
      <c r="I75" s="86">
        <v>1201.5854206381291</v>
      </c>
      <c r="J75" s="86">
        <v>455.02568578756586</v>
      </c>
      <c r="K75" s="13">
        <v>274193.07046007051</v>
      </c>
      <c r="L75" s="145"/>
      <c r="M75" s="160">
        <v>274193.07046007051</v>
      </c>
    </row>
    <row r="76" spans="1:13" ht="14.4" x14ac:dyDescent="0.3">
      <c r="A76" s="71">
        <v>66</v>
      </c>
      <c r="B76" s="135">
        <f t="shared" ref="B76:B139" si="4">-$B$7</f>
        <v>1656.611106425695</v>
      </c>
      <c r="C76" s="86">
        <f t="shared" ref="C76:C139" si="5">E75*$B$3</f>
        <v>1199.5946832628083</v>
      </c>
      <c r="D76" s="86">
        <f t="shared" ref="D76:D139" si="6">B76-C76</f>
        <v>457.01642316288667</v>
      </c>
      <c r="E76" s="13">
        <f t="shared" ref="E76:E139" si="7">E75-D76</f>
        <v>273736.05403690762</v>
      </c>
      <c r="G76" s="158">
        <v>66</v>
      </c>
      <c r="H76" s="135">
        <v>1656.611106425695</v>
      </c>
      <c r="I76" s="86">
        <v>1199.5946832628085</v>
      </c>
      <c r="J76" s="86">
        <v>457.01642316288644</v>
      </c>
      <c r="K76" s="13">
        <v>273736.05403690762</v>
      </c>
      <c r="L76" s="145"/>
      <c r="M76" s="160">
        <v>273736.05403690762</v>
      </c>
    </row>
    <row r="77" spans="1:13" ht="14.4" x14ac:dyDescent="0.3">
      <c r="A77" s="71">
        <v>67</v>
      </c>
      <c r="B77" s="135">
        <f t="shared" si="4"/>
        <v>1656.611106425695</v>
      </c>
      <c r="C77" s="86">
        <f t="shared" si="5"/>
        <v>1197.5952364114708</v>
      </c>
      <c r="D77" s="86">
        <f t="shared" si="6"/>
        <v>459.01587001422422</v>
      </c>
      <c r="E77" s="13">
        <f t="shared" si="7"/>
        <v>273277.03816689341</v>
      </c>
      <c r="G77" s="158">
        <v>67</v>
      </c>
      <c r="H77" s="135">
        <v>1656.611106425695</v>
      </c>
      <c r="I77" s="86">
        <v>1197.595236411471</v>
      </c>
      <c r="J77" s="86">
        <v>459.01587001422399</v>
      </c>
      <c r="K77" s="13">
        <v>273277.03816689341</v>
      </c>
      <c r="L77" s="145"/>
      <c r="M77" s="160">
        <v>273277.03816689341</v>
      </c>
    </row>
    <row r="78" spans="1:13" ht="14.4" x14ac:dyDescent="0.3">
      <c r="A78" s="71">
        <v>68</v>
      </c>
      <c r="B78" s="135">
        <f t="shared" si="4"/>
        <v>1656.611106425695</v>
      </c>
      <c r="C78" s="86">
        <f t="shared" si="5"/>
        <v>1195.5870419801586</v>
      </c>
      <c r="D78" s="86">
        <f t="shared" si="6"/>
        <v>461.0240644455364</v>
      </c>
      <c r="E78" s="13">
        <f t="shared" si="7"/>
        <v>272816.01410244789</v>
      </c>
      <c r="G78" s="158">
        <v>68</v>
      </c>
      <c r="H78" s="135">
        <v>1656.611106425695</v>
      </c>
      <c r="I78" s="86">
        <v>1195.5870419801588</v>
      </c>
      <c r="J78" s="86">
        <v>461.02406444553617</v>
      </c>
      <c r="K78" s="13">
        <v>272816.01410244789</v>
      </c>
      <c r="L78" s="145"/>
      <c r="M78" s="160">
        <v>272816.01410244789</v>
      </c>
    </row>
    <row r="79" spans="1:13" ht="14.4" x14ac:dyDescent="0.3">
      <c r="A79" s="71">
        <v>69</v>
      </c>
      <c r="B79" s="135">
        <f t="shared" si="4"/>
        <v>1656.611106425695</v>
      </c>
      <c r="C79" s="86">
        <f t="shared" si="5"/>
        <v>1193.5700616982094</v>
      </c>
      <c r="D79" s="86">
        <f t="shared" si="6"/>
        <v>463.04104472748554</v>
      </c>
      <c r="E79" s="13">
        <f t="shared" si="7"/>
        <v>272352.9730577204</v>
      </c>
      <c r="G79" s="158">
        <v>69</v>
      </c>
      <c r="H79" s="135">
        <v>1656.611106425695</v>
      </c>
      <c r="I79" s="86">
        <v>1193.5700616982097</v>
      </c>
      <c r="J79" s="86">
        <v>463.04104472748531</v>
      </c>
      <c r="K79" s="13">
        <v>272352.9730577204</v>
      </c>
      <c r="L79" s="145"/>
      <c r="M79" s="160">
        <v>272352.9730577204</v>
      </c>
    </row>
    <row r="80" spans="1:13" ht="14.4" x14ac:dyDescent="0.3">
      <c r="A80" s="71">
        <v>70</v>
      </c>
      <c r="B80" s="135">
        <f t="shared" si="4"/>
        <v>1656.611106425695</v>
      </c>
      <c r="C80" s="86">
        <f t="shared" si="5"/>
        <v>1191.5442571275266</v>
      </c>
      <c r="D80" s="86">
        <f t="shared" si="6"/>
        <v>465.06684929816834</v>
      </c>
      <c r="E80" s="13">
        <f t="shared" si="7"/>
        <v>271887.90620842221</v>
      </c>
      <c r="G80" s="158">
        <v>70</v>
      </c>
      <c r="H80" s="135">
        <v>1656.611106425695</v>
      </c>
      <c r="I80" s="86">
        <v>1191.5442571275266</v>
      </c>
      <c r="J80" s="86">
        <v>465.06684929816834</v>
      </c>
      <c r="K80" s="13">
        <v>271887.90620842221</v>
      </c>
      <c r="L80" s="145"/>
      <c r="M80" s="160">
        <v>271887.90620842221</v>
      </c>
    </row>
    <row r="81" spans="1:13" ht="14.4" x14ac:dyDescent="0.3">
      <c r="A81" s="71">
        <v>71</v>
      </c>
      <c r="B81" s="135">
        <f t="shared" si="4"/>
        <v>1656.611106425695</v>
      </c>
      <c r="C81" s="86">
        <f t="shared" si="5"/>
        <v>1189.509589661847</v>
      </c>
      <c r="D81" s="86">
        <f t="shared" si="6"/>
        <v>467.10151676384794</v>
      </c>
      <c r="E81" s="13">
        <f t="shared" si="7"/>
        <v>271420.80469165836</v>
      </c>
      <c r="G81" s="158">
        <v>71</v>
      </c>
      <c r="H81" s="135">
        <v>1656.611106425695</v>
      </c>
      <c r="I81" s="86">
        <v>1189.5095896618473</v>
      </c>
      <c r="J81" s="86">
        <v>467.10151676384771</v>
      </c>
      <c r="K81" s="13">
        <v>271420.80469165836</v>
      </c>
      <c r="L81" s="145"/>
      <c r="M81" s="160">
        <v>271420.80469165836</v>
      </c>
    </row>
    <row r="82" spans="1:13" ht="14.4" x14ac:dyDescent="0.3">
      <c r="A82" s="71">
        <v>72</v>
      </c>
      <c r="B82" s="135">
        <f t="shared" si="4"/>
        <v>1656.611106425695</v>
      </c>
      <c r="C82" s="86">
        <f t="shared" si="5"/>
        <v>1187.4660205260052</v>
      </c>
      <c r="D82" s="86">
        <f t="shared" si="6"/>
        <v>469.14508589968978</v>
      </c>
      <c r="E82" s="13">
        <f t="shared" si="7"/>
        <v>270951.65960575867</v>
      </c>
      <c r="G82" s="158">
        <v>72</v>
      </c>
      <c r="H82" s="135">
        <v>1656.611106425695</v>
      </c>
      <c r="I82" s="86">
        <v>1187.4660205260054</v>
      </c>
      <c r="J82" s="86">
        <v>469.14508589968955</v>
      </c>
      <c r="K82" s="13">
        <v>270951.65960575867</v>
      </c>
      <c r="L82" s="145"/>
      <c r="M82" s="160">
        <v>270951.65960575867</v>
      </c>
    </row>
    <row r="83" spans="1:13" ht="14.4" x14ac:dyDescent="0.3">
      <c r="A83" s="71">
        <v>73</v>
      </c>
      <c r="B83" s="135">
        <f t="shared" si="4"/>
        <v>1656.611106425695</v>
      </c>
      <c r="C83" s="86">
        <f t="shared" si="5"/>
        <v>1185.413510775194</v>
      </c>
      <c r="D83" s="86">
        <f t="shared" si="6"/>
        <v>471.19759565050094</v>
      </c>
      <c r="E83" s="13">
        <f t="shared" si="7"/>
        <v>270480.46201010817</v>
      </c>
      <c r="G83" s="158">
        <v>73</v>
      </c>
      <c r="H83" s="135">
        <v>1656.611106425695</v>
      </c>
      <c r="I83" s="86">
        <v>1185.4135107751943</v>
      </c>
      <c r="J83" s="86">
        <v>471.19759565050072</v>
      </c>
      <c r="K83" s="13">
        <v>270480.46201010817</v>
      </c>
      <c r="L83" s="145"/>
      <c r="M83" s="160">
        <v>270480.46201010817</v>
      </c>
    </row>
    <row r="84" spans="1:13" ht="14.4" x14ac:dyDescent="0.3">
      <c r="A84" s="71">
        <v>74</v>
      </c>
      <c r="B84" s="135">
        <f t="shared" si="4"/>
        <v>1656.611106425695</v>
      </c>
      <c r="C84" s="86">
        <f t="shared" si="5"/>
        <v>1183.3520212942231</v>
      </c>
      <c r="D84" s="86">
        <f t="shared" si="6"/>
        <v>473.25908513147192</v>
      </c>
      <c r="E84" s="13">
        <f t="shared" si="7"/>
        <v>270007.20292497671</v>
      </c>
      <c r="G84" s="158">
        <v>74</v>
      </c>
      <c r="H84" s="135">
        <v>1656.611106425695</v>
      </c>
      <c r="I84" s="86">
        <v>1183.3520212942233</v>
      </c>
      <c r="J84" s="86">
        <v>473.25908513147169</v>
      </c>
      <c r="K84" s="13">
        <v>270007.20292497671</v>
      </c>
      <c r="L84" s="145"/>
      <c r="M84" s="160">
        <v>270007.20292497671</v>
      </c>
    </row>
    <row r="85" spans="1:13" ht="14.4" x14ac:dyDescent="0.3">
      <c r="A85" s="71">
        <v>75</v>
      </c>
      <c r="B85" s="135">
        <f t="shared" si="4"/>
        <v>1656.611106425695</v>
      </c>
      <c r="C85" s="86">
        <f t="shared" si="5"/>
        <v>1181.2815127967731</v>
      </c>
      <c r="D85" s="86">
        <f t="shared" si="6"/>
        <v>475.32959362892188</v>
      </c>
      <c r="E85" s="13">
        <f t="shared" si="7"/>
        <v>269531.87333134777</v>
      </c>
      <c r="G85" s="158">
        <v>75</v>
      </c>
      <c r="H85" s="135">
        <v>1656.611106425695</v>
      </c>
      <c r="I85" s="86">
        <v>1181.2815127967733</v>
      </c>
      <c r="J85" s="86">
        <v>475.32959362892166</v>
      </c>
      <c r="K85" s="13">
        <v>269531.87333134777</v>
      </c>
      <c r="L85" s="145"/>
      <c r="M85" s="160">
        <v>269531.87333134777</v>
      </c>
    </row>
    <row r="86" spans="1:13" ht="14.4" x14ac:dyDescent="0.3">
      <c r="A86" s="71">
        <v>76</v>
      </c>
      <c r="B86" s="135">
        <f t="shared" si="4"/>
        <v>1656.611106425695</v>
      </c>
      <c r="C86" s="86">
        <f t="shared" si="5"/>
        <v>1179.2019458246464</v>
      </c>
      <c r="D86" s="86">
        <f t="shared" si="6"/>
        <v>477.4091606010486</v>
      </c>
      <c r="E86" s="13">
        <f t="shared" si="7"/>
        <v>269054.46417074674</v>
      </c>
      <c r="G86" s="158">
        <v>76</v>
      </c>
      <c r="H86" s="135">
        <v>1656.611106425695</v>
      </c>
      <c r="I86" s="86">
        <v>1179.2019458246466</v>
      </c>
      <c r="J86" s="86">
        <v>477.40916060104837</v>
      </c>
      <c r="K86" s="13">
        <v>269054.46417074674</v>
      </c>
      <c r="L86" s="145"/>
      <c r="M86" s="160">
        <v>269054.46417074674</v>
      </c>
    </row>
    <row r="87" spans="1:13" ht="14.4" x14ac:dyDescent="0.3">
      <c r="A87" s="71">
        <v>77</v>
      </c>
      <c r="B87" s="135">
        <f t="shared" si="4"/>
        <v>1656.611106425695</v>
      </c>
      <c r="C87" s="86">
        <f t="shared" si="5"/>
        <v>1177.1132807470169</v>
      </c>
      <c r="D87" s="86">
        <f t="shared" si="6"/>
        <v>479.49782567867805</v>
      </c>
      <c r="E87" s="13">
        <f t="shared" si="7"/>
        <v>268574.96634506807</v>
      </c>
      <c r="G87" s="158">
        <v>77</v>
      </c>
      <c r="H87" s="135">
        <v>1656.611106425695</v>
      </c>
      <c r="I87" s="86">
        <v>1177.1132807470171</v>
      </c>
      <c r="J87" s="86">
        <v>479.49782567867783</v>
      </c>
      <c r="K87" s="13">
        <v>268574.96634506807</v>
      </c>
      <c r="L87" s="145"/>
      <c r="M87" s="160">
        <v>268574.96634506807</v>
      </c>
    </row>
    <row r="88" spans="1:13" ht="14.4" x14ac:dyDescent="0.3">
      <c r="A88" s="71">
        <v>78</v>
      </c>
      <c r="B88" s="135">
        <f t="shared" si="4"/>
        <v>1656.611106425695</v>
      </c>
      <c r="C88" s="86">
        <f t="shared" si="5"/>
        <v>1175.0154777596726</v>
      </c>
      <c r="D88" s="86">
        <f t="shared" si="6"/>
        <v>481.59562866602232</v>
      </c>
      <c r="E88" s="13">
        <f t="shared" si="7"/>
        <v>268093.37071640202</v>
      </c>
      <c r="G88" s="158">
        <v>78</v>
      </c>
      <c r="H88" s="135">
        <v>1656.611106425695</v>
      </c>
      <c r="I88" s="86">
        <v>1175.0154777596729</v>
      </c>
      <c r="J88" s="86">
        <v>481.59562866602209</v>
      </c>
      <c r="K88" s="13">
        <v>268093.37071640207</v>
      </c>
      <c r="L88" s="145"/>
      <c r="M88" s="160">
        <v>268093.37071640207</v>
      </c>
    </row>
    <row r="89" spans="1:13" ht="14.4" x14ac:dyDescent="0.3">
      <c r="A89" s="71">
        <v>79</v>
      </c>
      <c r="B89" s="135">
        <f t="shared" si="4"/>
        <v>1656.611106425695</v>
      </c>
      <c r="C89" s="86">
        <f t="shared" si="5"/>
        <v>1172.9084968842587</v>
      </c>
      <c r="D89" s="86">
        <f t="shared" si="6"/>
        <v>483.70260954143623</v>
      </c>
      <c r="E89" s="13">
        <f t="shared" si="7"/>
        <v>267609.6681068606</v>
      </c>
      <c r="G89" s="158">
        <v>79</v>
      </c>
      <c r="H89" s="135">
        <v>1656.611106425695</v>
      </c>
      <c r="I89" s="86">
        <v>1172.908496884259</v>
      </c>
      <c r="J89" s="86">
        <v>483.702609541436</v>
      </c>
      <c r="K89" s="13">
        <v>267609.66810686066</v>
      </c>
      <c r="L89" s="145"/>
      <c r="M89" s="160">
        <v>267609.66810686066</v>
      </c>
    </row>
    <row r="90" spans="1:13" ht="14.4" x14ac:dyDescent="0.3">
      <c r="A90" s="71">
        <v>80</v>
      </c>
      <c r="B90" s="135">
        <f t="shared" si="4"/>
        <v>1656.611106425695</v>
      </c>
      <c r="C90" s="86">
        <f t="shared" si="5"/>
        <v>1170.792297967515</v>
      </c>
      <c r="D90" s="86">
        <f t="shared" si="6"/>
        <v>485.81880845818</v>
      </c>
      <c r="E90" s="13">
        <f t="shared" si="7"/>
        <v>267123.84929840243</v>
      </c>
      <c r="G90" s="158">
        <v>80</v>
      </c>
      <c r="H90" s="135">
        <v>1656.611106425695</v>
      </c>
      <c r="I90" s="86">
        <v>1170.7922979675152</v>
      </c>
      <c r="J90" s="86">
        <v>485.81880845817977</v>
      </c>
      <c r="K90" s="13">
        <v>267123.84929840249</v>
      </c>
      <c r="L90" s="145"/>
      <c r="M90" s="160">
        <v>267123.84929840249</v>
      </c>
    </row>
    <row r="91" spans="1:13" ht="14.4" x14ac:dyDescent="0.3">
      <c r="A91" s="71">
        <v>81</v>
      </c>
      <c r="B91" s="135">
        <f t="shared" si="4"/>
        <v>1656.611106425695</v>
      </c>
      <c r="C91" s="86">
        <f t="shared" si="5"/>
        <v>1168.6668406805106</v>
      </c>
      <c r="D91" s="86">
        <f t="shared" si="6"/>
        <v>487.94426574518434</v>
      </c>
      <c r="E91" s="13">
        <f t="shared" si="7"/>
        <v>266635.90503265726</v>
      </c>
      <c r="G91" s="158">
        <v>81</v>
      </c>
      <c r="H91" s="135">
        <v>1656.611106425695</v>
      </c>
      <c r="I91" s="86">
        <v>1168.6668406805109</v>
      </c>
      <c r="J91" s="86">
        <v>487.94426574518411</v>
      </c>
      <c r="K91" s="13">
        <v>266635.90503265732</v>
      </c>
      <c r="L91" s="145"/>
      <c r="M91" s="160">
        <v>266635.90503265732</v>
      </c>
    </row>
    <row r="92" spans="1:13" ht="14.4" x14ac:dyDescent="0.3">
      <c r="A92" s="71">
        <v>82</v>
      </c>
      <c r="B92" s="135">
        <f t="shared" si="4"/>
        <v>1656.611106425695</v>
      </c>
      <c r="C92" s="86">
        <f t="shared" si="5"/>
        <v>1166.5320845178753</v>
      </c>
      <c r="D92" s="86">
        <f t="shared" si="6"/>
        <v>490.07902190781965</v>
      </c>
      <c r="E92" s="13">
        <f t="shared" si="7"/>
        <v>266145.82601074944</v>
      </c>
      <c r="G92" s="158">
        <v>82</v>
      </c>
      <c r="H92" s="135">
        <v>1656.611106425695</v>
      </c>
      <c r="I92" s="86">
        <v>1166.5320845178755</v>
      </c>
      <c r="J92" s="86">
        <v>490.07902190781942</v>
      </c>
      <c r="K92" s="13">
        <v>266145.8260107495</v>
      </c>
      <c r="L92" s="145"/>
      <c r="M92" s="160">
        <v>266145.8260107495</v>
      </c>
    </row>
    <row r="93" spans="1:13" ht="14.4" x14ac:dyDescent="0.3">
      <c r="A93" s="71">
        <v>83</v>
      </c>
      <c r="B93" s="135">
        <f t="shared" si="4"/>
        <v>1656.611106425695</v>
      </c>
      <c r="C93" s="86">
        <f t="shared" si="5"/>
        <v>1164.3879887970286</v>
      </c>
      <c r="D93" s="86">
        <f t="shared" si="6"/>
        <v>492.22311762866639</v>
      </c>
      <c r="E93" s="13">
        <f t="shared" si="7"/>
        <v>265653.60289312078</v>
      </c>
      <c r="G93" s="158">
        <v>83</v>
      </c>
      <c r="H93" s="135">
        <v>1656.611106425695</v>
      </c>
      <c r="I93" s="86">
        <v>1164.387988797029</v>
      </c>
      <c r="J93" s="86">
        <v>492.22311762866593</v>
      </c>
      <c r="K93" s="13">
        <v>265653.60289312084</v>
      </c>
      <c r="L93" s="145"/>
      <c r="M93" s="160">
        <v>265653.60289312084</v>
      </c>
    </row>
    <row r="94" spans="1:13" ht="14.4" x14ac:dyDescent="0.3">
      <c r="A94" s="71">
        <v>84</v>
      </c>
      <c r="B94" s="135">
        <f t="shared" si="4"/>
        <v>1656.611106425695</v>
      </c>
      <c r="C94" s="86">
        <f t="shared" si="5"/>
        <v>1162.2345126574032</v>
      </c>
      <c r="D94" s="86">
        <f t="shared" si="6"/>
        <v>494.37659376829174</v>
      </c>
      <c r="E94" s="13">
        <f t="shared" si="7"/>
        <v>265159.22629935248</v>
      </c>
      <c r="G94" s="158">
        <v>84</v>
      </c>
      <c r="H94" s="135">
        <v>1656.611106425695</v>
      </c>
      <c r="I94" s="86">
        <v>1162.2345126574035</v>
      </c>
      <c r="J94" s="86">
        <v>494.37659376829151</v>
      </c>
      <c r="K94" s="13">
        <v>265159.22629935254</v>
      </c>
      <c r="L94" s="145"/>
      <c r="M94" s="160">
        <v>265159.22629935254</v>
      </c>
    </row>
    <row r="95" spans="1:13" ht="14.4" x14ac:dyDescent="0.3">
      <c r="A95" s="71">
        <v>85</v>
      </c>
      <c r="B95" s="135">
        <f t="shared" si="4"/>
        <v>1656.611106425695</v>
      </c>
      <c r="C95" s="86">
        <f t="shared" si="5"/>
        <v>1160.071615059667</v>
      </c>
      <c r="D95" s="86">
        <f t="shared" si="6"/>
        <v>496.53949136602796</v>
      </c>
      <c r="E95" s="13">
        <f t="shared" si="7"/>
        <v>264662.68680798647</v>
      </c>
      <c r="G95" s="158">
        <v>85</v>
      </c>
      <c r="H95" s="135">
        <v>1656.611106425695</v>
      </c>
      <c r="I95" s="86">
        <v>1160.0716150596672</v>
      </c>
      <c r="J95" s="86">
        <v>496.53949136602773</v>
      </c>
      <c r="K95" s="13">
        <v>264662.68680798652</v>
      </c>
      <c r="L95" s="145"/>
      <c r="M95" s="160">
        <v>264662.68680798652</v>
      </c>
    </row>
    <row r="96" spans="1:13" ht="14.4" x14ac:dyDescent="0.3">
      <c r="A96" s="71">
        <v>86</v>
      </c>
      <c r="B96" s="135">
        <f t="shared" si="4"/>
        <v>1656.611106425695</v>
      </c>
      <c r="C96" s="86">
        <f t="shared" si="5"/>
        <v>1157.8992547849407</v>
      </c>
      <c r="D96" s="86">
        <f t="shared" si="6"/>
        <v>498.71185164075428</v>
      </c>
      <c r="E96" s="13">
        <f t="shared" si="7"/>
        <v>264163.97495634569</v>
      </c>
      <c r="G96" s="158">
        <v>86</v>
      </c>
      <c r="H96" s="135">
        <v>1656.611106425695</v>
      </c>
      <c r="I96" s="86">
        <v>1157.8992547849407</v>
      </c>
      <c r="J96" s="86">
        <v>498.71185164075428</v>
      </c>
      <c r="K96" s="13">
        <v>264163.97495634574</v>
      </c>
      <c r="L96" s="145"/>
      <c r="M96" s="160">
        <v>264163.97495634574</v>
      </c>
    </row>
    <row r="97" spans="1:13" ht="14.4" x14ac:dyDescent="0.3">
      <c r="A97" s="71">
        <v>87</v>
      </c>
      <c r="B97" s="135">
        <f t="shared" si="4"/>
        <v>1656.611106425695</v>
      </c>
      <c r="C97" s="86">
        <f t="shared" si="5"/>
        <v>1155.7173904340123</v>
      </c>
      <c r="D97" s="86">
        <f t="shared" si="6"/>
        <v>500.89371599168271</v>
      </c>
      <c r="E97" s="13">
        <f t="shared" si="7"/>
        <v>263663.08124035399</v>
      </c>
      <c r="G97" s="158">
        <v>87</v>
      </c>
      <c r="H97" s="135">
        <v>1656.611106425695</v>
      </c>
      <c r="I97" s="86">
        <v>1155.7173904340125</v>
      </c>
      <c r="J97" s="86">
        <v>500.89371599168248</v>
      </c>
      <c r="K97" s="13">
        <v>263663.08124035405</v>
      </c>
      <c r="L97" s="145"/>
      <c r="M97" s="160">
        <v>263663.08124035405</v>
      </c>
    </row>
    <row r="98" spans="1:13" ht="14.4" x14ac:dyDescent="0.3">
      <c r="A98" s="71">
        <v>88</v>
      </c>
      <c r="B98" s="135">
        <f t="shared" si="4"/>
        <v>1656.611106425695</v>
      </c>
      <c r="C98" s="86">
        <f t="shared" si="5"/>
        <v>1153.5259804265486</v>
      </c>
      <c r="D98" s="86">
        <f t="shared" si="6"/>
        <v>503.08512599914638</v>
      </c>
      <c r="E98" s="13">
        <f t="shared" si="7"/>
        <v>263159.99611435487</v>
      </c>
      <c r="G98" s="158">
        <v>88</v>
      </c>
      <c r="H98" s="135">
        <v>1656.611106425695</v>
      </c>
      <c r="I98" s="86">
        <v>1153.5259804265488</v>
      </c>
      <c r="J98" s="86">
        <v>503.08512599914616</v>
      </c>
      <c r="K98" s="13">
        <v>263159.99611435493</v>
      </c>
      <c r="L98" s="145"/>
      <c r="M98" s="160">
        <v>263159.99611435493</v>
      </c>
    </row>
    <row r="99" spans="1:13" ht="14.4" x14ac:dyDescent="0.3">
      <c r="A99" s="71">
        <v>89</v>
      </c>
      <c r="B99" s="135">
        <f t="shared" si="4"/>
        <v>1656.611106425695</v>
      </c>
      <c r="C99" s="86">
        <f t="shared" si="5"/>
        <v>1151.3249830003024</v>
      </c>
      <c r="D99" s="86">
        <f t="shared" si="6"/>
        <v>505.28612342539259</v>
      </c>
      <c r="E99" s="13">
        <f t="shared" si="7"/>
        <v>262654.70999092946</v>
      </c>
      <c r="G99" s="158">
        <v>89</v>
      </c>
      <c r="H99" s="135">
        <v>1656.611106425695</v>
      </c>
      <c r="I99" s="86">
        <v>1151.3249830003026</v>
      </c>
      <c r="J99" s="86">
        <v>505.28612342539236</v>
      </c>
      <c r="K99" s="13">
        <v>262654.70999092952</v>
      </c>
      <c r="L99" s="145"/>
      <c r="M99" s="160">
        <v>262654.70999092952</v>
      </c>
    </row>
    <row r="100" spans="1:13" ht="14.4" x14ac:dyDescent="0.3">
      <c r="A100" s="71">
        <v>90</v>
      </c>
      <c r="B100" s="135">
        <f t="shared" si="4"/>
        <v>1656.611106425695</v>
      </c>
      <c r="C100" s="86">
        <f t="shared" si="5"/>
        <v>1149.1143562103164</v>
      </c>
      <c r="D100" s="86">
        <f t="shared" si="6"/>
        <v>507.4967502153786</v>
      </c>
      <c r="E100" s="13">
        <f t="shared" si="7"/>
        <v>262147.2132407141</v>
      </c>
      <c r="G100" s="158">
        <v>90</v>
      </c>
      <c r="H100" s="135">
        <v>1656.611106425695</v>
      </c>
      <c r="I100" s="86">
        <v>1149.1143562103166</v>
      </c>
      <c r="J100" s="86">
        <v>507.49675021537837</v>
      </c>
      <c r="K100" s="13">
        <v>262147.21324071416</v>
      </c>
      <c r="L100" s="145"/>
      <c r="M100" s="160">
        <v>262147.21324071416</v>
      </c>
    </row>
    <row r="101" spans="1:13" ht="14.4" x14ac:dyDescent="0.3">
      <c r="A101" s="71">
        <v>91</v>
      </c>
      <c r="B101" s="135">
        <f t="shared" si="4"/>
        <v>1656.611106425695</v>
      </c>
      <c r="C101" s="86">
        <f t="shared" si="5"/>
        <v>1146.8940579281241</v>
      </c>
      <c r="D101" s="86">
        <f t="shared" si="6"/>
        <v>509.71704849757089</v>
      </c>
      <c r="E101" s="13">
        <f t="shared" si="7"/>
        <v>261637.49619221652</v>
      </c>
      <c r="G101" s="158">
        <v>91</v>
      </c>
      <c r="H101" s="135">
        <v>1656.611106425695</v>
      </c>
      <c r="I101" s="86">
        <v>1146.8940579281241</v>
      </c>
      <c r="J101" s="86">
        <v>509.71704849757089</v>
      </c>
      <c r="K101" s="13">
        <v>261637.49619221658</v>
      </c>
      <c r="L101" s="145"/>
      <c r="M101" s="160">
        <v>261637.49619221658</v>
      </c>
    </row>
    <row r="102" spans="1:13" ht="14.4" x14ac:dyDescent="0.3">
      <c r="A102" s="71">
        <v>92</v>
      </c>
      <c r="B102" s="135">
        <f t="shared" si="4"/>
        <v>1656.611106425695</v>
      </c>
      <c r="C102" s="86">
        <f t="shared" si="5"/>
        <v>1144.6640458409472</v>
      </c>
      <c r="D102" s="86">
        <f t="shared" si="6"/>
        <v>511.94706058474776</v>
      </c>
      <c r="E102" s="13">
        <f t="shared" si="7"/>
        <v>261125.54913163176</v>
      </c>
      <c r="G102" s="158">
        <v>92</v>
      </c>
      <c r="H102" s="135">
        <v>1656.611106425695</v>
      </c>
      <c r="I102" s="86">
        <v>1144.6640458409477</v>
      </c>
      <c r="J102" s="86">
        <v>511.94706058474731</v>
      </c>
      <c r="K102" s="13">
        <v>261125.54913163182</v>
      </c>
      <c r="L102" s="145"/>
      <c r="M102" s="160">
        <v>261125.54913163182</v>
      </c>
    </row>
    <row r="103" spans="1:13" ht="14.4" x14ac:dyDescent="0.3">
      <c r="A103" s="71">
        <v>93</v>
      </c>
      <c r="B103" s="135">
        <f t="shared" si="4"/>
        <v>1656.611106425695</v>
      </c>
      <c r="C103" s="86">
        <f t="shared" si="5"/>
        <v>1142.4242774508889</v>
      </c>
      <c r="D103" s="86">
        <f t="shared" si="6"/>
        <v>514.18682897480608</v>
      </c>
      <c r="E103" s="13">
        <f t="shared" si="7"/>
        <v>260611.36230265695</v>
      </c>
      <c r="G103" s="158">
        <v>93</v>
      </c>
      <c r="H103" s="135">
        <v>1656.611106425695</v>
      </c>
      <c r="I103" s="86">
        <v>1142.4242774508891</v>
      </c>
      <c r="J103" s="86">
        <v>514.18682897480585</v>
      </c>
      <c r="K103" s="13">
        <v>260611.36230265701</v>
      </c>
      <c r="L103" s="145"/>
      <c r="M103" s="160">
        <v>260611.36230265701</v>
      </c>
    </row>
    <row r="104" spans="1:13" ht="14.4" x14ac:dyDescent="0.3">
      <c r="A104" s="71">
        <v>94</v>
      </c>
      <c r="B104" s="135">
        <f t="shared" si="4"/>
        <v>1656.611106425695</v>
      </c>
      <c r="C104" s="86">
        <f t="shared" si="5"/>
        <v>1140.1747100741241</v>
      </c>
      <c r="D104" s="86">
        <f t="shared" si="6"/>
        <v>516.43639635157092</v>
      </c>
      <c r="E104" s="13">
        <f t="shared" si="7"/>
        <v>260094.92590630538</v>
      </c>
      <c r="G104" s="158">
        <v>94</v>
      </c>
      <c r="H104" s="135">
        <v>1656.611106425695</v>
      </c>
      <c r="I104" s="86">
        <v>1140.1747100741243</v>
      </c>
      <c r="J104" s="86">
        <v>516.43639635157069</v>
      </c>
      <c r="K104" s="13">
        <v>260094.92590630543</v>
      </c>
      <c r="L104" s="145"/>
      <c r="M104" s="160">
        <v>260094.92590630543</v>
      </c>
    </row>
    <row r="105" spans="1:13" ht="14.4" x14ac:dyDescent="0.3">
      <c r="A105" s="71">
        <v>95</v>
      </c>
      <c r="B105" s="135">
        <f t="shared" si="4"/>
        <v>1656.611106425695</v>
      </c>
      <c r="C105" s="86">
        <f t="shared" si="5"/>
        <v>1137.9153008400858</v>
      </c>
      <c r="D105" s="86">
        <f t="shared" si="6"/>
        <v>518.69580558560915</v>
      </c>
      <c r="E105" s="13">
        <f t="shared" si="7"/>
        <v>259576.23010071975</v>
      </c>
      <c r="G105" s="158">
        <v>95</v>
      </c>
      <c r="H105" s="135">
        <v>1656.611106425695</v>
      </c>
      <c r="I105" s="86">
        <v>1137.9153008400863</v>
      </c>
      <c r="J105" s="86">
        <v>518.6958055856087</v>
      </c>
      <c r="K105" s="13">
        <v>259576.23010071981</v>
      </c>
      <c r="L105" s="145"/>
      <c r="M105" s="160">
        <v>259576.23010071981</v>
      </c>
    </row>
    <row r="106" spans="1:13" ht="14.4" x14ac:dyDescent="0.3">
      <c r="A106" s="71">
        <v>96</v>
      </c>
      <c r="B106" s="135">
        <f t="shared" si="4"/>
        <v>1656.611106425695</v>
      </c>
      <c r="C106" s="86">
        <f t="shared" si="5"/>
        <v>1135.6460066906488</v>
      </c>
      <c r="D106" s="86">
        <f t="shared" si="6"/>
        <v>520.96509973504612</v>
      </c>
      <c r="E106" s="13">
        <f t="shared" si="7"/>
        <v>259055.26500098471</v>
      </c>
      <c r="G106" s="158">
        <v>96</v>
      </c>
      <c r="H106" s="135">
        <v>1656.611106425695</v>
      </c>
      <c r="I106" s="86">
        <v>1135.6460066906493</v>
      </c>
      <c r="J106" s="86">
        <v>520.96509973504567</v>
      </c>
      <c r="K106" s="13">
        <v>259055.26500098477</v>
      </c>
      <c r="L106" s="145"/>
      <c r="M106" s="160">
        <v>259055.26500098477</v>
      </c>
    </row>
    <row r="107" spans="1:13" ht="14.4" x14ac:dyDescent="0.3">
      <c r="A107" s="71">
        <v>97</v>
      </c>
      <c r="B107" s="135">
        <f t="shared" si="4"/>
        <v>1656.611106425695</v>
      </c>
      <c r="C107" s="86">
        <f t="shared" si="5"/>
        <v>1133.366784379308</v>
      </c>
      <c r="D107" s="86">
        <f t="shared" si="6"/>
        <v>523.24432204638697</v>
      </c>
      <c r="E107" s="13">
        <f t="shared" si="7"/>
        <v>258532.02067893834</v>
      </c>
      <c r="G107" s="158">
        <v>97</v>
      </c>
      <c r="H107" s="135">
        <v>1656.611106425695</v>
      </c>
      <c r="I107" s="86">
        <v>1133.3667843793085</v>
      </c>
      <c r="J107" s="86">
        <v>523.24432204638651</v>
      </c>
      <c r="K107" s="13">
        <v>258532.0206789384</v>
      </c>
      <c r="L107" s="145"/>
      <c r="M107" s="160">
        <v>258532.0206789384</v>
      </c>
    </row>
    <row r="108" spans="1:13" ht="14.4" x14ac:dyDescent="0.3">
      <c r="A108" s="71">
        <v>98</v>
      </c>
      <c r="B108" s="135">
        <f t="shared" si="4"/>
        <v>1656.611106425695</v>
      </c>
      <c r="C108" s="86">
        <f t="shared" si="5"/>
        <v>1131.0775904703551</v>
      </c>
      <c r="D108" s="86">
        <f t="shared" si="6"/>
        <v>525.53351595533991</v>
      </c>
      <c r="E108" s="13">
        <f t="shared" si="7"/>
        <v>258006.48716298299</v>
      </c>
      <c r="G108" s="158">
        <v>98</v>
      </c>
      <c r="H108" s="135">
        <v>1656.611106425695</v>
      </c>
      <c r="I108" s="86">
        <v>1131.0775904703555</v>
      </c>
      <c r="J108" s="86">
        <v>525.53351595533945</v>
      </c>
      <c r="K108" s="13">
        <v>258006.48716298304</v>
      </c>
      <c r="L108" s="145"/>
      <c r="M108" s="160">
        <v>258006.48716298304</v>
      </c>
    </row>
    <row r="109" spans="1:13" ht="14.4" x14ac:dyDescent="0.3">
      <c r="A109" s="71">
        <v>99</v>
      </c>
      <c r="B109" s="135">
        <f t="shared" si="4"/>
        <v>1656.611106425695</v>
      </c>
      <c r="C109" s="86">
        <f t="shared" si="5"/>
        <v>1128.7783813380504</v>
      </c>
      <c r="D109" s="86">
        <f t="shared" si="6"/>
        <v>527.83272508764458</v>
      </c>
      <c r="E109" s="13">
        <f t="shared" si="7"/>
        <v>257478.65443789534</v>
      </c>
      <c r="G109" s="158">
        <v>99</v>
      </c>
      <c r="H109" s="135">
        <v>1656.611106425695</v>
      </c>
      <c r="I109" s="86">
        <v>1128.7783813380506</v>
      </c>
      <c r="J109" s="86">
        <v>527.83272508764435</v>
      </c>
      <c r="K109" s="13">
        <v>257478.6544378954</v>
      </c>
      <c r="L109" s="145"/>
      <c r="M109" s="160">
        <v>257478.6544378954</v>
      </c>
    </row>
    <row r="110" spans="1:13" ht="14.4" x14ac:dyDescent="0.3">
      <c r="A110" s="71">
        <v>100</v>
      </c>
      <c r="B110" s="135">
        <f t="shared" si="4"/>
        <v>1656.611106425695</v>
      </c>
      <c r="C110" s="86">
        <f t="shared" si="5"/>
        <v>1126.4691131657919</v>
      </c>
      <c r="D110" s="86">
        <f t="shared" si="6"/>
        <v>530.14199325990307</v>
      </c>
      <c r="E110" s="13">
        <f t="shared" si="7"/>
        <v>256948.51244463545</v>
      </c>
      <c r="G110" s="158">
        <v>100</v>
      </c>
      <c r="H110" s="135">
        <v>1656.611106425695</v>
      </c>
      <c r="I110" s="86">
        <v>1126.4691131657924</v>
      </c>
      <c r="J110" s="86">
        <v>530.14199325990262</v>
      </c>
      <c r="K110" s="13">
        <v>256948.5124446355</v>
      </c>
      <c r="L110" s="145"/>
      <c r="M110" s="160">
        <v>256948.5124446355</v>
      </c>
    </row>
    <row r="111" spans="1:13" ht="14.4" x14ac:dyDescent="0.3">
      <c r="A111" s="71">
        <v>101</v>
      </c>
      <c r="B111" s="135">
        <f t="shared" si="4"/>
        <v>1656.611106425695</v>
      </c>
      <c r="C111" s="86">
        <f t="shared" si="5"/>
        <v>1124.1497419452799</v>
      </c>
      <c r="D111" s="86">
        <f t="shared" si="6"/>
        <v>532.46136448041511</v>
      </c>
      <c r="E111" s="13">
        <f t="shared" si="7"/>
        <v>256416.05108015504</v>
      </c>
      <c r="G111" s="158">
        <v>101</v>
      </c>
      <c r="H111" s="135">
        <v>1656.611106425695</v>
      </c>
      <c r="I111" s="86">
        <v>1124.1497419452803</v>
      </c>
      <c r="J111" s="86">
        <v>532.46136448041466</v>
      </c>
      <c r="K111" s="13">
        <v>256416.0510801551</v>
      </c>
      <c r="L111" s="145"/>
      <c r="M111" s="160">
        <v>256416.0510801551</v>
      </c>
    </row>
    <row r="112" spans="1:13" ht="14.4" x14ac:dyDescent="0.3">
      <c r="A112" s="71">
        <v>102</v>
      </c>
      <c r="B112" s="135">
        <f t="shared" si="4"/>
        <v>1656.611106425695</v>
      </c>
      <c r="C112" s="86">
        <f t="shared" si="5"/>
        <v>1121.8202234756782</v>
      </c>
      <c r="D112" s="86">
        <f t="shared" si="6"/>
        <v>534.79088295001679</v>
      </c>
      <c r="E112" s="13">
        <f t="shared" si="7"/>
        <v>255881.26019720503</v>
      </c>
      <c r="G112" s="158">
        <v>102</v>
      </c>
      <c r="H112" s="135">
        <v>1656.611106425695</v>
      </c>
      <c r="I112" s="86">
        <v>1121.8202234756784</v>
      </c>
      <c r="J112" s="86">
        <v>534.79088295001657</v>
      </c>
      <c r="K112" s="13">
        <v>255881.26019720509</v>
      </c>
      <c r="L112" s="145"/>
      <c r="M112" s="160">
        <v>255881.26019720509</v>
      </c>
    </row>
    <row r="113" spans="1:13" ht="14.4" x14ac:dyDescent="0.3">
      <c r="A113" s="71">
        <v>103</v>
      </c>
      <c r="B113" s="135">
        <f t="shared" si="4"/>
        <v>1656.611106425695</v>
      </c>
      <c r="C113" s="86">
        <f t="shared" si="5"/>
        <v>1119.4805133627719</v>
      </c>
      <c r="D113" s="86">
        <f t="shared" si="6"/>
        <v>537.13059306292303</v>
      </c>
      <c r="E113" s="13">
        <f t="shared" si="7"/>
        <v>255344.1296041421</v>
      </c>
      <c r="G113" s="158">
        <v>103</v>
      </c>
      <c r="H113" s="135">
        <v>1656.611106425695</v>
      </c>
      <c r="I113" s="86">
        <v>1119.4805133627722</v>
      </c>
      <c r="J113" s="86">
        <v>537.1305930629228</v>
      </c>
      <c r="K113" s="13">
        <v>255344.12960414216</v>
      </c>
      <c r="L113" s="145"/>
      <c r="M113" s="160">
        <v>255344.12960414216</v>
      </c>
    </row>
    <row r="114" spans="1:13" ht="14.4" x14ac:dyDescent="0.3">
      <c r="A114" s="71">
        <v>104</v>
      </c>
      <c r="B114" s="135">
        <f t="shared" si="4"/>
        <v>1656.611106425695</v>
      </c>
      <c r="C114" s="86">
        <f t="shared" si="5"/>
        <v>1117.1305670181216</v>
      </c>
      <c r="D114" s="86">
        <f t="shared" si="6"/>
        <v>539.48053940757336</v>
      </c>
      <c r="E114" s="13">
        <f t="shared" si="7"/>
        <v>254804.64906473452</v>
      </c>
      <c r="G114" s="158">
        <v>104</v>
      </c>
      <c r="H114" s="135">
        <v>1656.611106425695</v>
      </c>
      <c r="I114" s="86">
        <v>1117.1305670181218</v>
      </c>
      <c r="J114" s="86">
        <v>539.48053940757313</v>
      </c>
      <c r="K114" s="13">
        <v>254804.64906473458</v>
      </c>
      <c r="L114" s="145"/>
      <c r="M114" s="160">
        <v>254804.64906473458</v>
      </c>
    </row>
    <row r="115" spans="1:13" ht="14.4" x14ac:dyDescent="0.3">
      <c r="A115" s="71">
        <v>105</v>
      </c>
      <c r="B115" s="135">
        <f t="shared" si="4"/>
        <v>1656.611106425695</v>
      </c>
      <c r="C115" s="86">
        <f t="shared" si="5"/>
        <v>1114.7703396582135</v>
      </c>
      <c r="D115" s="86">
        <f t="shared" si="6"/>
        <v>541.84076676748145</v>
      </c>
      <c r="E115" s="13">
        <f t="shared" si="7"/>
        <v>254262.80829796704</v>
      </c>
      <c r="G115" s="158">
        <v>105</v>
      </c>
      <c r="H115" s="135">
        <v>1656.611106425695</v>
      </c>
      <c r="I115" s="86">
        <v>1114.7703396582137</v>
      </c>
      <c r="J115" s="86">
        <v>541.84076676748123</v>
      </c>
      <c r="K115" s="13">
        <v>254262.8082979671</v>
      </c>
      <c r="L115" s="145"/>
      <c r="M115" s="160">
        <v>254262.8082979671</v>
      </c>
    </row>
    <row r="116" spans="1:13" ht="14.4" x14ac:dyDescent="0.3">
      <c r="A116" s="71">
        <v>106</v>
      </c>
      <c r="B116" s="135">
        <f t="shared" si="4"/>
        <v>1656.611106425695</v>
      </c>
      <c r="C116" s="86">
        <f t="shared" si="5"/>
        <v>1112.3997863036057</v>
      </c>
      <c r="D116" s="86">
        <f t="shared" si="6"/>
        <v>544.21132012208932</v>
      </c>
      <c r="E116" s="13">
        <f t="shared" si="7"/>
        <v>253718.59697784495</v>
      </c>
      <c r="G116" s="158">
        <v>106</v>
      </c>
      <c r="H116" s="135">
        <v>1656.611106425695</v>
      </c>
      <c r="I116" s="86">
        <v>1112.3997863036061</v>
      </c>
      <c r="J116" s="86">
        <v>544.21132012208886</v>
      </c>
      <c r="K116" s="13">
        <v>253718.59697784501</v>
      </c>
      <c r="L116" s="145"/>
      <c r="M116" s="160">
        <v>253718.59697784501</v>
      </c>
    </row>
    <row r="117" spans="1:13" ht="14.4" x14ac:dyDescent="0.3">
      <c r="A117" s="71">
        <v>107</v>
      </c>
      <c r="B117" s="135">
        <f t="shared" si="4"/>
        <v>1656.611106425695</v>
      </c>
      <c r="C117" s="86">
        <f t="shared" si="5"/>
        <v>1110.0188617780716</v>
      </c>
      <c r="D117" s="86">
        <f t="shared" si="6"/>
        <v>546.59224464762337</v>
      </c>
      <c r="E117" s="13">
        <f t="shared" si="7"/>
        <v>253172.00473319733</v>
      </c>
      <c r="G117" s="158">
        <v>107</v>
      </c>
      <c r="H117" s="135">
        <v>1656.611106425695</v>
      </c>
      <c r="I117" s="86">
        <v>1110.0188617780718</v>
      </c>
      <c r="J117" s="86">
        <v>546.59224464762315</v>
      </c>
      <c r="K117" s="13">
        <v>253172.00473319739</v>
      </c>
      <c r="L117" s="145"/>
      <c r="M117" s="160">
        <v>253172.00473319739</v>
      </c>
    </row>
    <row r="118" spans="1:13" ht="14.4" x14ac:dyDescent="0.3">
      <c r="A118" s="71">
        <v>108</v>
      </c>
      <c r="B118" s="135">
        <f t="shared" si="4"/>
        <v>1656.611106425695</v>
      </c>
      <c r="C118" s="86">
        <f t="shared" si="5"/>
        <v>1107.6275207077383</v>
      </c>
      <c r="D118" s="86">
        <f t="shared" si="6"/>
        <v>548.98358571795666</v>
      </c>
      <c r="E118" s="13">
        <f t="shared" si="7"/>
        <v>252623.02114747939</v>
      </c>
      <c r="G118" s="158">
        <v>108</v>
      </c>
      <c r="H118" s="135">
        <v>1656.611106425695</v>
      </c>
      <c r="I118" s="86">
        <v>1107.6275207077385</v>
      </c>
      <c r="J118" s="86">
        <v>548.98358571795643</v>
      </c>
      <c r="K118" s="13">
        <v>252623.02114747945</v>
      </c>
      <c r="L118" s="145"/>
      <c r="M118" s="160">
        <v>252623.02114747945</v>
      </c>
    </row>
    <row r="119" spans="1:13" ht="14.4" x14ac:dyDescent="0.3">
      <c r="A119" s="71">
        <v>109</v>
      </c>
      <c r="B119" s="135">
        <f t="shared" si="4"/>
        <v>1656.611106425695</v>
      </c>
      <c r="C119" s="86">
        <f t="shared" si="5"/>
        <v>1105.2257175202221</v>
      </c>
      <c r="D119" s="86">
        <f t="shared" si="6"/>
        <v>551.38538890547284</v>
      </c>
      <c r="E119" s="13">
        <f t="shared" si="7"/>
        <v>252071.63575857392</v>
      </c>
      <c r="G119" s="158">
        <v>109</v>
      </c>
      <c r="H119" s="135">
        <v>1656.611106425695</v>
      </c>
      <c r="I119" s="86">
        <v>1105.2257175202224</v>
      </c>
      <c r="J119" s="86">
        <v>551.38538890547261</v>
      </c>
      <c r="K119" s="13">
        <v>252071.63575857398</v>
      </c>
      <c r="L119" s="145"/>
      <c r="M119" s="160">
        <v>252071.63575857398</v>
      </c>
    </row>
    <row r="120" spans="1:13" ht="14.4" x14ac:dyDescent="0.3">
      <c r="A120" s="71">
        <v>110</v>
      </c>
      <c r="B120" s="135">
        <f t="shared" si="4"/>
        <v>1656.611106425695</v>
      </c>
      <c r="C120" s="86">
        <f t="shared" si="5"/>
        <v>1102.8134064437609</v>
      </c>
      <c r="D120" s="86">
        <f t="shared" si="6"/>
        <v>553.7976999819341</v>
      </c>
      <c r="E120" s="13">
        <f t="shared" si="7"/>
        <v>251517.83805859199</v>
      </c>
      <c r="G120" s="158">
        <v>110</v>
      </c>
      <c r="H120" s="135">
        <v>1656.611106425695</v>
      </c>
      <c r="I120" s="86">
        <v>1102.8134064437611</v>
      </c>
      <c r="J120" s="86">
        <v>553.79769998193387</v>
      </c>
      <c r="K120" s="13">
        <v>251517.83805859205</v>
      </c>
      <c r="L120" s="145"/>
      <c r="M120" s="160">
        <v>251517.83805859205</v>
      </c>
    </row>
    <row r="121" spans="1:13" ht="14.4" x14ac:dyDescent="0.3">
      <c r="A121" s="71">
        <v>111</v>
      </c>
      <c r="B121" s="135">
        <f t="shared" si="4"/>
        <v>1656.611106425695</v>
      </c>
      <c r="C121" s="86">
        <f t="shared" si="5"/>
        <v>1100.3905415063398</v>
      </c>
      <c r="D121" s="86">
        <f t="shared" si="6"/>
        <v>556.22056491935518</v>
      </c>
      <c r="E121" s="13">
        <f t="shared" si="7"/>
        <v>250961.61749367265</v>
      </c>
      <c r="G121" s="158">
        <v>111</v>
      </c>
      <c r="H121" s="135">
        <v>1656.611106425695</v>
      </c>
      <c r="I121" s="86">
        <v>1100.39054150634</v>
      </c>
      <c r="J121" s="86">
        <v>556.22056491935496</v>
      </c>
      <c r="K121" s="13">
        <v>250961.6174936727</v>
      </c>
      <c r="L121" s="145"/>
      <c r="M121" s="160">
        <v>250961.6174936727</v>
      </c>
    </row>
    <row r="122" spans="1:13" ht="14.4" x14ac:dyDescent="0.3">
      <c r="A122" s="71">
        <v>112</v>
      </c>
      <c r="B122" s="135">
        <f t="shared" si="4"/>
        <v>1656.611106425695</v>
      </c>
      <c r="C122" s="86">
        <f t="shared" si="5"/>
        <v>1097.9570765348178</v>
      </c>
      <c r="D122" s="86">
        <f t="shared" si="6"/>
        <v>558.65402989087715</v>
      </c>
      <c r="E122" s="13">
        <f t="shared" si="7"/>
        <v>250402.96346378178</v>
      </c>
      <c r="G122" s="158">
        <v>112</v>
      </c>
      <c r="H122" s="135">
        <v>1656.611106425695</v>
      </c>
      <c r="I122" s="86">
        <v>1097.957076534818</v>
      </c>
      <c r="J122" s="86">
        <v>558.65402989087693</v>
      </c>
      <c r="K122" s="13">
        <v>250402.96346378184</v>
      </c>
      <c r="L122" s="145"/>
      <c r="M122" s="160">
        <v>250402.96346378184</v>
      </c>
    </row>
    <row r="123" spans="1:13" ht="14.4" x14ac:dyDescent="0.3">
      <c r="A123" s="71">
        <v>113</v>
      </c>
      <c r="B123" s="135">
        <f t="shared" si="4"/>
        <v>1656.611106425695</v>
      </c>
      <c r="C123" s="86">
        <f t="shared" si="5"/>
        <v>1095.5129651540451</v>
      </c>
      <c r="D123" s="86">
        <f t="shared" si="6"/>
        <v>561.09814127164987</v>
      </c>
      <c r="E123" s="13">
        <f t="shared" si="7"/>
        <v>249841.86532251013</v>
      </c>
      <c r="G123" s="158">
        <v>113</v>
      </c>
      <c r="H123" s="135">
        <v>1656.611106425695</v>
      </c>
      <c r="I123" s="86">
        <v>1095.5129651540453</v>
      </c>
      <c r="J123" s="86">
        <v>561.09814127164964</v>
      </c>
      <c r="K123" s="13">
        <v>249841.86532251019</v>
      </c>
      <c r="L123" s="145"/>
      <c r="M123" s="160">
        <v>249841.86532251019</v>
      </c>
    </row>
    <row r="124" spans="1:13" ht="14.4" x14ac:dyDescent="0.3">
      <c r="A124" s="71">
        <v>114</v>
      </c>
      <c r="B124" s="135">
        <f t="shared" si="4"/>
        <v>1656.611106425695</v>
      </c>
      <c r="C124" s="86">
        <f t="shared" si="5"/>
        <v>1093.0581607859817</v>
      </c>
      <c r="D124" s="86">
        <f t="shared" si="6"/>
        <v>563.55294563971324</v>
      </c>
      <c r="E124" s="13">
        <f t="shared" si="7"/>
        <v>249278.31237687042</v>
      </c>
      <c r="G124" s="158">
        <v>114</v>
      </c>
      <c r="H124" s="135">
        <v>1656.611106425695</v>
      </c>
      <c r="I124" s="86">
        <v>1093.058160785982</v>
      </c>
      <c r="J124" s="86">
        <v>563.55294563971302</v>
      </c>
      <c r="K124" s="13">
        <v>249278.31237687048</v>
      </c>
      <c r="L124" s="145"/>
      <c r="M124" s="160">
        <v>249278.31237687048</v>
      </c>
    </row>
    <row r="125" spans="1:13" ht="14.4" x14ac:dyDescent="0.3">
      <c r="A125" s="71">
        <v>115</v>
      </c>
      <c r="B125" s="135">
        <f t="shared" si="4"/>
        <v>1656.611106425695</v>
      </c>
      <c r="C125" s="86">
        <f t="shared" si="5"/>
        <v>1090.592616648808</v>
      </c>
      <c r="D125" s="86">
        <f t="shared" si="6"/>
        <v>566.01848977688701</v>
      </c>
      <c r="E125" s="13">
        <f t="shared" si="7"/>
        <v>248712.29388709355</v>
      </c>
      <c r="G125" s="158">
        <v>115</v>
      </c>
      <c r="H125" s="135">
        <v>1656.611106425695</v>
      </c>
      <c r="I125" s="86">
        <v>1090.592616648808</v>
      </c>
      <c r="J125" s="86">
        <v>566.01848977688701</v>
      </c>
      <c r="K125" s="13">
        <v>248712.29388709361</v>
      </c>
      <c r="L125" s="145"/>
      <c r="M125" s="160">
        <v>248712.29388709361</v>
      </c>
    </row>
    <row r="126" spans="1:13" ht="14.4" x14ac:dyDescent="0.3">
      <c r="A126" s="71">
        <v>116</v>
      </c>
      <c r="B126" s="135">
        <f t="shared" si="4"/>
        <v>1656.611106425695</v>
      </c>
      <c r="C126" s="86">
        <f t="shared" si="5"/>
        <v>1088.1162857560341</v>
      </c>
      <c r="D126" s="86">
        <f t="shared" si="6"/>
        <v>568.49482066966084</v>
      </c>
      <c r="E126" s="13">
        <f t="shared" si="7"/>
        <v>248143.79906642388</v>
      </c>
      <c r="G126" s="158">
        <v>116</v>
      </c>
      <c r="H126" s="135">
        <v>1656.611106425695</v>
      </c>
      <c r="I126" s="86">
        <v>1088.1162857560344</v>
      </c>
      <c r="J126" s="86">
        <v>568.49482066966061</v>
      </c>
      <c r="K126" s="13">
        <v>248143.79906642393</v>
      </c>
      <c r="L126" s="145"/>
      <c r="M126" s="160">
        <v>248143.79906642393</v>
      </c>
    </row>
    <row r="127" spans="1:13" ht="14.4" x14ac:dyDescent="0.3">
      <c r="A127" s="71">
        <v>117</v>
      </c>
      <c r="B127" s="135">
        <f t="shared" si="4"/>
        <v>1656.611106425695</v>
      </c>
      <c r="C127" s="86">
        <f t="shared" si="5"/>
        <v>1085.6291209156043</v>
      </c>
      <c r="D127" s="86">
        <f t="shared" si="6"/>
        <v>570.98198551009068</v>
      </c>
      <c r="E127" s="13">
        <f t="shared" si="7"/>
        <v>247572.81708091378</v>
      </c>
      <c r="G127" s="158">
        <v>117</v>
      </c>
      <c r="H127" s="135">
        <v>1656.611106425695</v>
      </c>
      <c r="I127" s="86">
        <v>1085.6291209156043</v>
      </c>
      <c r="J127" s="86">
        <v>570.98198551009068</v>
      </c>
      <c r="K127" s="13">
        <v>247572.81708091384</v>
      </c>
      <c r="L127" s="145"/>
      <c r="M127" s="160">
        <v>247572.81708091384</v>
      </c>
    </row>
    <row r="128" spans="1:13" ht="14.4" x14ac:dyDescent="0.3">
      <c r="A128" s="71">
        <v>118</v>
      </c>
      <c r="B128" s="135">
        <f t="shared" si="4"/>
        <v>1656.611106425695</v>
      </c>
      <c r="C128" s="86">
        <f t="shared" si="5"/>
        <v>1083.1310747289976</v>
      </c>
      <c r="D128" s="86">
        <f t="shared" si="6"/>
        <v>573.48003169669732</v>
      </c>
      <c r="E128" s="13">
        <f t="shared" si="7"/>
        <v>246999.33704921708</v>
      </c>
      <c r="G128" s="158">
        <v>118</v>
      </c>
      <c r="H128" s="135">
        <v>1656.611106425695</v>
      </c>
      <c r="I128" s="86">
        <v>1083.1310747289976</v>
      </c>
      <c r="J128" s="86">
        <v>573.48003169669732</v>
      </c>
      <c r="K128" s="13">
        <v>246999.33704921714</v>
      </c>
      <c r="L128" s="145"/>
      <c r="M128" s="160">
        <v>246999.33704921714</v>
      </c>
    </row>
    <row r="129" spans="1:13" ht="14.4" x14ac:dyDescent="0.3">
      <c r="A129" s="71">
        <v>119</v>
      </c>
      <c r="B129" s="135">
        <f t="shared" si="4"/>
        <v>1656.611106425695</v>
      </c>
      <c r="C129" s="86">
        <f t="shared" si="5"/>
        <v>1080.6220995903245</v>
      </c>
      <c r="D129" s="86">
        <f t="shared" si="6"/>
        <v>575.98900683537045</v>
      </c>
      <c r="E129" s="13">
        <f t="shared" si="7"/>
        <v>246423.34804238172</v>
      </c>
      <c r="G129" s="158">
        <v>119</v>
      </c>
      <c r="H129" s="135">
        <v>1656.611106425695</v>
      </c>
      <c r="I129" s="86">
        <v>1080.6220995903248</v>
      </c>
      <c r="J129" s="86">
        <v>575.98900683537022</v>
      </c>
      <c r="K129" s="13">
        <v>246423.34804238178</v>
      </c>
      <c r="L129" s="145"/>
      <c r="M129" s="160">
        <v>246423.34804238178</v>
      </c>
    </row>
    <row r="130" spans="1:13" ht="14.4" x14ac:dyDescent="0.3">
      <c r="A130" s="71">
        <v>120</v>
      </c>
      <c r="B130" s="135">
        <f t="shared" si="4"/>
        <v>1656.611106425695</v>
      </c>
      <c r="C130" s="86">
        <f t="shared" si="5"/>
        <v>1078.1021476854198</v>
      </c>
      <c r="D130" s="86">
        <f t="shared" si="6"/>
        <v>578.50895874027515</v>
      </c>
      <c r="E130" s="13">
        <f t="shared" si="7"/>
        <v>245844.83908364145</v>
      </c>
      <c r="G130" s="158">
        <v>120</v>
      </c>
      <c r="H130" s="135">
        <v>1656.611106425695</v>
      </c>
      <c r="I130" s="86">
        <v>1078.1021476854201</v>
      </c>
      <c r="J130" s="86">
        <v>578.50895874027492</v>
      </c>
      <c r="K130" s="13">
        <v>245844.83908364151</v>
      </c>
      <c r="L130" s="145"/>
      <c r="M130" s="160">
        <v>245844.83908364151</v>
      </c>
    </row>
    <row r="131" spans="1:13" ht="14.4" x14ac:dyDescent="0.3">
      <c r="A131" s="71">
        <v>121</v>
      </c>
      <c r="B131" s="135">
        <f t="shared" si="4"/>
        <v>1656.611106425695</v>
      </c>
      <c r="C131" s="86">
        <f t="shared" si="5"/>
        <v>1075.5711709909313</v>
      </c>
      <c r="D131" s="86">
        <f t="shared" si="6"/>
        <v>581.03993543476372</v>
      </c>
      <c r="E131" s="13">
        <f t="shared" si="7"/>
        <v>245263.79914820669</v>
      </c>
      <c r="G131" s="158">
        <v>121</v>
      </c>
      <c r="H131" s="135">
        <v>1656.611106425695</v>
      </c>
      <c r="I131" s="86">
        <v>1075.571170990931</v>
      </c>
      <c r="J131" s="86">
        <v>581.03993543476395</v>
      </c>
      <c r="K131" s="13">
        <v>245263.79914820674</v>
      </c>
      <c r="L131" s="145"/>
      <c r="M131" s="160">
        <v>245263.79914820674</v>
      </c>
    </row>
    <row r="132" spans="1:13" ht="14.4" x14ac:dyDescent="0.3">
      <c r="A132" s="71">
        <v>122</v>
      </c>
      <c r="B132" s="135">
        <f t="shared" si="4"/>
        <v>1656.611106425695</v>
      </c>
      <c r="C132" s="86">
        <f t="shared" si="5"/>
        <v>1073.0291212734041</v>
      </c>
      <c r="D132" s="86">
        <f t="shared" si="6"/>
        <v>583.58198515229083</v>
      </c>
      <c r="E132" s="13">
        <f t="shared" si="7"/>
        <v>244680.21716305439</v>
      </c>
      <c r="G132" s="158">
        <v>122</v>
      </c>
      <c r="H132" s="135">
        <v>1656.611106425695</v>
      </c>
      <c r="I132" s="86">
        <v>1073.0291212734041</v>
      </c>
      <c r="J132" s="86">
        <v>583.58198515229083</v>
      </c>
      <c r="K132" s="13">
        <v>244680.21716305445</v>
      </c>
      <c r="L132" s="145"/>
      <c r="M132" s="160">
        <v>244680.21716305445</v>
      </c>
    </row>
    <row r="133" spans="1:13" ht="14.4" x14ac:dyDescent="0.3">
      <c r="A133" s="71">
        <v>123</v>
      </c>
      <c r="B133" s="135">
        <f t="shared" si="4"/>
        <v>1656.611106425695</v>
      </c>
      <c r="C133" s="86">
        <f t="shared" si="5"/>
        <v>1070.4759500883629</v>
      </c>
      <c r="D133" s="86">
        <f t="shared" si="6"/>
        <v>586.13515633733209</v>
      </c>
      <c r="E133" s="13">
        <f t="shared" si="7"/>
        <v>244094.08200671704</v>
      </c>
      <c r="G133" s="158">
        <v>123</v>
      </c>
      <c r="H133" s="135">
        <v>1656.611106425695</v>
      </c>
      <c r="I133" s="86">
        <v>1070.4759500883629</v>
      </c>
      <c r="J133" s="86">
        <v>586.13515633733209</v>
      </c>
      <c r="K133" s="13">
        <v>244094.0820067171</v>
      </c>
      <c r="L133" s="145"/>
      <c r="M133" s="160">
        <v>244094.0820067171</v>
      </c>
    </row>
    <row r="134" spans="1:13" ht="14.4" x14ac:dyDescent="0.3">
      <c r="A134" s="71">
        <v>124</v>
      </c>
      <c r="B134" s="135">
        <f t="shared" si="4"/>
        <v>1656.611106425695</v>
      </c>
      <c r="C134" s="86">
        <f t="shared" si="5"/>
        <v>1067.9116087793871</v>
      </c>
      <c r="D134" s="86">
        <f t="shared" si="6"/>
        <v>588.69949764630792</v>
      </c>
      <c r="E134" s="13">
        <f t="shared" si="7"/>
        <v>243505.38250907074</v>
      </c>
      <c r="G134" s="158">
        <v>124</v>
      </c>
      <c r="H134" s="135">
        <v>1656.611106425695</v>
      </c>
      <c r="I134" s="86">
        <v>1067.9116087793871</v>
      </c>
      <c r="J134" s="86">
        <v>588.69949764630792</v>
      </c>
      <c r="K134" s="13">
        <v>243505.3825090708</v>
      </c>
      <c r="L134" s="145"/>
      <c r="M134" s="160">
        <v>243505.3825090708</v>
      </c>
    </row>
    <row r="135" spans="1:13" ht="14.4" x14ac:dyDescent="0.3">
      <c r="A135" s="71">
        <v>125</v>
      </c>
      <c r="B135" s="135">
        <f t="shared" si="4"/>
        <v>1656.611106425695</v>
      </c>
      <c r="C135" s="86">
        <f t="shared" si="5"/>
        <v>1065.3360484771845</v>
      </c>
      <c r="D135" s="86">
        <f t="shared" si="6"/>
        <v>591.27505794851049</v>
      </c>
      <c r="E135" s="13">
        <f t="shared" si="7"/>
        <v>242914.10745112223</v>
      </c>
      <c r="G135" s="158">
        <v>125</v>
      </c>
      <c r="H135" s="135">
        <v>1656.611106425695</v>
      </c>
      <c r="I135" s="86">
        <v>1065.3360484771845</v>
      </c>
      <c r="J135" s="86">
        <v>591.27505794851049</v>
      </c>
      <c r="K135" s="13">
        <v>242914.10745112228</v>
      </c>
      <c r="L135" s="145"/>
      <c r="M135" s="160">
        <v>242914.10745112228</v>
      </c>
    </row>
    <row r="136" spans="1:13" ht="14.4" x14ac:dyDescent="0.3">
      <c r="A136" s="71">
        <v>126</v>
      </c>
      <c r="B136" s="135">
        <f t="shared" si="4"/>
        <v>1656.611106425695</v>
      </c>
      <c r="C136" s="86">
        <f t="shared" si="5"/>
        <v>1062.7492200986596</v>
      </c>
      <c r="D136" s="86">
        <f t="shared" si="6"/>
        <v>593.86188632703534</v>
      </c>
      <c r="E136" s="13">
        <f t="shared" si="7"/>
        <v>242320.24556479519</v>
      </c>
      <c r="G136" s="158">
        <v>126</v>
      </c>
      <c r="H136" s="135">
        <v>1656.611106425695</v>
      </c>
      <c r="I136" s="86">
        <v>1062.7492200986599</v>
      </c>
      <c r="J136" s="86">
        <v>593.86188632703511</v>
      </c>
      <c r="K136" s="13">
        <v>242320.24556479524</v>
      </c>
      <c r="L136" s="145"/>
      <c r="M136" s="160">
        <v>242320.24556479524</v>
      </c>
    </row>
    <row r="137" spans="1:13" ht="14.4" x14ac:dyDescent="0.3">
      <c r="A137" s="71">
        <v>127</v>
      </c>
      <c r="B137" s="135">
        <f t="shared" si="4"/>
        <v>1656.611106425695</v>
      </c>
      <c r="C137" s="86">
        <f t="shared" si="5"/>
        <v>1060.1510743459789</v>
      </c>
      <c r="D137" s="86">
        <f t="shared" si="6"/>
        <v>596.46003207971603</v>
      </c>
      <c r="E137" s="13">
        <f t="shared" si="7"/>
        <v>241723.78553271547</v>
      </c>
      <c r="G137" s="158">
        <v>127</v>
      </c>
      <c r="H137" s="135">
        <v>1656.611106425695</v>
      </c>
      <c r="I137" s="86">
        <v>1060.1510743459789</v>
      </c>
      <c r="J137" s="86">
        <v>596.46003207971603</v>
      </c>
      <c r="K137" s="13">
        <v>241723.78553271553</v>
      </c>
      <c r="L137" s="145"/>
      <c r="M137" s="160">
        <v>241723.78553271553</v>
      </c>
    </row>
    <row r="138" spans="1:13" ht="14.4" x14ac:dyDescent="0.3">
      <c r="A138" s="71">
        <v>128</v>
      </c>
      <c r="B138" s="135">
        <f t="shared" si="4"/>
        <v>1656.611106425695</v>
      </c>
      <c r="C138" s="86">
        <f t="shared" si="5"/>
        <v>1057.5415617056301</v>
      </c>
      <c r="D138" s="86">
        <f t="shared" si="6"/>
        <v>599.06954472006487</v>
      </c>
      <c r="E138" s="13">
        <f t="shared" si="7"/>
        <v>241124.71598799541</v>
      </c>
      <c r="G138" s="158">
        <v>128</v>
      </c>
      <c r="H138" s="135">
        <v>1656.611106425695</v>
      </c>
      <c r="I138" s="86">
        <v>1057.5415617056301</v>
      </c>
      <c r="J138" s="86">
        <v>599.06954472006487</v>
      </c>
      <c r="K138" s="13">
        <v>241124.71598799547</v>
      </c>
      <c r="L138" s="145"/>
      <c r="M138" s="160">
        <v>241124.71598799547</v>
      </c>
    </row>
    <row r="139" spans="1:13" ht="14.4" x14ac:dyDescent="0.3">
      <c r="A139" s="71">
        <v>129</v>
      </c>
      <c r="B139" s="135">
        <f t="shared" si="4"/>
        <v>1656.611106425695</v>
      </c>
      <c r="C139" s="86">
        <f t="shared" si="5"/>
        <v>1054.9206324474799</v>
      </c>
      <c r="D139" s="86">
        <f t="shared" si="6"/>
        <v>601.6904739782151</v>
      </c>
      <c r="E139" s="13">
        <f t="shared" si="7"/>
        <v>240523.02551401721</v>
      </c>
      <c r="G139" s="158">
        <v>129</v>
      </c>
      <c r="H139" s="135">
        <v>1656.611106425695</v>
      </c>
      <c r="I139" s="86">
        <v>1054.9206324474799</v>
      </c>
      <c r="J139" s="86">
        <v>601.6904739782151</v>
      </c>
      <c r="K139" s="13">
        <v>240523.02551401727</v>
      </c>
      <c r="L139" s="145"/>
      <c r="M139" s="160">
        <v>240523.02551401727</v>
      </c>
    </row>
    <row r="140" spans="1:13" ht="14.4" x14ac:dyDescent="0.3">
      <c r="A140" s="71">
        <v>130</v>
      </c>
      <c r="B140" s="135">
        <f t="shared" ref="B140:B203" si="8">-$B$7</f>
        <v>1656.611106425695</v>
      </c>
      <c r="C140" s="86">
        <f t="shared" ref="C140:C203" si="9">E139*$B$3</f>
        <v>1052.2882366238252</v>
      </c>
      <c r="D140" s="86">
        <f t="shared" ref="D140:D203" si="10">B140-C140</f>
        <v>604.32286980186973</v>
      </c>
      <c r="E140" s="13">
        <f t="shared" ref="E140:E203" si="11">E139-D140</f>
        <v>239918.70264421534</v>
      </c>
      <c r="G140" s="158">
        <v>130</v>
      </c>
      <c r="H140" s="135">
        <v>1656.611106425695</v>
      </c>
      <c r="I140" s="86">
        <v>1052.2882366238252</v>
      </c>
      <c r="J140" s="86">
        <v>604.32286980186973</v>
      </c>
      <c r="K140" s="13">
        <v>239918.7026442154</v>
      </c>
      <c r="L140" s="145"/>
      <c r="M140" s="160">
        <v>239918.7026442154</v>
      </c>
    </row>
    <row r="141" spans="1:13" ht="14.4" x14ac:dyDescent="0.3">
      <c r="A141" s="71">
        <v>131</v>
      </c>
      <c r="B141" s="135">
        <f t="shared" si="8"/>
        <v>1656.611106425695</v>
      </c>
      <c r="C141" s="86">
        <f t="shared" si="9"/>
        <v>1049.6443240684421</v>
      </c>
      <c r="D141" s="86">
        <f t="shared" si="10"/>
        <v>606.9667823572529</v>
      </c>
      <c r="E141" s="13">
        <f t="shared" si="11"/>
        <v>239311.73586185809</v>
      </c>
      <c r="G141" s="158">
        <v>131</v>
      </c>
      <c r="H141" s="135">
        <v>1656.611106425695</v>
      </c>
      <c r="I141" s="86">
        <v>1049.6443240684421</v>
      </c>
      <c r="J141" s="86">
        <v>606.9667823572529</v>
      </c>
      <c r="K141" s="13">
        <v>239311.73586185815</v>
      </c>
      <c r="L141" s="145"/>
      <c r="M141" s="160">
        <v>239311.73586185815</v>
      </c>
    </row>
    <row r="142" spans="1:13" ht="14.4" x14ac:dyDescent="0.3">
      <c r="A142" s="71">
        <v>132</v>
      </c>
      <c r="B142" s="135">
        <f t="shared" si="8"/>
        <v>1656.611106425695</v>
      </c>
      <c r="C142" s="86">
        <f t="shared" si="9"/>
        <v>1046.988844395629</v>
      </c>
      <c r="D142" s="86">
        <f t="shared" si="10"/>
        <v>609.62226203006594</v>
      </c>
      <c r="E142" s="13">
        <f t="shared" si="11"/>
        <v>238702.11359982804</v>
      </c>
      <c r="G142" s="158">
        <v>132</v>
      </c>
      <c r="H142" s="135">
        <v>1656.611106425695</v>
      </c>
      <c r="I142" s="86">
        <v>1046.988844395629</v>
      </c>
      <c r="J142" s="86">
        <v>609.62226203006594</v>
      </c>
      <c r="K142" s="13">
        <v>238702.1135998281</v>
      </c>
      <c r="L142" s="145"/>
      <c r="M142" s="160">
        <v>238702.1135998281</v>
      </c>
    </row>
    <row r="143" spans="1:13" ht="14.4" x14ac:dyDescent="0.3">
      <c r="A143" s="71">
        <v>133</v>
      </c>
      <c r="B143" s="135">
        <f t="shared" si="8"/>
        <v>1656.611106425695</v>
      </c>
      <c r="C143" s="86">
        <f t="shared" si="9"/>
        <v>1044.3217469992476</v>
      </c>
      <c r="D143" s="86">
        <f t="shared" si="10"/>
        <v>612.28935942644739</v>
      </c>
      <c r="E143" s="13">
        <f t="shared" si="11"/>
        <v>238089.82424040159</v>
      </c>
      <c r="G143" s="158">
        <v>133</v>
      </c>
      <c r="H143" s="135">
        <v>1656.611106425695</v>
      </c>
      <c r="I143" s="86">
        <v>1044.3217469992476</v>
      </c>
      <c r="J143" s="86">
        <v>612.28935942644739</v>
      </c>
      <c r="K143" s="13">
        <v>238089.82424040165</v>
      </c>
      <c r="L143" s="145"/>
      <c r="M143" s="160">
        <v>238089.82424040165</v>
      </c>
    </row>
    <row r="144" spans="1:13" ht="14.4" x14ac:dyDescent="0.3">
      <c r="A144" s="71">
        <v>134</v>
      </c>
      <c r="B144" s="135">
        <f t="shared" si="8"/>
        <v>1656.611106425695</v>
      </c>
      <c r="C144" s="86">
        <f t="shared" si="9"/>
        <v>1041.6429810517568</v>
      </c>
      <c r="D144" s="86">
        <f t="shared" si="10"/>
        <v>614.96812537393816</v>
      </c>
      <c r="E144" s="13">
        <f t="shared" si="11"/>
        <v>237474.85611502765</v>
      </c>
      <c r="G144" s="158">
        <v>134</v>
      </c>
      <c r="H144" s="135">
        <v>1656.611106425695</v>
      </c>
      <c r="I144" s="86">
        <v>1041.6429810517568</v>
      </c>
      <c r="J144" s="86">
        <v>614.96812537393816</v>
      </c>
      <c r="K144" s="13">
        <v>237474.85611502771</v>
      </c>
      <c r="L144" s="145"/>
      <c r="M144" s="160">
        <v>237474.85611502771</v>
      </c>
    </row>
    <row r="145" spans="1:13" ht="14.4" x14ac:dyDescent="0.3">
      <c r="A145" s="71">
        <v>135</v>
      </c>
      <c r="B145" s="135">
        <f t="shared" si="8"/>
        <v>1656.611106425695</v>
      </c>
      <c r="C145" s="86">
        <f t="shared" si="9"/>
        <v>1038.9524955032459</v>
      </c>
      <c r="D145" s="86">
        <f t="shared" si="10"/>
        <v>617.65861092244904</v>
      </c>
      <c r="E145" s="13">
        <f t="shared" si="11"/>
        <v>236857.19750410519</v>
      </c>
      <c r="G145" s="158">
        <v>135</v>
      </c>
      <c r="H145" s="135">
        <v>1656.611106425695</v>
      </c>
      <c r="I145" s="86">
        <v>1038.9524955032457</v>
      </c>
      <c r="J145" s="86">
        <v>617.65861092244927</v>
      </c>
      <c r="K145" s="13">
        <v>236857.19750410525</v>
      </c>
      <c r="L145" s="145"/>
      <c r="M145" s="160">
        <v>236857.19750410525</v>
      </c>
    </row>
    <row r="146" spans="1:13" ht="14.4" x14ac:dyDescent="0.3">
      <c r="A146" s="71">
        <v>136</v>
      </c>
      <c r="B146" s="135">
        <f t="shared" si="8"/>
        <v>1656.611106425695</v>
      </c>
      <c r="C146" s="86">
        <f t="shared" si="9"/>
        <v>1036.25023908046</v>
      </c>
      <c r="D146" s="86">
        <f t="shared" si="10"/>
        <v>620.36086734523496</v>
      </c>
      <c r="E146" s="13">
        <f t="shared" si="11"/>
        <v>236236.83663675995</v>
      </c>
      <c r="G146" s="158">
        <v>136</v>
      </c>
      <c r="H146" s="135">
        <v>1656.611106425695</v>
      </c>
      <c r="I146" s="86">
        <v>1036.25023908046</v>
      </c>
      <c r="J146" s="86">
        <v>620.36086734523496</v>
      </c>
      <c r="K146" s="13">
        <v>236236.83663676001</v>
      </c>
      <c r="L146" s="145"/>
      <c r="M146" s="160">
        <v>236236.83663676001</v>
      </c>
    </row>
    <row r="147" spans="1:13" ht="14.4" x14ac:dyDescent="0.3">
      <c r="A147" s="71">
        <v>137</v>
      </c>
      <c r="B147" s="135">
        <f t="shared" si="8"/>
        <v>1656.611106425695</v>
      </c>
      <c r="C147" s="86">
        <f t="shared" si="9"/>
        <v>1033.5361602858247</v>
      </c>
      <c r="D147" s="86">
        <f t="shared" si="10"/>
        <v>623.07494613987024</v>
      </c>
      <c r="E147" s="13">
        <f t="shared" si="11"/>
        <v>235613.76169062007</v>
      </c>
      <c r="G147" s="158">
        <v>137</v>
      </c>
      <c r="H147" s="135">
        <v>1656.611106425695</v>
      </c>
      <c r="I147" s="86">
        <v>1033.536160285825</v>
      </c>
      <c r="J147" s="86">
        <v>623.07494613987001</v>
      </c>
      <c r="K147" s="13">
        <v>235613.76169062013</v>
      </c>
      <c r="L147" s="145"/>
      <c r="M147" s="160">
        <v>235613.76169062013</v>
      </c>
    </row>
    <row r="148" spans="1:13" ht="14.4" x14ac:dyDescent="0.3">
      <c r="A148" s="71">
        <v>138</v>
      </c>
      <c r="B148" s="135">
        <f t="shared" si="8"/>
        <v>1656.611106425695</v>
      </c>
      <c r="C148" s="86">
        <f t="shared" si="9"/>
        <v>1030.8102073964626</v>
      </c>
      <c r="D148" s="86">
        <f t="shared" si="10"/>
        <v>625.80089902923237</v>
      </c>
      <c r="E148" s="13">
        <f t="shared" si="11"/>
        <v>234987.96079159083</v>
      </c>
      <c r="G148" s="158">
        <v>138</v>
      </c>
      <c r="H148" s="135">
        <v>1656.611106425695</v>
      </c>
      <c r="I148" s="86">
        <v>1030.8102073964628</v>
      </c>
      <c r="J148" s="86">
        <v>625.80089902923214</v>
      </c>
      <c r="K148" s="13">
        <v>234987.96079159089</v>
      </c>
      <c r="L148" s="145"/>
      <c r="M148" s="160">
        <v>234987.96079159089</v>
      </c>
    </row>
    <row r="149" spans="1:13" ht="14.4" x14ac:dyDescent="0.3">
      <c r="A149" s="71">
        <v>139</v>
      </c>
      <c r="B149" s="135">
        <f t="shared" si="8"/>
        <v>1656.611106425695</v>
      </c>
      <c r="C149" s="86">
        <f t="shared" si="9"/>
        <v>1028.0723284632097</v>
      </c>
      <c r="D149" s="86">
        <f t="shared" si="10"/>
        <v>628.53877796248526</v>
      </c>
      <c r="E149" s="13">
        <f t="shared" si="11"/>
        <v>234359.42201362835</v>
      </c>
      <c r="G149" s="158">
        <v>139</v>
      </c>
      <c r="H149" s="135">
        <v>1656.611106425695</v>
      </c>
      <c r="I149" s="86">
        <v>1028.0723284632099</v>
      </c>
      <c r="J149" s="86">
        <v>628.53877796248503</v>
      </c>
      <c r="K149" s="13">
        <v>234359.42201362841</v>
      </c>
      <c r="L149" s="145"/>
      <c r="M149" s="160">
        <v>234359.42201362841</v>
      </c>
    </row>
    <row r="150" spans="1:13" ht="14.4" x14ac:dyDescent="0.3">
      <c r="A150" s="71">
        <v>140</v>
      </c>
      <c r="B150" s="135">
        <f t="shared" si="8"/>
        <v>1656.611106425695</v>
      </c>
      <c r="C150" s="86">
        <f t="shared" si="9"/>
        <v>1025.322471309624</v>
      </c>
      <c r="D150" s="86">
        <f t="shared" si="10"/>
        <v>631.28863511607096</v>
      </c>
      <c r="E150" s="13">
        <f t="shared" si="11"/>
        <v>233728.13337851228</v>
      </c>
      <c r="G150" s="158">
        <v>140</v>
      </c>
      <c r="H150" s="135">
        <v>1656.611106425695</v>
      </c>
      <c r="I150" s="86">
        <v>1025.322471309624</v>
      </c>
      <c r="J150" s="86">
        <v>631.28863511607096</v>
      </c>
      <c r="K150" s="13">
        <v>233728.13337851234</v>
      </c>
      <c r="L150" s="145"/>
      <c r="M150" s="160">
        <v>233728.13337851234</v>
      </c>
    </row>
    <row r="151" spans="1:13" ht="14.4" x14ac:dyDescent="0.3">
      <c r="A151" s="71">
        <v>141</v>
      </c>
      <c r="B151" s="135">
        <f t="shared" si="8"/>
        <v>1656.611106425695</v>
      </c>
      <c r="C151" s="86">
        <f t="shared" si="9"/>
        <v>1022.5605835309912</v>
      </c>
      <c r="D151" s="86">
        <f t="shared" si="10"/>
        <v>634.05052289470382</v>
      </c>
      <c r="E151" s="13">
        <f t="shared" si="11"/>
        <v>233094.08285561757</v>
      </c>
      <c r="G151" s="158">
        <v>141</v>
      </c>
      <c r="H151" s="135">
        <v>1656.611106425695</v>
      </c>
      <c r="I151" s="86">
        <v>1022.5605835309913</v>
      </c>
      <c r="J151" s="86">
        <v>634.0505228947037</v>
      </c>
      <c r="K151" s="13">
        <v>233094.08285561763</v>
      </c>
      <c r="L151" s="145"/>
      <c r="M151" s="160">
        <v>233094.08285561763</v>
      </c>
    </row>
    <row r="152" spans="1:13" ht="14.4" x14ac:dyDescent="0.3">
      <c r="A152" s="71">
        <v>142</v>
      </c>
      <c r="B152" s="135">
        <f t="shared" si="8"/>
        <v>1656.611106425695</v>
      </c>
      <c r="C152" s="86">
        <f t="shared" si="9"/>
        <v>1019.7866124933267</v>
      </c>
      <c r="D152" s="86">
        <f t="shared" si="10"/>
        <v>636.82449393236823</v>
      </c>
      <c r="E152" s="13">
        <f t="shared" si="11"/>
        <v>232457.25836168521</v>
      </c>
      <c r="G152" s="158">
        <v>142</v>
      </c>
      <c r="H152" s="135">
        <v>1656.611106425695</v>
      </c>
      <c r="I152" s="86">
        <v>1019.7866124933267</v>
      </c>
      <c r="J152" s="86">
        <v>636.82449393236823</v>
      </c>
      <c r="K152" s="13">
        <v>232457.25836168526</v>
      </c>
      <c r="L152" s="145"/>
      <c r="M152" s="160">
        <v>232457.25836168526</v>
      </c>
    </row>
    <row r="153" spans="1:13" ht="14.4" x14ac:dyDescent="0.3">
      <c r="A153" s="71">
        <v>143</v>
      </c>
      <c r="B153" s="135">
        <f t="shared" si="8"/>
        <v>1656.611106425695</v>
      </c>
      <c r="C153" s="86">
        <f t="shared" si="9"/>
        <v>1017.0005053323727</v>
      </c>
      <c r="D153" s="86">
        <f t="shared" si="10"/>
        <v>639.61060109332232</v>
      </c>
      <c r="E153" s="13">
        <f t="shared" si="11"/>
        <v>231817.64776059188</v>
      </c>
      <c r="G153" s="158">
        <v>143</v>
      </c>
      <c r="H153" s="135">
        <v>1656.611106425695</v>
      </c>
      <c r="I153" s="86">
        <v>1017.0005053323727</v>
      </c>
      <c r="J153" s="86">
        <v>639.61060109332232</v>
      </c>
      <c r="K153" s="13">
        <v>231817.64776059194</v>
      </c>
      <c r="L153" s="145"/>
      <c r="M153" s="160">
        <v>231817.64776059194</v>
      </c>
    </row>
    <row r="154" spans="1:13" ht="14.4" x14ac:dyDescent="0.3">
      <c r="A154" s="71">
        <v>144</v>
      </c>
      <c r="B154" s="135">
        <f t="shared" si="8"/>
        <v>1656.611106425695</v>
      </c>
      <c r="C154" s="86">
        <f t="shared" si="9"/>
        <v>1014.2022089525893</v>
      </c>
      <c r="D154" s="86">
        <f t="shared" si="10"/>
        <v>642.40889747310564</v>
      </c>
      <c r="E154" s="13">
        <f t="shared" si="11"/>
        <v>231175.23886311878</v>
      </c>
      <c r="G154" s="158">
        <v>144</v>
      </c>
      <c r="H154" s="135">
        <v>1656.611106425695</v>
      </c>
      <c r="I154" s="86">
        <v>1014.2022089525896</v>
      </c>
      <c r="J154" s="86">
        <v>642.40889747310541</v>
      </c>
      <c r="K154" s="13">
        <v>231175.23886311884</v>
      </c>
      <c r="L154" s="145"/>
      <c r="M154" s="160">
        <v>231175.23886311884</v>
      </c>
    </row>
    <row r="155" spans="1:13" ht="14.4" x14ac:dyDescent="0.3">
      <c r="A155" s="71">
        <v>145</v>
      </c>
      <c r="B155" s="135">
        <f t="shared" si="8"/>
        <v>1656.611106425695</v>
      </c>
      <c r="C155" s="86">
        <f t="shared" si="9"/>
        <v>1011.3916700261445</v>
      </c>
      <c r="D155" s="86">
        <f t="shared" si="10"/>
        <v>645.21943639955043</v>
      </c>
      <c r="E155" s="13">
        <f t="shared" si="11"/>
        <v>230530.01942671923</v>
      </c>
      <c r="G155" s="158">
        <v>145</v>
      </c>
      <c r="H155" s="135">
        <v>1656.611106425695</v>
      </c>
      <c r="I155" s="86">
        <v>1011.3916700261445</v>
      </c>
      <c r="J155" s="86">
        <v>645.21943639955043</v>
      </c>
      <c r="K155" s="13">
        <v>230530.01942671929</v>
      </c>
      <c r="L155" s="145"/>
      <c r="M155" s="160">
        <v>230530.01942671929</v>
      </c>
    </row>
    <row r="156" spans="1:13" ht="14.4" x14ac:dyDescent="0.3">
      <c r="A156" s="71">
        <v>146</v>
      </c>
      <c r="B156" s="135">
        <f t="shared" si="8"/>
        <v>1656.611106425695</v>
      </c>
      <c r="C156" s="86">
        <f t="shared" si="9"/>
        <v>1008.5688349918966</v>
      </c>
      <c r="D156" s="86">
        <f t="shared" si="10"/>
        <v>648.04227143379842</v>
      </c>
      <c r="E156" s="13">
        <f t="shared" si="11"/>
        <v>229881.97715528542</v>
      </c>
      <c r="G156" s="158">
        <v>146</v>
      </c>
      <c r="H156" s="135">
        <v>1656.611106425695</v>
      </c>
      <c r="I156" s="86">
        <v>1008.5688349918968</v>
      </c>
      <c r="J156" s="86">
        <v>648.04227143379819</v>
      </c>
      <c r="K156" s="13">
        <v>229881.97715528548</v>
      </c>
      <c r="L156" s="145"/>
      <c r="M156" s="160">
        <v>229881.97715528548</v>
      </c>
    </row>
    <row r="157" spans="1:13" ht="14.4" x14ac:dyDescent="0.3">
      <c r="A157" s="71">
        <v>147</v>
      </c>
      <c r="B157" s="135">
        <f t="shared" si="8"/>
        <v>1656.611106425695</v>
      </c>
      <c r="C157" s="86">
        <f t="shared" si="9"/>
        <v>1005.7336500543736</v>
      </c>
      <c r="D157" s="86">
        <f t="shared" si="10"/>
        <v>650.87745637132139</v>
      </c>
      <c r="E157" s="13">
        <f t="shared" si="11"/>
        <v>229231.0996989141</v>
      </c>
      <c r="G157" s="158">
        <v>147</v>
      </c>
      <c r="H157" s="135">
        <v>1656.611106425695</v>
      </c>
      <c r="I157" s="86">
        <v>1005.7336500543737</v>
      </c>
      <c r="J157" s="86">
        <v>650.87745637132127</v>
      </c>
      <c r="K157" s="13">
        <v>229231.09969891416</v>
      </c>
      <c r="L157" s="145"/>
      <c r="M157" s="160">
        <v>229231.09969891416</v>
      </c>
    </row>
    <row r="158" spans="1:13" ht="14.4" x14ac:dyDescent="0.3">
      <c r="A158" s="71">
        <v>148</v>
      </c>
      <c r="B158" s="135">
        <f t="shared" si="8"/>
        <v>1656.611106425695</v>
      </c>
      <c r="C158" s="86">
        <f t="shared" si="9"/>
        <v>1002.8860611827491</v>
      </c>
      <c r="D158" s="86">
        <f t="shared" si="10"/>
        <v>653.72504524294584</v>
      </c>
      <c r="E158" s="13">
        <f t="shared" si="11"/>
        <v>228577.37465367114</v>
      </c>
      <c r="G158" s="158">
        <v>148</v>
      </c>
      <c r="H158" s="135">
        <v>1656.611106425695</v>
      </c>
      <c r="I158" s="86">
        <v>1002.8860611827491</v>
      </c>
      <c r="J158" s="86">
        <v>653.72504524294584</v>
      </c>
      <c r="K158" s="13">
        <v>228577.3746536712</v>
      </c>
      <c r="L158" s="145"/>
      <c r="M158" s="160">
        <v>228577.3746536712</v>
      </c>
    </row>
    <row r="159" spans="1:13" ht="14.4" x14ac:dyDescent="0.3">
      <c r="A159" s="71">
        <v>149</v>
      </c>
      <c r="B159" s="135">
        <f t="shared" si="8"/>
        <v>1656.611106425695</v>
      </c>
      <c r="C159" s="86">
        <f t="shared" si="9"/>
        <v>1000.0260141098112</v>
      </c>
      <c r="D159" s="86">
        <f t="shared" si="10"/>
        <v>656.5850923158838</v>
      </c>
      <c r="E159" s="13">
        <f t="shared" si="11"/>
        <v>227920.78956135525</v>
      </c>
      <c r="G159" s="158">
        <v>149</v>
      </c>
      <c r="H159" s="135">
        <v>1656.611106425695</v>
      </c>
      <c r="I159" s="86">
        <v>1000.0260141098114</v>
      </c>
      <c r="J159" s="86">
        <v>656.58509231588357</v>
      </c>
      <c r="K159" s="13">
        <v>227920.78956135531</v>
      </c>
      <c r="L159" s="145"/>
      <c r="M159" s="160">
        <v>227920.78956135531</v>
      </c>
    </row>
    <row r="160" spans="1:13" ht="14.4" x14ac:dyDescent="0.3">
      <c r="A160" s="71">
        <v>150</v>
      </c>
      <c r="B160" s="135">
        <f t="shared" si="8"/>
        <v>1656.611106425695</v>
      </c>
      <c r="C160" s="86">
        <f t="shared" si="9"/>
        <v>997.15345433092909</v>
      </c>
      <c r="D160" s="86">
        <f t="shared" si="10"/>
        <v>659.45765209476588</v>
      </c>
      <c r="E160" s="13">
        <f t="shared" si="11"/>
        <v>227261.33190926048</v>
      </c>
      <c r="G160" s="158">
        <v>150</v>
      </c>
      <c r="H160" s="135">
        <v>1656.611106425695</v>
      </c>
      <c r="I160" s="86">
        <v>997.15345433092943</v>
      </c>
      <c r="J160" s="86">
        <v>659.45765209476554</v>
      </c>
      <c r="K160" s="13">
        <v>227261.33190926054</v>
      </c>
      <c r="L160" s="145"/>
      <c r="M160" s="160">
        <v>227261.33190926054</v>
      </c>
    </row>
    <row r="161" spans="1:13" ht="14.4" x14ac:dyDescent="0.3">
      <c r="A161" s="71">
        <v>151</v>
      </c>
      <c r="B161" s="135">
        <f t="shared" si="8"/>
        <v>1656.611106425695</v>
      </c>
      <c r="C161" s="86">
        <f t="shared" si="9"/>
        <v>994.26832710301449</v>
      </c>
      <c r="D161" s="86">
        <f t="shared" si="10"/>
        <v>662.34277932268049</v>
      </c>
      <c r="E161" s="13">
        <f t="shared" si="11"/>
        <v>226598.98912993781</v>
      </c>
      <c r="G161" s="158">
        <v>151</v>
      </c>
      <c r="H161" s="135">
        <v>1656.611106425695</v>
      </c>
      <c r="I161" s="86">
        <v>994.2683271030146</v>
      </c>
      <c r="J161" s="86">
        <v>662.34277932268037</v>
      </c>
      <c r="K161" s="13">
        <v>226598.98912993787</v>
      </c>
      <c r="L161" s="145"/>
      <c r="M161" s="160">
        <v>226598.98912993787</v>
      </c>
    </row>
    <row r="162" spans="1:13" ht="14.4" x14ac:dyDescent="0.3">
      <c r="A162" s="71">
        <v>152</v>
      </c>
      <c r="B162" s="135">
        <f t="shared" si="8"/>
        <v>1656.611106425695</v>
      </c>
      <c r="C162" s="86">
        <f t="shared" si="9"/>
        <v>991.37057744347783</v>
      </c>
      <c r="D162" s="86">
        <f t="shared" si="10"/>
        <v>665.24052898221714</v>
      </c>
      <c r="E162" s="13">
        <f t="shared" si="11"/>
        <v>225933.74860095559</v>
      </c>
      <c r="G162" s="158">
        <v>152</v>
      </c>
      <c r="H162" s="135">
        <v>1656.611106425695</v>
      </c>
      <c r="I162" s="86">
        <v>991.37057744347806</v>
      </c>
      <c r="J162" s="86">
        <v>665.24052898221692</v>
      </c>
      <c r="K162" s="13">
        <v>225933.74860095565</v>
      </c>
      <c r="L162" s="145"/>
      <c r="M162" s="160">
        <v>225933.74860095565</v>
      </c>
    </row>
    <row r="163" spans="1:13" ht="14.4" x14ac:dyDescent="0.3">
      <c r="A163" s="71">
        <v>153</v>
      </c>
      <c r="B163" s="135">
        <f t="shared" si="8"/>
        <v>1656.611106425695</v>
      </c>
      <c r="C163" s="86">
        <f t="shared" si="9"/>
        <v>988.46015012918065</v>
      </c>
      <c r="D163" s="86">
        <f t="shared" si="10"/>
        <v>668.15095629651432</v>
      </c>
      <c r="E163" s="13">
        <f t="shared" si="11"/>
        <v>225265.59764465908</v>
      </c>
      <c r="G163" s="158">
        <v>153</v>
      </c>
      <c r="H163" s="135">
        <v>1656.611106425695</v>
      </c>
      <c r="I163" s="86">
        <v>988.46015012918076</v>
      </c>
      <c r="J163" s="86">
        <v>668.15095629651421</v>
      </c>
      <c r="K163" s="13">
        <v>225265.59764465914</v>
      </c>
      <c r="L163" s="145"/>
      <c r="M163" s="160">
        <v>225265.59764465914</v>
      </c>
    </row>
    <row r="164" spans="1:13" ht="14.4" x14ac:dyDescent="0.3">
      <c r="A164" s="71">
        <v>154</v>
      </c>
      <c r="B164" s="135">
        <f t="shared" si="8"/>
        <v>1656.611106425695</v>
      </c>
      <c r="C164" s="86">
        <f t="shared" si="9"/>
        <v>985.53698969538334</v>
      </c>
      <c r="D164" s="86">
        <f t="shared" si="10"/>
        <v>671.07411673031163</v>
      </c>
      <c r="E164" s="13">
        <f t="shared" si="11"/>
        <v>224594.52352792877</v>
      </c>
      <c r="G164" s="158">
        <v>154</v>
      </c>
      <c r="H164" s="135">
        <v>1656.611106425695</v>
      </c>
      <c r="I164" s="86">
        <v>985.53698969538334</v>
      </c>
      <c r="J164" s="86">
        <v>671.07411673031163</v>
      </c>
      <c r="K164" s="13">
        <v>224594.52352792883</v>
      </c>
      <c r="L164" s="145"/>
      <c r="M164" s="160">
        <v>224594.52352792883</v>
      </c>
    </row>
    <row r="165" spans="1:13" ht="14.4" x14ac:dyDescent="0.3">
      <c r="A165" s="71">
        <v>155</v>
      </c>
      <c r="B165" s="135">
        <f t="shared" si="8"/>
        <v>1656.611106425695</v>
      </c>
      <c r="C165" s="86">
        <f t="shared" si="9"/>
        <v>982.60104043468823</v>
      </c>
      <c r="D165" s="86">
        <f t="shared" si="10"/>
        <v>674.01006599100674</v>
      </c>
      <c r="E165" s="13">
        <f t="shared" si="11"/>
        <v>223920.51346193778</v>
      </c>
      <c r="G165" s="158">
        <v>155</v>
      </c>
      <c r="H165" s="135">
        <v>1656.611106425695</v>
      </c>
      <c r="I165" s="86">
        <v>982.60104043468868</v>
      </c>
      <c r="J165" s="86">
        <v>674.01006599100629</v>
      </c>
      <c r="K165" s="13">
        <v>223920.51346193784</v>
      </c>
      <c r="L165" s="145"/>
      <c r="M165" s="160">
        <v>223920.51346193784</v>
      </c>
    </row>
    <row r="166" spans="1:13" ht="14.4" x14ac:dyDescent="0.3">
      <c r="A166" s="71">
        <v>156</v>
      </c>
      <c r="B166" s="135">
        <f t="shared" si="8"/>
        <v>1656.611106425695</v>
      </c>
      <c r="C166" s="86">
        <f t="shared" si="9"/>
        <v>979.65224639597773</v>
      </c>
      <c r="D166" s="86">
        <f t="shared" si="10"/>
        <v>676.95886002971724</v>
      </c>
      <c r="E166" s="13">
        <f t="shared" si="11"/>
        <v>223243.55460190805</v>
      </c>
      <c r="G166" s="158">
        <v>156</v>
      </c>
      <c r="H166" s="135">
        <v>1656.611106425695</v>
      </c>
      <c r="I166" s="86">
        <v>979.65224639597784</v>
      </c>
      <c r="J166" s="86">
        <v>676.95886002971713</v>
      </c>
      <c r="K166" s="13">
        <v>223243.55460190811</v>
      </c>
      <c r="L166" s="145"/>
      <c r="M166" s="160">
        <v>223243.55460190811</v>
      </c>
    </row>
    <row r="167" spans="1:13" ht="14.4" x14ac:dyDescent="0.3">
      <c r="A167" s="71">
        <v>157</v>
      </c>
      <c r="B167" s="135">
        <f t="shared" si="8"/>
        <v>1656.611106425695</v>
      </c>
      <c r="C167" s="86">
        <f t="shared" si="9"/>
        <v>976.69055138334761</v>
      </c>
      <c r="D167" s="86">
        <f t="shared" si="10"/>
        <v>679.92055504234736</v>
      </c>
      <c r="E167" s="13">
        <f t="shared" si="11"/>
        <v>222563.63404686571</v>
      </c>
      <c r="G167" s="158">
        <v>157</v>
      </c>
      <c r="H167" s="135">
        <v>1656.611106425695</v>
      </c>
      <c r="I167" s="86">
        <v>976.69055138334795</v>
      </c>
      <c r="J167" s="86">
        <v>679.92055504234702</v>
      </c>
      <c r="K167" s="13">
        <v>222563.63404686577</v>
      </c>
      <c r="L167" s="145"/>
      <c r="M167" s="160">
        <v>222563.63404686577</v>
      </c>
    </row>
    <row r="168" spans="1:13" ht="14.4" x14ac:dyDescent="0.3">
      <c r="A168" s="71">
        <v>158</v>
      </c>
      <c r="B168" s="135">
        <f t="shared" si="8"/>
        <v>1656.611106425695</v>
      </c>
      <c r="C168" s="86">
        <f t="shared" si="9"/>
        <v>973.71589895503735</v>
      </c>
      <c r="D168" s="86">
        <f t="shared" si="10"/>
        <v>682.89520747065762</v>
      </c>
      <c r="E168" s="13">
        <f t="shared" si="11"/>
        <v>221880.73883939505</v>
      </c>
      <c r="G168" s="158">
        <v>158</v>
      </c>
      <c r="H168" s="135">
        <v>1656.611106425695</v>
      </c>
      <c r="I168" s="86">
        <v>973.7158989550378</v>
      </c>
      <c r="J168" s="86">
        <v>682.89520747065717</v>
      </c>
      <c r="K168" s="13">
        <v>221880.73883939511</v>
      </c>
      <c r="L168" s="145"/>
      <c r="M168" s="160">
        <v>221880.73883939511</v>
      </c>
    </row>
    <row r="169" spans="1:13" ht="14.4" x14ac:dyDescent="0.3">
      <c r="A169" s="71">
        <v>159</v>
      </c>
      <c r="B169" s="135">
        <f t="shared" si="8"/>
        <v>1656.611106425695</v>
      </c>
      <c r="C169" s="86">
        <f t="shared" si="9"/>
        <v>970.72823242235324</v>
      </c>
      <c r="D169" s="86">
        <f t="shared" si="10"/>
        <v>685.88287400334173</v>
      </c>
      <c r="E169" s="13">
        <f t="shared" si="11"/>
        <v>221194.8559653917</v>
      </c>
      <c r="G169" s="158">
        <v>159</v>
      </c>
      <c r="H169" s="135">
        <v>1656.611106425695</v>
      </c>
      <c r="I169" s="86">
        <v>970.72823242235381</v>
      </c>
      <c r="J169" s="86">
        <v>685.88287400334116</v>
      </c>
      <c r="K169" s="13">
        <v>221194.85596539176</v>
      </c>
      <c r="L169" s="145"/>
      <c r="M169" s="160">
        <v>221194.85596539176</v>
      </c>
    </row>
    <row r="170" spans="1:13" ht="14.4" x14ac:dyDescent="0.3">
      <c r="A170" s="71">
        <v>160</v>
      </c>
      <c r="B170" s="135">
        <f t="shared" si="8"/>
        <v>1656.611106425695</v>
      </c>
      <c r="C170" s="86">
        <f t="shared" si="9"/>
        <v>967.72749484858855</v>
      </c>
      <c r="D170" s="86">
        <f t="shared" si="10"/>
        <v>688.88361157710642</v>
      </c>
      <c r="E170" s="13">
        <f t="shared" si="11"/>
        <v>220505.97235381461</v>
      </c>
      <c r="G170" s="158">
        <v>160</v>
      </c>
      <c r="H170" s="135">
        <v>1656.611106425695</v>
      </c>
      <c r="I170" s="86">
        <v>967.72749484858855</v>
      </c>
      <c r="J170" s="86">
        <v>688.88361157710642</v>
      </c>
      <c r="K170" s="13">
        <v>220505.97235381466</v>
      </c>
      <c r="L170" s="145"/>
      <c r="M170" s="160">
        <v>220505.97235381466</v>
      </c>
    </row>
    <row r="171" spans="1:13" ht="14.4" x14ac:dyDescent="0.3">
      <c r="A171" s="71">
        <v>161</v>
      </c>
      <c r="B171" s="135">
        <f t="shared" si="8"/>
        <v>1656.611106425695</v>
      </c>
      <c r="C171" s="86">
        <f t="shared" si="9"/>
        <v>964.71362904793875</v>
      </c>
      <c r="D171" s="86">
        <f t="shared" si="10"/>
        <v>691.89747737775622</v>
      </c>
      <c r="E171" s="13">
        <f t="shared" si="11"/>
        <v>219814.07487643685</v>
      </c>
      <c r="G171" s="158">
        <v>161</v>
      </c>
      <c r="H171" s="135">
        <v>1656.611106425695</v>
      </c>
      <c r="I171" s="86">
        <v>964.71362904793898</v>
      </c>
      <c r="J171" s="86">
        <v>691.89747737775599</v>
      </c>
      <c r="K171" s="13">
        <v>219814.07487643691</v>
      </c>
      <c r="L171" s="145"/>
      <c r="M171" s="160">
        <v>219814.07487643691</v>
      </c>
    </row>
    <row r="172" spans="1:13" ht="14.4" x14ac:dyDescent="0.3">
      <c r="A172" s="71">
        <v>162</v>
      </c>
      <c r="B172" s="135">
        <f t="shared" si="8"/>
        <v>1656.611106425695</v>
      </c>
      <c r="C172" s="86">
        <f t="shared" si="9"/>
        <v>961.68657758441111</v>
      </c>
      <c r="D172" s="86">
        <f t="shared" si="10"/>
        <v>694.92452884128386</v>
      </c>
      <c r="E172" s="13">
        <f t="shared" si="11"/>
        <v>219119.15034759557</v>
      </c>
      <c r="G172" s="158">
        <v>162</v>
      </c>
      <c r="H172" s="135">
        <v>1656.611106425695</v>
      </c>
      <c r="I172" s="86">
        <v>961.68657758441157</v>
      </c>
      <c r="J172" s="86">
        <v>694.9245288412834</v>
      </c>
      <c r="K172" s="13">
        <v>219119.15034759563</v>
      </c>
      <c r="L172" s="145"/>
      <c r="M172" s="160">
        <v>219119.15034759563</v>
      </c>
    </row>
    <row r="173" spans="1:13" ht="14.4" x14ac:dyDescent="0.3">
      <c r="A173" s="71">
        <v>163</v>
      </c>
      <c r="B173" s="135">
        <f t="shared" si="8"/>
        <v>1656.611106425695</v>
      </c>
      <c r="C173" s="86">
        <f t="shared" si="9"/>
        <v>958.64628277073052</v>
      </c>
      <c r="D173" s="86">
        <f t="shared" si="10"/>
        <v>697.96482365496445</v>
      </c>
      <c r="E173" s="13">
        <f t="shared" si="11"/>
        <v>218421.1855239406</v>
      </c>
      <c r="G173" s="158">
        <v>163</v>
      </c>
      <c r="H173" s="135">
        <v>1656.611106425695</v>
      </c>
      <c r="I173" s="86">
        <v>958.64628277073052</v>
      </c>
      <c r="J173" s="86">
        <v>697.96482365496445</v>
      </c>
      <c r="K173" s="13">
        <v>218421.18552394066</v>
      </c>
      <c r="L173" s="145"/>
      <c r="M173" s="160">
        <v>218421.18552394066</v>
      </c>
    </row>
    <row r="174" spans="1:13" ht="14.4" x14ac:dyDescent="0.3">
      <c r="A174" s="71">
        <v>164</v>
      </c>
      <c r="B174" s="135">
        <f t="shared" si="8"/>
        <v>1656.611106425695</v>
      </c>
      <c r="C174" s="86">
        <f t="shared" si="9"/>
        <v>955.59268666724006</v>
      </c>
      <c r="D174" s="86">
        <f t="shared" si="10"/>
        <v>701.01841975845491</v>
      </c>
      <c r="E174" s="13">
        <f t="shared" si="11"/>
        <v>217720.16710418215</v>
      </c>
      <c r="G174" s="158">
        <v>164</v>
      </c>
      <c r="H174" s="135">
        <v>1656.611106425695</v>
      </c>
      <c r="I174" s="86">
        <v>955.59268666724029</v>
      </c>
      <c r="J174" s="86">
        <v>701.01841975845468</v>
      </c>
      <c r="K174" s="13">
        <v>217720.16710418221</v>
      </c>
      <c r="L174" s="145"/>
      <c r="M174" s="160">
        <v>217720.16710418221</v>
      </c>
    </row>
    <row r="175" spans="1:13" ht="14.4" x14ac:dyDescent="0.3">
      <c r="A175" s="71">
        <v>165</v>
      </c>
      <c r="B175" s="135">
        <f t="shared" si="8"/>
        <v>1656.611106425695</v>
      </c>
      <c r="C175" s="86">
        <f t="shared" si="9"/>
        <v>952.52573108079685</v>
      </c>
      <c r="D175" s="86">
        <f t="shared" si="10"/>
        <v>704.08537534489813</v>
      </c>
      <c r="E175" s="13">
        <f t="shared" si="11"/>
        <v>217016.08172883725</v>
      </c>
      <c r="G175" s="158">
        <v>165</v>
      </c>
      <c r="H175" s="135">
        <v>1656.611106425695</v>
      </c>
      <c r="I175" s="86">
        <v>952.52573108079707</v>
      </c>
      <c r="J175" s="86">
        <v>704.0853753448979</v>
      </c>
      <c r="K175" s="13">
        <v>217016.08172883731</v>
      </c>
      <c r="L175" s="145"/>
      <c r="M175" s="160">
        <v>217016.08172883731</v>
      </c>
    </row>
    <row r="176" spans="1:13" ht="14.4" x14ac:dyDescent="0.3">
      <c r="A176" s="71">
        <v>166</v>
      </c>
      <c r="B176" s="135">
        <f t="shared" si="8"/>
        <v>1656.611106425695</v>
      </c>
      <c r="C176" s="86">
        <f t="shared" si="9"/>
        <v>949.44535756366281</v>
      </c>
      <c r="D176" s="86">
        <f t="shared" si="10"/>
        <v>707.16574886203216</v>
      </c>
      <c r="E176" s="13">
        <f t="shared" si="11"/>
        <v>216308.91597997522</v>
      </c>
      <c r="G176" s="158">
        <v>166</v>
      </c>
      <c r="H176" s="135">
        <v>1656.611106425695</v>
      </c>
      <c r="I176" s="86">
        <v>949.44535756366304</v>
      </c>
      <c r="J176" s="86">
        <v>707.16574886203193</v>
      </c>
      <c r="K176" s="13">
        <v>216308.91597997528</v>
      </c>
      <c r="L176" s="145"/>
      <c r="M176" s="160">
        <v>216308.91597997528</v>
      </c>
    </row>
    <row r="177" spans="1:13" ht="14.4" x14ac:dyDescent="0.3">
      <c r="A177" s="71">
        <v>167</v>
      </c>
      <c r="B177" s="135">
        <f t="shared" si="8"/>
        <v>1656.611106425695</v>
      </c>
      <c r="C177" s="86">
        <f t="shared" si="9"/>
        <v>946.35150741239147</v>
      </c>
      <c r="D177" s="86">
        <f t="shared" si="10"/>
        <v>710.2595990133035</v>
      </c>
      <c r="E177" s="13">
        <f t="shared" si="11"/>
        <v>215598.65638096191</v>
      </c>
      <c r="G177" s="158">
        <v>167</v>
      </c>
      <c r="H177" s="135">
        <v>1656.611106425695</v>
      </c>
      <c r="I177" s="86">
        <v>946.35150741239181</v>
      </c>
      <c r="J177" s="86">
        <v>710.25959901330316</v>
      </c>
      <c r="K177" s="13">
        <v>215598.65638096197</v>
      </c>
      <c r="L177" s="145"/>
      <c r="M177" s="160">
        <v>215598.65638096197</v>
      </c>
    </row>
    <row r="178" spans="1:13" ht="14.4" x14ac:dyDescent="0.3">
      <c r="A178" s="71">
        <v>168</v>
      </c>
      <c r="B178" s="135">
        <f t="shared" si="8"/>
        <v>1656.611106425695</v>
      </c>
      <c r="C178" s="86">
        <f t="shared" si="9"/>
        <v>943.24412166670822</v>
      </c>
      <c r="D178" s="86">
        <f t="shared" si="10"/>
        <v>713.36698475898675</v>
      </c>
      <c r="E178" s="13">
        <f t="shared" si="11"/>
        <v>214885.28939620292</v>
      </c>
      <c r="G178" s="158">
        <v>168</v>
      </c>
      <c r="H178" s="135">
        <v>1656.611106425695</v>
      </c>
      <c r="I178" s="86">
        <v>943.24412166670857</v>
      </c>
      <c r="J178" s="86">
        <v>713.3669847589864</v>
      </c>
      <c r="K178" s="13">
        <v>214885.28939620298</v>
      </c>
      <c r="L178" s="145"/>
      <c r="M178" s="160">
        <v>214885.28939620298</v>
      </c>
    </row>
    <row r="179" spans="1:13" ht="14.4" x14ac:dyDescent="0.3">
      <c r="A179" s="71">
        <v>169</v>
      </c>
      <c r="B179" s="135">
        <f t="shared" si="8"/>
        <v>1656.611106425695</v>
      </c>
      <c r="C179" s="86">
        <f t="shared" si="9"/>
        <v>940.1231411083877</v>
      </c>
      <c r="D179" s="86">
        <f t="shared" si="10"/>
        <v>716.48796531730727</v>
      </c>
      <c r="E179" s="13">
        <f t="shared" si="11"/>
        <v>214168.80143088562</v>
      </c>
      <c r="G179" s="158">
        <v>169</v>
      </c>
      <c r="H179" s="135">
        <v>1656.611106425695</v>
      </c>
      <c r="I179" s="86">
        <v>940.12314110838793</v>
      </c>
      <c r="J179" s="86">
        <v>716.48796531730704</v>
      </c>
      <c r="K179" s="13">
        <v>214168.80143088568</v>
      </c>
      <c r="L179" s="145"/>
      <c r="M179" s="160">
        <v>214168.80143088568</v>
      </c>
    </row>
    <row r="180" spans="1:13" ht="14.4" x14ac:dyDescent="0.3">
      <c r="A180" s="71">
        <v>170</v>
      </c>
      <c r="B180" s="135">
        <f t="shared" si="8"/>
        <v>1656.611106425695</v>
      </c>
      <c r="C180" s="86">
        <f t="shared" si="9"/>
        <v>936.9885062601245</v>
      </c>
      <c r="D180" s="86">
        <f t="shared" si="10"/>
        <v>719.62260016557047</v>
      </c>
      <c r="E180" s="13">
        <f t="shared" si="11"/>
        <v>213449.17883072005</v>
      </c>
      <c r="G180" s="158">
        <v>170</v>
      </c>
      <c r="H180" s="135">
        <v>1656.611106425695</v>
      </c>
      <c r="I180" s="86">
        <v>936.98850626012461</v>
      </c>
      <c r="J180" s="86">
        <v>719.62260016557036</v>
      </c>
      <c r="K180" s="13">
        <v>213449.17883072011</v>
      </c>
      <c r="L180" s="145"/>
      <c r="M180" s="160">
        <v>213449.17883072011</v>
      </c>
    </row>
    <row r="181" spans="1:13" ht="14.4" x14ac:dyDescent="0.3">
      <c r="A181" s="71">
        <v>171</v>
      </c>
      <c r="B181" s="135">
        <f t="shared" si="8"/>
        <v>1656.611106425695</v>
      </c>
      <c r="C181" s="86">
        <f t="shared" si="9"/>
        <v>933.84015738440007</v>
      </c>
      <c r="D181" s="86">
        <f t="shared" si="10"/>
        <v>722.7709490412949</v>
      </c>
      <c r="E181" s="13">
        <f t="shared" si="11"/>
        <v>212726.40788167875</v>
      </c>
      <c r="G181" s="158">
        <v>171</v>
      </c>
      <c r="H181" s="135">
        <v>1656.611106425695</v>
      </c>
      <c r="I181" s="86">
        <v>933.84015738440041</v>
      </c>
      <c r="J181" s="86">
        <v>722.77094904129456</v>
      </c>
      <c r="K181" s="13">
        <v>212726.40788167881</v>
      </c>
      <c r="L181" s="145"/>
      <c r="M181" s="160">
        <v>212726.40788167881</v>
      </c>
    </row>
    <row r="182" spans="1:13" ht="14.4" x14ac:dyDescent="0.3">
      <c r="A182" s="71">
        <v>172</v>
      </c>
      <c r="B182" s="135">
        <f t="shared" si="8"/>
        <v>1656.611106425695</v>
      </c>
      <c r="C182" s="86">
        <f t="shared" si="9"/>
        <v>930.6780344823444</v>
      </c>
      <c r="D182" s="86">
        <f t="shared" si="10"/>
        <v>725.93307194335057</v>
      </c>
      <c r="E182" s="13">
        <f t="shared" si="11"/>
        <v>212000.4748097354</v>
      </c>
      <c r="G182" s="158">
        <v>172</v>
      </c>
      <c r="H182" s="135">
        <v>1656.611106425695</v>
      </c>
      <c r="I182" s="86">
        <v>930.67803448234474</v>
      </c>
      <c r="J182" s="86">
        <v>725.93307194335023</v>
      </c>
      <c r="K182" s="13">
        <v>212000.47480973546</v>
      </c>
      <c r="L182" s="145"/>
      <c r="M182" s="160">
        <v>212000.47480973546</v>
      </c>
    </row>
    <row r="183" spans="1:13" ht="14.4" x14ac:dyDescent="0.3">
      <c r="A183" s="71">
        <v>173</v>
      </c>
      <c r="B183" s="135">
        <f t="shared" si="8"/>
        <v>1656.611106425695</v>
      </c>
      <c r="C183" s="86">
        <f t="shared" si="9"/>
        <v>927.50207729259228</v>
      </c>
      <c r="D183" s="86">
        <f t="shared" si="10"/>
        <v>729.10902913310269</v>
      </c>
      <c r="E183" s="13">
        <f t="shared" si="11"/>
        <v>211271.3657806023</v>
      </c>
      <c r="G183" s="158">
        <v>173</v>
      </c>
      <c r="H183" s="135">
        <v>1656.611106425695</v>
      </c>
      <c r="I183" s="86">
        <v>927.50207729259239</v>
      </c>
      <c r="J183" s="86">
        <v>729.10902913310258</v>
      </c>
      <c r="K183" s="13">
        <v>211271.36578060235</v>
      </c>
      <c r="L183" s="145"/>
      <c r="M183" s="160">
        <v>211271.36578060235</v>
      </c>
    </row>
    <row r="184" spans="1:13" ht="14.4" x14ac:dyDescent="0.3">
      <c r="A184" s="71">
        <v>174</v>
      </c>
      <c r="B184" s="135">
        <f t="shared" si="8"/>
        <v>1656.611106425695</v>
      </c>
      <c r="C184" s="86">
        <f t="shared" si="9"/>
        <v>924.31222529013496</v>
      </c>
      <c r="D184" s="86">
        <f t="shared" si="10"/>
        <v>732.29888113556001</v>
      </c>
      <c r="E184" s="13">
        <f t="shared" si="11"/>
        <v>210539.06689946674</v>
      </c>
      <c r="G184" s="158">
        <v>174</v>
      </c>
      <c r="H184" s="135">
        <v>1656.611106425695</v>
      </c>
      <c r="I184" s="86">
        <v>924.31222529013507</v>
      </c>
      <c r="J184" s="86">
        <v>732.2988811355599</v>
      </c>
      <c r="K184" s="13">
        <v>210539.06689946679</v>
      </c>
      <c r="L184" s="145"/>
      <c r="M184" s="160">
        <v>210539.06689946679</v>
      </c>
    </row>
    <row r="185" spans="1:13" ht="14.4" x14ac:dyDescent="0.3">
      <c r="A185" s="71">
        <v>175</v>
      </c>
      <c r="B185" s="135">
        <f t="shared" si="8"/>
        <v>1656.611106425695</v>
      </c>
      <c r="C185" s="86">
        <f t="shared" si="9"/>
        <v>921.10841768516684</v>
      </c>
      <c r="D185" s="86">
        <f t="shared" si="10"/>
        <v>735.50268874052813</v>
      </c>
      <c r="E185" s="13">
        <f t="shared" si="11"/>
        <v>209803.56421072621</v>
      </c>
      <c r="G185" s="158">
        <v>175</v>
      </c>
      <c r="H185" s="135">
        <v>1656.611106425695</v>
      </c>
      <c r="I185" s="86">
        <v>921.1084176851673</v>
      </c>
      <c r="J185" s="86">
        <v>735.50268874052767</v>
      </c>
      <c r="K185" s="13">
        <v>209803.56421072627</v>
      </c>
      <c r="L185" s="145"/>
      <c r="M185" s="160">
        <v>209803.56421072627</v>
      </c>
    </row>
    <row r="186" spans="1:13" ht="14.4" x14ac:dyDescent="0.3">
      <c r="A186" s="71">
        <v>176</v>
      </c>
      <c r="B186" s="135">
        <f t="shared" si="8"/>
        <v>1656.611106425695</v>
      </c>
      <c r="C186" s="86">
        <f t="shared" si="9"/>
        <v>917.89059342192706</v>
      </c>
      <c r="D186" s="86">
        <f t="shared" si="10"/>
        <v>738.72051300376791</v>
      </c>
      <c r="E186" s="13">
        <f t="shared" si="11"/>
        <v>209064.84369772245</v>
      </c>
      <c r="G186" s="158">
        <v>176</v>
      </c>
      <c r="H186" s="135">
        <v>1656.611106425695</v>
      </c>
      <c r="I186" s="86">
        <v>917.89059342192729</v>
      </c>
      <c r="J186" s="86">
        <v>738.72051300376768</v>
      </c>
      <c r="K186" s="13">
        <v>209064.84369772251</v>
      </c>
      <c r="L186" s="145"/>
      <c r="M186" s="160">
        <v>209064.84369772251</v>
      </c>
    </row>
    <row r="187" spans="1:13" ht="14.4" x14ac:dyDescent="0.3">
      <c r="A187" s="71">
        <v>177</v>
      </c>
      <c r="B187" s="135">
        <f t="shared" si="8"/>
        <v>1656.611106425695</v>
      </c>
      <c r="C187" s="86">
        <f t="shared" si="9"/>
        <v>914.65869117753562</v>
      </c>
      <c r="D187" s="86">
        <f t="shared" si="10"/>
        <v>741.95241524815935</v>
      </c>
      <c r="E187" s="13">
        <f t="shared" si="11"/>
        <v>208322.8912824743</v>
      </c>
      <c r="G187" s="158">
        <v>177</v>
      </c>
      <c r="H187" s="135">
        <v>1656.611106425695</v>
      </c>
      <c r="I187" s="86">
        <v>914.65869117753573</v>
      </c>
      <c r="J187" s="86">
        <v>741.95241524815924</v>
      </c>
      <c r="K187" s="13">
        <v>208322.89128247436</v>
      </c>
      <c r="L187" s="145"/>
      <c r="M187" s="160">
        <v>208322.89128247436</v>
      </c>
    </row>
    <row r="188" spans="1:13" ht="14.4" x14ac:dyDescent="0.3">
      <c r="A188" s="71">
        <v>178</v>
      </c>
      <c r="B188" s="135">
        <f t="shared" si="8"/>
        <v>1656.611106425695</v>
      </c>
      <c r="C188" s="86">
        <f t="shared" si="9"/>
        <v>911.41264936082496</v>
      </c>
      <c r="D188" s="86">
        <f t="shared" si="10"/>
        <v>745.19845706487001</v>
      </c>
      <c r="E188" s="13">
        <f t="shared" si="11"/>
        <v>207577.69282540944</v>
      </c>
      <c r="G188" s="158">
        <v>178</v>
      </c>
      <c r="H188" s="135">
        <v>1656.611106425695</v>
      </c>
      <c r="I188" s="86">
        <v>911.41264936082496</v>
      </c>
      <c r="J188" s="86">
        <v>745.19845706487001</v>
      </c>
      <c r="K188" s="13">
        <v>207577.6928254095</v>
      </c>
      <c r="L188" s="145"/>
      <c r="M188" s="160">
        <v>207577.6928254095</v>
      </c>
    </row>
    <row r="189" spans="1:13" ht="14.4" x14ac:dyDescent="0.3">
      <c r="A189" s="71">
        <v>179</v>
      </c>
      <c r="B189" s="135">
        <f t="shared" si="8"/>
        <v>1656.611106425695</v>
      </c>
      <c r="C189" s="86">
        <f t="shared" si="9"/>
        <v>908.15240611116621</v>
      </c>
      <c r="D189" s="86">
        <f t="shared" si="10"/>
        <v>748.45870031452876</v>
      </c>
      <c r="E189" s="13">
        <f t="shared" si="11"/>
        <v>206829.2341250949</v>
      </c>
      <c r="G189" s="158">
        <v>179</v>
      </c>
      <c r="H189" s="135">
        <v>1656.611106425695</v>
      </c>
      <c r="I189" s="86">
        <v>908.15240611116621</v>
      </c>
      <c r="J189" s="86">
        <v>748.45870031452876</v>
      </c>
      <c r="K189" s="13">
        <v>206829.23412509495</v>
      </c>
      <c r="L189" s="145"/>
      <c r="M189" s="160">
        <v>206829.23412509495</v>
      </c>
    </row>
    <row r="190" spans="1:13" ht="14.4" x14ac:dyDescent="0.3">
      <c r="A190" s="71">
        <v>180</v>
      </c>
      <c r="B190" s="135">
        <f t="shared" si="8"/>
        <v>1656.611106425695</v>
      </c>
      <c r="C190" s="86">
        <f t="shared" si="9"/>
        <v>904.87789929729013</v>
      </c>
      <c r="D190" s="86">
        <f t="shared" si="10"/>
        <v>751.73320712840484</v>
      </c>
      <c r="E190" s="13">
        <f t="shared" si="11"/>
        <v>206077.50091796648</v>
      </c>
      <c r="G190" s="158">
        <v>180</v>
      </c>
      <c r="H190" s="135">
        <v>1656.611106425695</v>
      </c>
      <c r="I190" s="86">
        <v>904.87789929729024</v>
      </c>
      <c r="J190" s="86">
        <v>751.73320712840473</v>
      </c>
      <c r="K190" s="13">
        <v>206077.50091796654</v>
      </c>
      <c r="L190" s="145"/>
      <c r="M190" s="160">
        <v>206077.50091796654</v>
      </c>
    </row>
    <row r="191" spans="1:13" ht="14.4" x14ac:dyDescent="0.3">
      <c r="A191" s="71">
        <v>181</v>
      </c>
      <c r="B191" s="135">
        <f t="shared" si="8"/>
        <v>1656.611106425695</v>
      </c>
      <c r="C191" s="86">
        <f t="shared" si="9"/>
        <v>901.58906651610323</v>
      </c>
      <c r="D191" s="86">
        <f t="shared" si="10"/>
        <v>755.02203990959174</v>
      </c>
      <c r="E191" s="13">
        <f t="shared" si="11"/>
        <v>205322.47887805689</v>
      </c>
      <c r="G191" s="158">
        <v>181</v>
      </c>
      <c r="H191" s="135">
        <v>1656.611106425695</v>
      </c>
      <c r="I191" s="86">
        <v>901.58906651610334</v>
      </c>
      <c r="J191" s="86">
        <v>755.02203990959163</v>
      </c>
      <c r="K191" s="13">
        <v>205322.47887805695</v>
      </c>
      <c r="L191" s="145"/>
      <c r="M191" s="160">
        <v>205322.47887805695</v>
      </c>
    </row>
    <row r="192" spans="1:13" ht="14.4" x14ac:dyDescent="0.3">
      <c r="A192" s="71">
        <v>182</v>
      </c>
      <c r="B192" s="135">
        <f t="shared" si="8"/>
        <v>1656.611106425695</v>
      </c>
      <c r="C192" s="86">
        <f t="shared" si="9"/>
        <v>898.2858450914988</v>
      </c>
      <c r="D192" s="86">
        <f t="shared" si="10"/>
        <v>758.32526133419617</v>
      </c>
      <c r="E192" s="13">
        <f t="shared" si="11"/>
        <v>204564.1536167227</v>
      </c>
      <c r="G192" s="158">
        <v>182</v>
      </c>
      <c r="H192" s="135">
        <v>1656.611106425695</v>
      </c>
      <c r="I192" s="86">
        <v>898.28584509149891</v>
      </c>
      <c r="J192" s="86">
        <v>758.32526133419606</v>
      </c>
      <c r="K192" s="13">
        <v>204564.15361672276</v>
      </c>
      <c r="L192" s="145"/>
      <c r="M192" s="160">
        <v>204564.15361672276</v>
      </c>
    </row>
    <row r="193" spans="1:13" ht="14.4" x14ac:dyDescent="0.3">
      <c r="A193" s="71">
        <v>183</v>
      </c>
      <c r="B193" s="135">
        <f t="shared" si="8"/>
        <v>1656.611106425695</v>
      </c>
      <c r="C193" s="86">
        <f t="shared" si="9"/>
        <v>894.96817207316178</v>
      </c>
      <c r="D193" s="86">
        <f t="shared" si="10"/>
        <v>761.64293435253319</v>
      </c>
      <c r="E193" s="13">
        <f t="shared" si="11"/>
        <v>203802.51068237016</v>
      </c>
      <c r="G193" s="158">
        <v>183</v>
      </c>
      <c r="H193" s="135">
        <v>1656.611106425695</v>
      </c>
      <c r="I193" s="86">
        <v>894.9681720731619</v>
      </c>
      <c r="J193" s="86">
        <v>761.64293435253308</v>
      </c>
      <c r="K193" s="13">
        <v>203802.51068237022</v>
      </c>
      <c r="L193" s="145"/>
      <c r="M193" s="160">
        <v>203802.51068237022</v>
      </c>
    </row>
    <row r="194" spans="1:13" ht="14.4" x14ac:dyDescent="0.3">
      <c r="A194" s="71">
        <v>184</v>
      </c>
      <c r="B194" s="135">
        <f t="shared" si="8"/>
        <v>1656.611106425695</v>
      </c>
      <c r="C194" s="86">
        <f t="shared" si="9"/>
        <v>891.63598423536939</v>
      </c>
      <c r="D194" s="86">
        <f t="shared" si="10"/>
        <v>764.97512219032558</v>
      </c>
      <c r="E194" s="13">
        <f t="shared" si="11"/>
        <v>203037.53556017985</v>
      </c>
      <c r="G194" s="158">
        <v>184</v>
      </c>
      <c r="H194" s="135">
        <v>1656.611106425695</v>
      </c>
      <c r="I194" s="86">
        <v>891.63598423536939</v>
      </c>
      <c r="J194" s="86">
        <v>764.97512219032558</v>
      </c>
      <c r="K194" s="13">
        <v>203037.53556017991</v>
      </c>
      <c r="L194" s="145"/>
      <c r="M194" s="160">
        <v>203037.53556017991</v>
      </c>
    </row>
    <row r="195" spans="1:13" ht="14.4" x14ac:dyDescent="0.3">
      <c r="A195" s="71">
        <v>185</v>
      </c>
      <c r="B195" s="135">
        <f t="shared" si="8"/>
        <v>1656.611106425695</v>
      </c>
      <c r="C195" s="86">
        <f t="shared" si="9"/>
        <v>888.28921807578672</v>
      </c>
      <c r="D195" s="86">
        <f t="shared" si="10"/>
        <v>768.32188834990825</v>
      </c>
      <c r="E195" s="13">
        <f t="shared" si="11"/>
        <v>202269.21367182993</v>
      </c>
      <c r="G195" s="158">
        <v>185</v>
      </c>
      <c r="H195" s="135">
        <v>1656.611106425695</v>
      </c>
      <c r="I195" s="86">
        <v>888.28921807578706</v>
      </c>
      <c r="J195" s="86">
        <v>768.32188834990791</v>
      </c>
      <c r="K195" s="13">
        <v>202269.21367182999</v>
      </c>
      <c r="L195" s="145"/>
      <c r="M195" s="160">
        <v>202269.21367182999</v>
      </c>
    </row>
    <row r="196" spans="1:13" ht="14.4" x14ac:dyDescent="0.3">
      <c r="A196" s="71">
        <v>186</v>
      </c>
      <c r="B196" s="135">
        <f t="shared" si="8"/>
        <v>1656.611106425695</v>
      </c>
      <c r="C196" s="86">
        <f t="shared" si="9"/>
        <v>884.92780981425585</v>
      </c>
      <c r="D196" s="86">
        <f t="shared" si="10"/>
        <v>771.68329661143912</v>
      </c>
      <c r="E196" s="13">
        <f t="shared" si="11"/>
        <v>201497.53037521848</v>
      </c>
      <c r="G196" s="158">
        <v>186</v>
      </c>
      <c r="H196" s="135">
        <v>1656.611106425695</v>
      </c>
      <c r="I196" s="86">
        <v>884.92780981425597</v>
      </c>
      <c r="J196" s="86">
        <v>771.683296611439</v>
      </c>
      <c r="K196" s="13">
        <v>201497.53037521854</v>
      </c>
      <c r="L196" s="145"/>
      <c r="M196" s="160">
        <v>201497.53037521854</v>
      </c>
    </row>
    <row r="197" spans="1:13" ht="14.4" x14ac:dyDescent="0.3">
      <c r="A197" s="71">
        <v>187</v>
      </c>
      <c r="B197" s="135">
        <f t="shared" si="8"/>
        <v>1656.611106425695</v>
      </c>
      <c r="C197" s="86">
        <f t="shared" si="9"/>
        <v>881.55169539158078</v>
      </c>
      <c r="D197" s="86">
        <f t="shared" si="10"/>
        <v>775.05941103411419</v>
      </c>
      <c r="E197" s="13">
        <f t="shared" si="11"/>
        <v>200722.47096418438</v>
      </c>
      <c r="G197" s="158">
        <v>187</v>
      </c>
      <c r="H197" s="135">
        <v>1656.611106425695</v>
      </c>
      <c r="I197" s="86">
        <v>881.55169539158101</v>
      </c>
      <c r="J197" s="86">
        <v>775.05941103411396</v>
      </c>
      <c r="K197" s="13">
        <v>200722.47096418444</v>
      </c>
      <c r="L197" s="145"/>
      <c r="M197" s="160">
        <v>200722.47096418444</v>
      </c>
    </row>
    <row r="198" spans="1:13" ht="14.4" x14ac:dyDescent="0.3">
      <c r="A198" s="71">
        <v>188</v>
      </c>
      <c r="B198" s="135">
        <f t="shared" si="8"/>
        <v>1656.611106425695</v>
      </c>
      <c r="C198" s="86">
        <f t="shared" si="9"/>
        <v>878.16081046830652</v>
      </c>
      <c r="D198" s="86">
        <f t="shared" si="10"/>
        <v>778.45029595738845</v>
      </c>
      <c r="E198" s="13">
        <f t="shared" si="11"/>
        <v>199944.02066822699</v>
      </c>
      <c r="G198" s="158">
        <v>188</v>
      </c>
      <c r="H198" s="135">
        <v>1656.611106425695</v>
      </c>
      <c r="I198" s="86">
        <v>878.16081046830675</v>
      </c>
      <c r="J198" s="86">
        <v>778.45029595738822</v>
      </c>
      <c r="K198" s="13">
        <v>199944.02066822705</v>
      </c>
      <c r="L198" s="145"/>
      <c r="M198" s="160">
        <v>199944.02066822705</v>
      </c>
    </row>
    <row r="199" spans="1:13" ht="14.4" x14ac:dyDescent="0.3">
      <c r="A199" s="71">
        <v>189</v>
      </c>
      <c r="B199" s="135">
        <f t="shared" si="8"/>
        <v>1656.611106425695</v>
      </c>
      <c r="C199" s="86">
        <f t="shared" si="9"/>
        <v>874.75509042349302</v>
      </c>
      <c r="D199" s="86">
        <f t="shared" si="10"/>
        <v>781.85601600220195</v>
      </c>
      <c r="E199" s="13">
        <f t="shared" si="11"/>
        <v>199162.1646522248</v>
      </c>
      <c r="G199" s="158">
        <v>189</v>
      </c>
      <c r="H199" s="135">
        <v>1656.611106425695</v>
      </c>
      <c r="I199" s="86">
        <v>874.75509042349313</v>
      </c>
      <c r="J199" s="86">
        <v>781.85601600220184</v>
      </c>
      <c r="K199" s="13">
        <v>199162.16465222486</v>
      </c>
      <c r="L199" s="145"/>
      <c r="M199" s="160">
        <v>199162.16465222486</v>
      </c>
    </row>
    <row r="200" spans="1:13" ht="14.4" x14ac:dyDescent="0.3">
      <c r="A200" s="71">
        <v>190</v>
      </c>
      <c r="B200" s="135">
        <f t="shared" si="8"/>
        <v>1656.611106425695</v>
      </c>
      <c r="C200" s="86">
        <f t="shared" si="9"/>
        <v>871.33447035348343</v>
      </c>
      <c r="D200" s="86">
        <f t="shared" si="10"/>
        <v>785.27663607221155</v>
      </c>
      <c r="E200" s="13">
        <f t="shared" si="11"/>
        <v>198376.8880161526</v>
      </c>
      <c r="G200" s="158">
        <v>190</v>
      </c>
      <c r="H200" s="135">
        <v>1656.611106425695</v>
      </c>
      <c r="I200" s="86">
        <v>871.33447035348354</v>
      </c>
      <c r="J200" s="86">
        <v>785.27663607221143</v>
      </c>
      <c r="K200" s="13">
        <v>198376.88801615266</v>
      </c>
      <c r="L200" s="145"/>
      <c r="M200" s="160">
        <v>198376.88801615266</v>
      </c>
    </row>
    <row r="201" spans="1:13" ht="14.4" x14ac:dyDescent="0.3">
      <c r="A201" s="71">
        <v>191</v>
      </c>
      <c r="B201" s="135">
        <f t="shared" si="8"/>
        <v>1656.611106425695</v>
      </c>
      <c r="C201" s="86">
        <f t="shared" si="9"/>
        <v>867.89888507066757</v>
      </c>
      <c r="D201" s="86">
        <f t="shared" si="10"/>
        <v>788.7122213550274</v>
      </c>
      <c r="E201" s="13">
        <f t="shared" si="11"/>
        <v>197588.17579479757</v>
      </c>
      <c r="G201" s="158">
        <v>191</v>
      </c>
      <c r="H201" s="135">
        <v>1656.611106425695</v>
      </c>
      <c r="I201" s="86">
        <v>867.8988850706678</v>
      </c>
      <c r="J201" s="86">
        <v>788.71222135502717</v>
      </c>
      <c r="K201" s="13">
        <v>197588.17579479763</v>
      </c>
      <c r="L201" s="145"/>
      <c r="M201" s="160">
        <v>197588.17579479763</v>
      </c>
    </row>
    <row r="202" spans="1:13" ht="14.4" x14ac:dyDescent="0.3">
      <c r="A202" s="71">
        <v>192</v>
      </c>
      <c r="B202" s="135">
        <f t="shared" si="8"/>
        <v>1656.611106425695</v>
      </c>
      <c r="C202" s="86">
        <f t="shared" si="9"/>
        <v>864.44826910223924</v>
      </c>
      <c r="D202" s="86">
        <f t="shared" si="10"/>
        <v>792.16283732345573</v>
      </c>
      <c r="E202" s="13">
        <f t="shared" si="11"/>
        <v>196796.01295747413</v>
      </c>
      <c r="G202" s="158">
        <v>192</v>
      </c>
      <c r="H202" s="135">
        <v>1656.611106425695</v>
      </c>
      <c r="I202" s="86">
        <v>864.44826910223924</v>
      </c>
      <c r="J202" s="86">
        <v>792.16283732345573</v>
      </c>
      <c r="K202" s="13">
        <v>196796.01295747419</v>
      </c>
      <c r="L202" s="145"/>
      <c r="M202" s="160">
        <v>196796.01295747419</v>
      </c>
    </row>
    <row r="203" spans="1:13" ht="14.4" x14ac:dyDescent="0.3">
      <c r="A203" s="71">
        <v>193</v>
      </c>
      <c r="B203" s="135">
        <f t="shared" si="8"/>
        <v>1656.611106425695</v>
      </c>
      <c r="C203" s="86">
        <f t="shared" si="9"/>
        <v>860.98255668894922</v>
      </c>
      <c r="D203" s="86">
        <f t="shared" si="10"/>
        <v>795.62854973674575</v>
      </c>
      <c r="E203" s="13">
        <f t="shared" si="11"/>
        <v>196000.38440773738</v>
      </c>
      <c r="G203" s="158">
        <v>193</v>
      </c>
      <c r="H203" s="135">
        <v>1656.611106425695</v>
      </c>
      <c r="I203" s="86">
        <v>860.98255668894922</v>
      </c>
      <c r="J203" s="86">
        <v>795.62854973674575</v>
      </c>
      <c r="K203" s="13">
        <v>196000.38440773744</v>
      </c>
      <c r="L203" s="145"/>
      <c r="M203" s="160">
        <v>196000.38440773744</v>
      </c>
    </row>
    <row r="204" spans="1:13" ht="14.4" x14ac:dyDescent="0.3">
      <c r="A204" s="71">
        <v>194</v>
      </c>
      <c r="B204" s="135">
        <f t="shared" ref="B204:B267" si="12">-$B$7</f>
        <v>1656.611106425695</v>
      </c>
      <c r="C204" s="86">
        <f t="shared" ref="C204:C267" si="13">E203*$B$3</f>
        <v>857.50168178385093</v>
      </c>
      <c r="D204" s="86">
        <f t="shared" ref="D204:D267" si="14">B204-C204</f>
        <v>799.10942464184404</v>
      </c>
      <c r="E204" s="13">
        <f t="shared" ref="E204:E267" si="15">E203-D204</f>
        <v>195201.27498309553</v>
      </c>
      <c r="G204" s="158">
        <v>194</v>
      </c>
      <c r="H204" s="135">
        <v>1656.611106425695</v>
      </c>
      <c r="I204" s="86">
        <v>857.50168178385081</v>
      </c>
      <c r="J204" s="86">
        <v>799.10942464184416</v>
      </c>
      <c r="K204" s="13">
        <v>195201.27498309559</v>
      </c>
      <c r="L204" s="145"/>
      <c r="M204" s="160">
        <v>195201.27498309559</v>
      </c>
    </row>
    <row r="205" spans="1:13" ht="14.4" x14ac:dyDescent="0.3">
      <c r="A205" s="71">
        <v>195</v>
      </c>
      <c r="B205" s="135">
        <f t="shared" si="12"/>
        <v>1656.611106425695</v>
      </c>
      <c r="C205" s="86">
        <f t="shared" si="13"/>
        <v>854.0055780510429</v>
      </c>
      <c r="D205" s="86">
        <f t="shared" si="14"/>
        <v>802.60552837465207</v>
      </c>
      <c r="E205" s="13">
        <f t="shared" si="15"/>
        <v>194398.66945472089</v>
      </c>
      <c r="G205" s="158">
        <v>195</v>
      </c>
      <c r="H205" s="135">
        <v>1656.611106425695</v>
      </c>
      <c r="I205" s="86">
        <v>854.0055780510429</v>
      </c>
      <c r="J205" s="86">
        <v>802.60552837465207</v>
      </c>
      <c r="K205" s="13">
        <v>194398.66945472095</v>
      </c>
      <c r="L205" s="145"/>
      <c r="M205" s="160">
        <v>194398.66945472095</v>
      </c>
    </row>
    <row r="206" spans="1:13" ht="14.4" x14ac:dyDescent="0.3">
      <c r="A206" s="71">
        <v>196</v>
      </c>
      <c r="B206" s="135">
        <f t="shared" si="12"/>
        <v>1656.611106425695</v>
      </c>
      <c r="C206" s="86">
        <f t="shared" si="13"/>
        <v>850.49417886440381</v>
      </c>
      <c r="D206" s="86">
        <f t="shared" si="14"/>
        <v>806.11692756129116</v>
      </c>
      <c r="E206" s="13">
        <f t="shared" si="15"/>
        <v>193592.5525271596</v>
      </c>
      <c r="G206" s="158">
        <v>196</v>
      </c>
      <c r="H206" s="135">
        <v>1656.611106425695</v>
      </c>
      <c r="I206" s="86">
        <v>850.49417886440381</v>
      </c>
      <c r="J206" s="86">
        <v>806.11692756129116</v>
      </c>
      <c r="K206" s="13">
        <v>193592.55252715966</v>
      </c>
      <c r="L206" s="145"/>
      <c r="M206" s="160">
        <v>193592.55252715966</v>
      </c>
    </row>
    <row r="207" spans="1:13" ht="14.4" x14ac:dyDescent="0.3">
      <c r="A207" s="71">
        <v>197</v>
      </c>
      <c r="B207" s="135">
        <f t="shared" si="12"/>
        <v>1656.611106425695</v>
      </c>
      <c r="C207" s="86">
        <f t="shared" si="13"/>
        <v>846.96741730632311</v>
      </c>
      <c r="D207" s="86">
        <f t="shared" si="14"/>
        <v>809.64368911937186</v>
      </c>
      <c r="E207" s="13">
        <f t="shared" si="15"/>
        <v>192782.90883804022</v>
      </c>
      <c r="G207" s="158">
        <v>197</v>
      </c>
      <c r="H207" s="135">
        <v>1656.611106425695</v>
      </c>
      <c r="I207" s="86">
        <v>846.96741730632323</v>
      </c>
      <c r="J207" s="86">
        <v>809.64368911937174</v>
      </c>
      <c r="K207" s="13">
        <v>192782.90883804028</v>
      </c>
      <c r="L207" s="145"/>
      <c r="M207" s="160">
        <v>192782.90883804028</v>
      </c>
    </row>
    <row r="208" spans="1:13" ht="14.4" x14ac:dyDescent="0.3">
      <c r="A208" s="71">
        <v>198</v>
      </c>
      <c r="B208" s="135">
        <f t="shared" si="12"/>
        <v>1656.611106425695</v>
      </c>
      <c r="C208" s="86">
        <f t="shared" si="13"/>
        <v>843.42522616642589</v>
      </c>
      <c r="D208" s="86">
        <f t="shared" si="14"/>
        <v>813.18588025926908</v>
      </c>
      <c r="E208" s="13">
        <f t="shared" si="15"/>
        <v>191969.72295778096</v>
      </c>
      <c r="G208" s="158">
        <v>198</v>
      </c>
      <c r="H208" s="135">
        <v>1656.611106425695</v>
      </c>
      <c r="I208" s="86">
        <v>843.42522616642589</v>
      </c>
      <c r="J208" s="86">
        <v>813.18588025926908</v>
      </c>
      <c r="K208" s="13">
        <v>191969.72295778102</v>
      </c>
      <c r="L208" s="145"/>
      <c r="M208" s="160">
        <v>191969.72295778102</v>
      </c>
    </row>
    <row r="209" spans="1:13" ht="14.4" x14ac:dyDescent="0.3">
      <c r="A209" s="71">
        <v>199</v>
      </c>
      <c r="B209" s="135">
        <f t="shared" si="12"/>
        <v>1656.611106425695</v>
      </c>
      <c r="C209" s="86">
        <f t="shared" si="13"/>
        <v>839.86753794029164</v>
      </c>
      <c r="D209" s="86">
        <f t="shared" si="14"/>
        <v>816.74356848540333</v>
      </c>
      <c r="E209" s="13">
        <f t="shared" si="15"/>
        <v>191152.97938929556</v>
      </c>
      <c r="G209" s="158">
        <v>199</v>
      </c>
      <c r="H209" s="135">
        <v>1656.611106425695</v>
      </c>
      <c r="I209" s="86">
        <v>839.86753794029153</v>
      </c>
      <c r="J209" s="86">
        <v>816.74356848540344</v>
      </c>
      <c r="K209" s="13">
        <v>191152.97938929562</v>
      </c>
      <c r="L209" s="145"/>
      <c r="M209" s="160">
        <v>191152.97938929562</v>
      </c>
    </row>
    <row r="210" spans="1:13" ht="14.4" x14ac:dyDescent="0.3">
      <c r="A210" s="71">
        <v>200</v>
      </c>
      <c r="B210" s="135">
        <f t="shared" si="12"/>
        <v>1656.611106425695</v>
      </c>
      <c r="C210" s="86">
        <f t="shared" si="13"/>
        <v>836.29428482816797</v>
      </c>
      <c r="D210" s="86">
        <f t="shared" si="14"/>
        <v>820.316821597527</v>
      </c>
      <c r="E210" s="13">
        <f t="shared" si="15"/>
        <v>190332.66256769805</v>
      </c>
      <c r="G210" s="158">
        <v>200</v>
      </c>
      <c r="H210" s="135">
        <v>1656.611106425695</v>
      </c>
      <c r="I210" s="86">
        <v>836.29428482816797</v>
      </c>
      <c r="J210" s="86">
        <v>820.316821597527</v>
      </c>
      <c r="K210" s="13">
        <v>190332.66256769811</v>
      </c>
      <c r="L210" s="145"/>
      <c r="M210" s="160">
        <v>190332.66256769811</v>
      </c>
    </row>
    <row r="211" spans="1:13" ht="14.4" x14ac:dyDescent="0.3">
      <c r="A211" s="71">
        <v>201</v>
      </c>
      <c r="B211" s="135">
        <f t="shared" si="12"/>
        <v>1656.611106425695</v>
      </c>
      <c r="C211" s="86">
        <f t="shared" si="13"/>
        <v>832.70539873367886</v>
      </c>
      <c r="D211" s="86">
        <f t="shared" si="14"/>
        <v>823.90570769201611</v>
      </c>
      <c r="E211" s="13">
        <f t="shared" si="15"/>
        <v>189508.75686000602</v>
      </c>
      <c r="G211" s="158">
        <v>201</v>
      </c>
      <c r="H211" s="135">
        <v>1656.611106425695</v>
      </c>
      <c r="I211" s="86">
        <v>832.70539873367875</v>
      </c>
      <c r="J211" s="86">
        <v>823.90570769201622</v>
      </c>
      <c r="K211" s="13">
        <v>189508.75686000608</v>
      </c>
      <c r="L211" s="145"/>
      <c r="M211" s="160">
        <v>189508.75686000608</v>
      </c>
    </row>
    <row r="212" spans="1:13" ht="14.4" x14ac:dyDescent="0.3">
      <c r="A212" s="71">
        <v>202</v>
      </c>
      <c r="B212" s="135">
        <f t="shared" si="12"/>
        <v>1656.611106425695</v>
      </c>
      <c r="C212" s="86">
        <f t="shared" si="13"/>
        <v>829.10081126252624</v>
      </c>
      <c r="D212" s="86">
        <f t="shared" si="14"/>
        <v>827.51029516316873</v>
      </c>
      <c r="E212" s="13">
        <f t="shared" si="15"/>
        <v>188681.24656484285</v>
      </c>
      <c r="G212" s="158">
        <v>202</v>
      </c>
      <c r="H212" s="135">
        <v>1656.611106425695</v>
      </c>
      <c r="I212" s="86">
        <v>829.10081126252612</v>
      </c>
      <c r="J212" s="86">
        <v>827.51029516316885</v>
      </c>
      <c r="K212" s="13">
        <v>188681.24656484291</v>
      </c>
      <c r="L212" s="145"/>
      <c r="M212" s="160">
        <v>188681.24656484291</v>
      </c>
    </row>
    <row r="213" spans="1:13" ht="14.4" x14ac:dyDescent="0.3">
      <c r="A213" s="71">
        <v>203</v>
      </c>
      <c r="B213" s="135">
        <f t="shared" si="12"/>
        <v>1656.611106425695</v>
      </c>
      <c r="C213" s="86">
        <f t="shared" si="13"/>
        <v>825.48045372118736</v>
      </c>
      <c r="D213" s="86">
        <f t="shared" si="14"/>
        <v>831.13065270450761</v>
      </c>
      <c r="E213" s="13">
        <f t="shared" si="15"/>
        <v>187850.11591213834</v>
      </c>
      <c r="G213" s="158">
        <v>203</v>
      </c>
      <c r="H213" s="135">
        <v>1656.611106425695</v>
      </c>
      <c r="I213" s="86">
        <v>825.48045372118736</v>
      </c>
      <c r="J213" s="86">
        <v>831.13065270450761</v>
      </c>
      <c r="K213" s="13">
        <v>187850.1159121384</v>
      </c>
      <c r="L213" s="145"/>
      <c r="M213" s="160">
        <v>187850.1159121384</v>
      </c>
    </row>
    <row r="214" spans="1:13" ht="14.4" x14ac:dyDescent="0.3">
      <c r="A214" s="71">
        <v>204</v>
      </c>
      <c r="B214" s="135">
        <f t="shared" si="12"/>
        <v>1656.611106425695</v>
      </c>
      <c r="C214" s="86">
        <f t="shared" si="13"/>
        <v>821.84425711560516</v>
      </c>
      <c r="D214" s="86">
        <f t="shared" si="14"/>
        <v>834.76684931008981</v>
      </c>
      <c r="E214" s="13">
        <f t="shared" si="15"/>
        <v>187015.34906282826</v>
      </c>
      <c r="G214" s="158">
        <v>204</v>
      </c>
      <c r="H214" s="135">
        <v>1656.611106425695</v>
      </c>
      <c r="I214" s="86">
        <v>821.84425711560516</v>
      </c>
      <c r="J214" s="86">
        <v>834.76684931008981</v>
      </c>
      <c r="K214" s="13">
        <v>187015.34906282832</v>
      </c>
      <c r="L214" s="145"/>
      <c r="M214" s="160">
        <v>187015.34906282832</v>
      </c>
    </row>
    <row r="215" spans="1:13" ht="14.4" x14ac:dyDescent="0.3">
      <c r="A215" s="71">
        <v>205</v>
      </c>
      <c r="B215" s="135">
        <f t="shared" si="12"/>
        <v>1656.611106425695</v>
      </c>
      <c r="C215" s="86">
        <f t="shared" si="13"/>
        <v>818.19215214987355</v>
      </c>
      <c r="D215" s="86">
        <f t="shared" si="14"/>
        <v>838.41895427582142</v>
      </c>
      <c r="E215" s="13">
        <f t="shared" si="15"/>
        <v>186176.93010855245</v>
      </c>
      <c r="G215" s="158">
        <v>205</v>
      </c>
      <c r="H215" s="135">
        <v>1656.611106425695</v>
      </c>
      <c r="I215" s="86">
        <v>818.19215214987355</v>
      </c>
      <c r="J215" s="86">
        <v>838.41895427582142</v>
      </c>
      <c r="K215" s="13">
        <v>186176.93010855251</v>
      </c>
      <c r="L215" s="145"/>
      <c r="M215" s="160">
        <v>186176.93010855251</v>
      </c>
    </row>
    <row r="216" spans="1:13" ht="14.4" x14ac:dyDescent="0.3">
      <c r="A216" s="71">
        <v>206</v>
      </c>
      <c r="B216" s="135">
        <f t="shared" si="12"/>
        <v>1656.611106425695</v>
      </c>
      <c r="C216" s="86">
        <f t="shared" si="13"/>
        <v>814.52406922491684</v>
      </c>
      <c r="D216" s="86">
        <f t="shared" si="14"/>
        <v>842.08703720077813</v>
      </c>
      <c r="E216" s="13">
        <f t="shared" si="15"/>
        <v>185334.84307135167</v>
      </c>
      <c r="G216" s="158">
        <v>206</v>
      </c>
      <c r="H216" s="135">
        <v>1656.611106425695</v>
      </c>
      <c r="I216" s="86">
        <v>814.52406922491673</v>
      </c>
      <c r="J216" s="86">
        <v>842.08703720077824</v>
      </c>
      <c r="K216" s="13">
        <v>185334.84307135173</v>
      </c>
      <c r="L216" s="145"/>
      <c r="M216" s="160">
        <v>185334.84307135173</v>
      </c>
    </row>
    <row r="217" spans="1:13" ht="14.4" x14ac:dyDescent="0.3">
      <c r="A217" s="71">
        <v>207</v>
      </c>
      <c r="B217" s="135">
        <f t="shared" si="12"/>
        <v>1656.611106425695</v>
      </c>
      <c r="C217" s="86">
        <f t="shared" si="13"/>
        <v>810.83993843716348</v>
      </c>
      <c r="D217" s="86">
        <f t="shared" si="14"/>
        <v>845.77116798853149</v>
      </c>
      <c r="E217" s="13">
        <f t="shared" si="15"/>
        <v>184489.07190336313</v>
      </c>
      <c r="G217" s="158">
        <v>207</v>
      </c>
      <c r="H217" s="135">
        <v>1656.611106425695</v>
      </c>
      <c r="I217" s="86">
        <v>810.83993843716337</v>
      </c>
      <c r="J217" s="86">
        <v>845.7711679885316</v>
      </c>
      <c r="K217" s="13">
        <v>184489.07190336319</v>
      </c>
      <c r="L217" s="145"/>
      <c r="M217" s="160">
        <v>184489.07190336319</v>
      </c>
    </row>
    <row r="218" spans="1:13" ht="14.4" x14ac:dyDescent="0.3">
      <c r="A218" s="71">
        <v>208</v>
      </c>
      <c r="B218" s="135">
        <f t="shared" si="12"/>
        <v>1656.611106425695</v>
      </c>
      <c r="C218" s="86">
        <f t="shared" si="13"/>
        <v>807.13968957721363</v>
      </c>
      <c r="D218" s="86">
        <f t="shared" si="14"/>
        <v>849.47141684848134</v>
      </c>
      <c r="E218" s="13">
        <f t="shared" si="15"/>
        <v>183639.60048651465</v>
      </c>
      <c r="G218" s="158">
        <v>208</v>
      </c>
      <c r="H218" s="135">
        <v>1656.611106425695</v>
      </c>
      <c r="I218" s="86">
        <v>807.13968957721352</v>
      </c>
      <c r="J218" s="86">
        <v>849.47141684848145</v>
      </c>
      <c r="K218" s="13">
        <v>183639.60048651471</v>
      </c>
      <c r="L218" s="145"/>
      <c r="M218" s="160">
        <v>183639.60048651471</v>
      </c>
    </row>
    <row r="219" spans="1:13" ht="14.4" x14ac:dyDescent="0.3">
      <c r="A219" s="71">
        <v>209</v>
      </c>
      <c r="B219" s="135">
        <f t="shared" si="12"/>
        <v>1656.611106425695</v>
      </c>
      <c r="C219" s="86">
        <f t="shared" si="13"/>
        <v>803.42325212850153</v>
      </c>
      <c r="D219" s="86">
        <f t="shared" si="14"/>
        <v>853.18785429719344</v>
      </c>
      <c r="E219" s="13">
        <f t="shared" si="15"/>
        <v>182786.41263221746</v>
      </c>
      <c r="G219" s="158">
        <v>209</v>
      </c>
      <c r="H219" s="135">
        <v>1656.611106425695</v>
      </c>
      <c r="I219" s="86">
        <v>803.42325212850142</v>
      </c>
      <c r="J219" s="86">
        <v>853.18785429719355</v>
      </c>
      <c r="K219" s="13">
        <v>182786.41263221751</v>
      </c>
      <c r="L219" s="145"/>
      <c r="M219" s="160">
        <v>182786.41263221751</v>
      </c>
    </row>
    <row r="220" spans="1:13" ht="14.4" x14ac:dyDescent="0.3">
      <c r="A220" s="71">
        <v>210</v>
      </c>
      <c r="B220" s="135">
        <f t="shared" si="12"/>
        <v>1656.611106425695</v>
      </c>
      <c r="C220" s="86">
        <f t="shared" si="13"/>
        <v>799.69055526595128</v>
      </c>
      <c r="D220" s="86">
        <f t="shared" si="14"/>
        <v>856.9205511597437</v>
      </c>
      <c r="E220" s="13">
        <f t="shared" si="15"/>
        <v>181929.49208105772</v>
      </c>
      <c r="G220" s="158">
        <v>210</v>
      </c>
      <c r="H220" s="135">
        <v>1656.611106425695</v>
      </c>
      <c r="I220" s="86">
        <v>799.69055526595128</v>
      </c>
      <c r="J220" s="86">
        <v>856.9205511597437</v>
      </c>
      <c r="K220" s="13">
        <v>181929.49208105778</v>
      </c>
      <c r="L220" s="145"/>
      <c r="M220" s="160">
        <v>181929.49208105778</v>
      </c>
    </row>
    <row r="221" spans="1:13" ht="14.4" x14ac:dyDescent="0.3">
      <c r="A221" s="71">
        <v>211</v>
      </c>
      <c r="B221" s="135">
        <f t="shared" si="12"/>
        <v>1656.611106425695</v>
      </c>
      <c r="C221" s="86">
        <f t="shared" si="13"/>
        <v>795.94152785462745</v>
      </c>
      <c r="D221" s="86">
        <f t="shared" si="14"/>
        <v>860.66957857106752</v>
      </c>
      <c r="E221" s="13">
        <f t="shared" si="15"/>
        <v>181068.82250248664</v>
      </c>
      <c r="G221" s="158">
        <v>211</v>
      </c>
      <c r="H221" s="135">
        <v>1656.611106425695</v>
      </c>
      <c r="I221" s="86">
        <v>795.94152785462745</v>
      </c>
      <c r="J221" s="86">
        <v>860.66957857106752</v>
      </c>
      <c r="K221" s="13">
        <v>181068.8225024867</v>
      </c>
      <c r="L221" s="145"/>
      <c r="M221" s="160">
        <v>181068.8225024867</v>
      </c>
    </row>
    <row r="222" spans="1:13" ht="14.4" x14ac:dyDescent="0.3">
      <c r="A222" s="71">
        <v>212</v>
      </c>
      <c r="B222" s="135">
        <f t="shared" si="12"/>
        <v>1656.611106425695</v>
      </c>
      <c r="C222" s="86">
        <f t="shared" si="13"/>
        <v>792.17609844837898</v>
      </c>
      <c r="D222" s="86">
        <f t="shared" si="14"/>
        <v>864.43500797731599</v>
      </c>
      <c r="E222" s="13">
        <f t="shared" si="15"/>
        <v>180204.38749450931</v>
      </c>
      <c r="G222" s="158">
        <v>212</v>
      </c>
      <c r="H222" s="135">
        <v>1656.611106425695</v>
      </c>
      <c r="I222" s="86">
        <v>792.17609844837909</v>
      </c>
      <c r="J222" s="86">
        <v>864.43500797731588</v>
      </c>
      <c r="K222" s="13">
        <v>180204.38749450937</v>
      </c>
      <c r="L222" s="145"/>
      <c r="M222" s="160">
        <v>180204.38749450937</v>
      </c>
    </row>
    <row r="223" spans="1:13" ht="14.4" x14ac:dyDescent="0.3">
      <c r="A223" s="71">
        <v>213</v>
      </c>
      <c r="B223" s="135">
        <f t="shared" si="12"/>
        <v>1656.611106425695</v>
      </c>
      <c r="C223" s="86">
        <f t="shared" si="13"/>
        <v>788.39419528847816</v>
      </c>
      <c r="D223" s="86">
        <f t="shared" si="14"/>
        <v>868.21691113721681</v>
      </c>
      <c r="E223" s="13">
        <f t="shared" si="15"/>
        <v>179336.17058337209</v>
      </c>
      <c r="G223" s="158">
        <v>213</v>
      </c>
      <c r="H223" s="135">
        <v>1656.611106425695</v>
      </c>
      <c r="I223" s="86">
        <v>788.39419528847816</v>
      </c>
      <c r="J223" s="86">
        <v>868.21691113721681</v>
      </c>
      <c r="K223" s="13">
        <v>179336.17058337215</v>
      </c>
      <c r="L223" s="145"/>
      <c r="M223" s="160">
        <v>179336.17058337215</v>
      </c>
    </row>
    <row r="224" spans="1:13" ht="14.4" x14ac:dyDescent="0.3">
      <c r="A224" s="71">
        <v>214</v>
      </c>
      <c r="B224" s="135">
        <f t="shared" si="12"/>
        <v>1656.611106425695</v>
      </c>
      <c r="C224" s="86">
        <f t="shared" si="13"/>
        <v>784.59574630225279</v>
      </c>
      <c r="D224" s="86">
        <f t="shared" si="14"/>
        <v>872.01536012344218</v>
      </c>
      <c r="E224" s="13">
        <f t="shared" si="15"/>
        <v>178464.15522324864</v>
      </c>
      <c r="G224" s="158">
        <v>214</v>
      </c>
      <c r="H224" s="135">
        <v>1656.611106425695</v>
      </c>
      <c r="I224" s="86">
        <v>784.59574630225279</v>
      </c>
      <c r="J224" s="86">
        <v>872.01536012344218</v>
      </c>
      <c r="K224" s="13">
        <v>178464.1552232487</v>
      </c>
      <c r="L224" s="145"/>
      <c r="M224" s="160">
        <v>178464.1552232487</v>
      </c>
    </row>
    <row r="225" spans="1:13" ht="14.4" x14ac:dyDescent="0.3">
      <c r="A225" s="71">
        <v>215</v>
      </c>
      <c r="B225" s="135">
        <f t="shared" si="12"/>
        <v>1656.611106425695</v>
      </c>
      <c r="C225" s="86">
        <f t="shared" si="13"/>
        <v>780.78067910171274</v>
      </c>
      <c r="D225" s="86">
        <f t="shared" si="14"/>
        <v>875.83042732398224</v>
      </c>
      <c r="E225" s="13">
        <f t="shared" si="15"/>
        <v>177588.32479592465</v>
      </c>
      <c r="G225" s="158">
        <v>215</v>
      </c>
      <c r="H225" s="135">
        <v>1656.611106425695</v>
      </c>
      <c r="I225" s="86">
        <v>780.78067910171274</v>
      </c>
      <c r="J225" s="86">
        <v>875.83042732398224</v>
      </c>
      <c r="K225" s="13">
        <v>177588.32479592471</v>
      </c>
      <c r="L225" s="145"/>
      <c r="M225" s="160">
        <v>177588.32479592471</v>
      </c>
    </row>
    <row r="226" spans="1:13" ht="14.4" x14ac:dyDescent="0.3">
      <c r="A226" s="71">
        <v>216</v>
      </c>
      <c r="B226" s="135">
        <f t="shared" si="12"/>
        <v>1656.611106425695</v>
      </c>
      <c r="C226" s="86">
        <f t="shared" si="13"/>
        <v>776.94892098217031</v>
      </c>
      <c r="D226" s="86">
        <f t="shared" si="14"/>
        <v>879.66218544352466</v>
      </c>
      <c r="E226" s="13">
        <f t="shared" si="15"/>
        <v>176708.66261048111</v>
      </c>
      <c r="G226" s="158">
        <v>216</v>
      </c>
      <c r="H226" s="135">
        <v>1656.611106425695</v>
      </c>
      <c r="I226" s="86">
        <v>776.94892098217042</v>
      </c>
      <c r="J226" s="86">
        <v>879.66218544352455</v>
      </c>
      <c r="K226" s="13">
        <v>176708.66261048117</v>
      </c>
      <c r="L226" s="145"/>
      <c r="M226" s="160">
        <v>176708.66261048117</v>
      </c>
    </row>
    <row r="227" spans="1:13" ht="14.4" x14ac:dyDescent="0.3">
      <c r="A227" s="71">
        <v>217</v>
      </c>
      <c r="B227" s="135">
        <f t="shared" si="12"/>
        <v>1656.611106425695</v>
      </c>
      <c r="C227" s="86">
        <f t="shared" si="13"/>
        <v>773.10039892085479</v>
      </c>
      <c r="D227" s="86">
        <f t="shared" si="14"/>
        <v>883.51070750484018</v>
      </c>
      <c r="E227" s="13">
        <f t="shared" si="15"/>
        <v>175825.15190297627</v>
      </c>
      <c r="G227" s="158">
        <v>217</v>
      </c>
      <c r="H227" s="135">
        <v>1656.611106425695</v>
      </c>
      <c r="I227" s="86">
        <v>773.1003989208549</v>
      </c>
      <c r="J227" s="86">
        <v>883.51070750484007</v>
      </c>
      <c r="K227" s="13">
        <v>175825.15190297633</v>
      </c>
      <c r="L227" s="145"/>
      <c r="M227" s="160">
        <v>175825.15190297633</v>
      </c>
    </row>
    <row r="228" spans="1:13" ht="14.4" x14ac:dyDescent="0.3">
      <c r="A228" s="71">
        <v>218</v>
      </c>
      <c r="B228" s="135">
        <f t="shared" si="12"/>
        <v>1656.611106425695</v>
      </c>
      <c r="C228" s="86">
        <f t="shared" si="13"/>
        <v>769.23503957552111</v>
      </c>
      <c r="D228" s="86">
        <f t="shared" si="14"/>
        <v>887.37606685017386</v>
      </c>
      <c r="E228" s="13">
        <f t="shared" si="15"/>
        <v>174937.77583612609</v>
      </c>
      <c r="G228" s="158">
        <v>218</v>
      </c>
      <c r="H228" s="135">
        <v>1656.611106425695</v>
      </c>
      <c r="I228" s="86">
        <v>769.23503957552123</v>
      </c>
      <c r="J228" s="86">
        <v>887.37606685017374</v>
      </c>
      <c r="K228" s="13">
        <v>174937.77583612615</v>
      </c>
      <c r="L228" s="145"/>
      <c r="M228" s="160">
        <v>174937.77583612615</v>
      </c>
    </row>
    <row r="229" spans="1:13" ht="14.4" x14ac:dyDescent="0.3">
      <c r="A229" s="71">
        <v>219</v>
      </c>
      <c r="B229" s="135">
        <f t="shared" si="12"/>
        <v>1656.611106425695</v>
      </c>
      <c r="C229" s="86">
        <f t="shared" si="13"/>
        <v>765.35276928305154</v>
      </c>
      <c r="D229" s="86">
        <f t="shared" si="14"/>
        <v>891.25833714264343</v>
      </c>
      <c r="E229" s="13">
        <f t="shared" si="15"/>
        <v>174046.51749898345</v>
      </c>
      <c r="G229" s="158">
        <v>219</v>
      </c>
      <c r="H229" s="135">
        <v>1656.611106425695</v>
      </c>
      <c r="I229" s="86">
        <v>765.35276928305188</v>
      </c>
      <c r="J229" s="86">
        <v>891.25833714264309</v>
      </c>
      <c r="K229" s="13">
        <v>174046.51749898351</v>
      </c>
      <c r="L229" s="145"/>
      <c r="M229" s="160">
        <v>174046.51749898351</v>
      </c>
    </row>
    <row r="230" spans="1:13" ht="14.4" x14ac:dyDescent="0.3">
      <c r="A230" s="71">
        <v>220</v>
      </c>
      <c r="B230" s="135">
        <f t="shared" si="12"/>
        <v>1656.611106425695</v>
      </c>
      <c r="C230" s="86">
        <f t="shared" si="13"/>
        <v>761.45351405805252</v>
      </c>
      <c r="D230" s="86">
        <f t="shared" si="14"/>
        <v>895.15759236764245</v>
      </c>
      <c r="E230" s="13">
        <f t="shared" si="15"/>
        <v>173151.35990661581</v>
      </c>
      <c r="G230" s="158">
        <v>220</v>
      </c>
      <c r="H230" s="135">
        <v>1656.611106425695</v>
      </c>
      <c r="I230" s="86">
        <v>761.45351405805275</v>
      </c>
      <c r="J230" s="86">
        <v>895.15759236764222</v>
      </c>
      <c r="K230" s="13">
        <v>173151.35990661586</v>
      </c>
      <c r="L230" s="145"/>
      <c r="M230" s="160">
        <v>173151.35990661586</v>
      </c>
    </row>
    <row r="231" spans="1:13" ht="14.4" x14ac:dyDescent="0.3">
      <c r="A231" s="71">
        <v>221</v>
      </c>
      <c r="B231" s="135">
        <f t="shared" si="12"/>
        <v>1656.611106425695</v>
      </c>
      <c r="C231" s="86">
        <f t="shared" si="13"/>
        <v>757.53719959144405</v>
      </c>
      <c r="D231" s="86">
        <f t="shared" si="14"/>
        <v>899.07390683425092</v>
      </c>
      <c r="E231" s="13">
        <f t="shared" si="15"/>
        <v>172252.28599978157</v>
      </c>
      <c r="G231" s="158">
        <v>221</v>
      </c>
      <c r="H231" s="135">
        <v>1656.611106425695</v>
      </c>
      <c r="I231" s="86">
        <v>757.53719959144416</v>
      </c>
      <c r="J231" s="86">
        <v>899.07390683425081</v>
      </c>
      <c r="K231" s="13">
        <v>172252.28599978163</v>
      </c>
      <c r="L231" s="145"/>
      <c r="M231" s="160">
        <v>172252.28599978163</v>
      </c>
    </row>
    <row r="232" spans="1:13" ht="14.4" x14ac:dyDescent="0.3">
      <c r="A232" s="71">
        <v>222</v>
      </c>
      <c r="B232" s="135">
        <f t="shared" si="12"/>
        <v>1656.611106425695</v>
      </c>
      <c r="C232" s="86">
        <f t="shared" si="13"/>
        <v>753.60375124904431</v>
      </c>
      <c r="D232" s="86">
        <f t="shared" si="14"/>
        <v>903.00735517665066</v>
      </c>
      <c r="E232" s="13">
        <f t="shared" si="15"/>
        <v>171349.27864460493</v>
      </c>
      <c r="G232" s="158">
        <v>222</v>
      </c>
      <c r="H232" s="135">
        <v>1656.611106425695</v>
      </c>
      <c r="I232" s="86">
        <v>753.60375124904431</v>
      </c>
      <c r="J232" s="86">
        <v>903.00735517665066</v>
      </c>
      <c r="K232" s="13">
        <v>171349.27864460499</v>
      </c>
      <c r="L232" s="145"/>
      <c r="M232" s="160">
        <v>171349.27864460499</v>
      </c>
    </row>
    <row r="233" spans="1:13" ht="14.4" x14ac:dyDescent="0.3">
      <c r="A233" s="71">
        <v>223</v>
      </c>
      <c r="B233" s="135">
        <f t="shared" si="12"/>
        <v>1656.611106425695</v>
      </c>
      <c r="C233" s="86">
        <f t="shared" si="13"/>
        <v>749.65309407014649</v>
      </c>
      <c r="D233" s="86">
        <f t="shared" si="14"/>
        <v>906.95801235554848</v>
      </c>
      <c r="E233" s="13">
        <f t="shared" si="15"/>
        <v>170442.32063224938</v>
      </c>
      <c r="G233" s="158">
        <v>223</v>
      </c>
      <c r="H233" s="135">
        <v>1656.611106425695</v>
      </c>
      <c r="I233" s="86">
        <v>749.65309407014661</v>
      </c>
      <c r="J233" s="86">
        <v>906.95801235554836</v>
      </c>
      <c r="K233" s="13">
        <v>170442.32063224944</v>
      </c>
      <c r="L233" s="145"/>
      <c r="M233" s="160">
        <v>170442.32063224944</v>
      </c>
    </row>
    <row r="234" spans="1:13" ht="14.4" x14ac:dyDescent="0.3">
      <c r="A234" s="71">
        <v>224</v>
      </c>
      <c r="B234" s="135">
        <f t="shared" si="12"/>
        <v>1656.611106425695</v>
      </c>
      <c r="C234" s="86">
        <f t="shared" si="13"/>
        <v>745.68515276609094</v>
      </c>
      <c r="D234" s="86">
        <f t="shared" si="14"/>
        <v>910.92595365960403</v>
      </c>
      <c r="E234" s="13">
        <f t="shared" si="15"/>
        <v>169531.39467858977</v>
      </c>
      <c r="G234" s="158">
        <v>224</v>
      </c>
      <c r="H234" s="135">
        <v>1656.611106425695</v>
      </c>
      <c r="I234" s="86">
        <v>745.68515276609082</v>
      </c>
      <c r="J234" s="86">
        <v>910.92595365960415</v>
      </c>
      <c r="K234" s="13">
        <v>169531.39467858983</v>
      </c>
      <c r="L234" s="145"/>
      <c r="M234" s="160">
        <v>169531.39467858983</v>
      </c>
    </row>
    <row r="235" spans="1:13" ht="14.4" x14ac:dyDescent="0.3">
      <c r="A235" s="71">
        <v>225</v>
      </c>
      <c r="B235" s="135">
        <f t="shared" si="12"/>
        <v>1656.611106425695</v>
      </c>
      <c r="C235" s="86">
        <f t="shared" si="13"/>
        <v>741.69985171883013</v>
      </c>
      <c r="D235" s="86">
        <f t="shared" si="14"/>
        <v>914.91125470686484</v>
      </c>
      <c r="E235" s="13">
        <f t="shared" si="15"/>
        <v>168616.48342388292</v>
      </c>
      <c r="G235" s="158">
        <v>225</v>
      </c>
      <c r="H235" s="135">
        <v>1656.611106425695</v>
      </c>
      <c r="I235" s="86">
        <v>741.69985171883013</v>
      </c>
      <c r="J235" s="86">
        <v>914.91125470686484</v>
      </c>
      <c r="K235" s="13">
        <v>168616.48342388298</v>
      </c>
      <c r="L235" s="145"/>
      <c r="M235" s="160">
        <v>168616.48342388298</v>
      </c>
    </row>
    <row r="236" spans="1:13" ht="14.4" x14ac:dyDescent="0.3">
      <c r="A236" s="71">
        <v>226</v>
      </c>
      <c r="B236" s="135">
        <f t="shared" si="12"/>
        <v>1656.611106425695</v>
      </c>
      <c r="C236" s="86">
        <f t="shared" si="13"/>
        <v>737.69711497948765</v>
      </c>
      <c r="D236" s="86">
        <f t="shared" si="14"/>
        <v>918.91399144620732</v>
      </c>
      <c r="E236" s="13">
        <f t="shared" si="15"/>
        <v>167697.56943243672</v>
      </c>
      <c r="G236" s="158">
        <v>226</v>
      </c>
      <c r="H236" s="135">
        <v>1656.611106425695</v>
      </c>
      <c r="I236" s="86">
        <v>737.69711497948765</v>
      </c>
      <c r="J236" s="86">
        <v>918.91399144620732</v>
      </c>
      <c r="K236" s="13">
        <v>167697.56943243678</v>
      </c>
      <c r="L236" s="145"/>
      <c r="M236" s="160">
        <v>167697.56943243678</v>
      </c>
    </row>
    <row r="237" spans="1:13" ht="14.4" x14ac:dyDescent="0.3">
      <c r="A237" s="71">
        <v>227</v>
      </c>
      <c r="B237" s="135">
        <f t="shared" si="12"/>
        <v>1656.611106425695</v>
      </c>
      <c r="C237" s="86">
        <f t="shared" si="13"/>
        <v>733.67686626691057</v>
      </c>
      <c r="D237" s="86">
        <f t="shared" si="14"/>
        <v>922.93424015878441</v>
      </c>
      <c r="E237" s="13">
        <f t="shared" si="15"/>
        <v>166774.63519227793</v>
      </c>
      <c r="G237" s="158">
        <v>227</v>
      </c>
      <c r="H237" s="135">
        <v>1656.611106425695</v>
      </c>
      <c r="I237" s="86">
        <v>733.67686626691057</v>
      </c>
      <c r="J237" s="86">
        <v>922.93424015878441</v>
      </c>
      <c r="K237" s="13">
        <v>166774.63519227799</v>
      </c>
      <c r="L237" s="145"/>
      <c r="M237" s="160">
        <v>166774.63519227799</v>
      </c>
    </row>
    <row r="238" spans="1:13" ht="14.4" x14ac:dyDescent="0.3">
      <c r="A238" s="71">
        <v>228</v>
      </c>
      <c r="B238" s="135">
        <f t="shared" si="12"/>
        <v>1656.611106425695</v>
      </c>
      <c r="C238" s="86">
        <f t="shared" si="13"/>
        <v>729.63902896621585</v>
      </c>
      <c r="D238" s="86">
        <f t="shared" si="14"/>
        <v>926.97207745947912</v>
      </c>
      <c r="E238" s="13">
        <f t="shared" si="15"/>
        <v>165847.66311481845</v>
      </c>
      <c r="G238" s="158">
        <v>228</v>
      </c>
      <c r="H238" s="135">
        <v>1656.611106425695</v>
      </c>
      <c r="I238" s="86">
        <v>729.63902896621585</v>
      </c>
      <c r="J238" s="86">
        <v>926.97207745947912</v>
      </c>
      <c r="K238" s="13">
        <v>165847.66311481851</v>
      </c>
      <c r="L238" s="145"/>
      <c r="M238" s="160">
        <v>165847.66311481851</v>
      </c>
    </row>
    <row r="239" spans="1:13" ht="14.4" x14ac:dyDescent="0.3">
      <c r="A239" s="71">
        <v>229</v>
      </c>
      <c r="B239" s="135">
        <f t="shared" si="12"/>
        <v>1656.611106425695</v>
      </c>
      <c r="C239" s="86">
        <f t="shared" si="13"/>
        <v>725.58352612733063</v>
      </c>
      <c r="D239" s="86">
        <f t="shared" si="14"/>
        <v>931.02758029836434</v>
      </c>
      <c r="E239" s="13">
        <f t="shared" si="15"/>
        <v>164916.63553452009</v>
      </c>
      <c r="G239" s="158">
        <v>229</v>
      </c>
      <c r="H239" s="135">
        <v>1656.611106425695</v>
      </c>
      <c r="I239" s="86">
        <v>725.58352612733052</v>
      </c>
      <c r="J239" s="86">
        <v>931.02758029836446</v>
      </c>
      <c r="K239" s="13">
        <v>164916.63553452014</v>
      </c>
      <c r="L239" s="145"/>
      <c r="M239" s="160">
        <v>164916.63553452014</v>
      </c>
    </row>
    <row r="240" spans="1:13" ht="14.4" x14ac:dyDescent="0.3">
      <c r="A240" s="71">
        <v>230</v>
      </c>
      <c r="B240" s="135">
        <f t="shared" si="12"/>
        <v>1656.611106425695</v>
      </c>
      <c r="C240" s="86">
        <f t="shared" si="13"/>
        <v>721.51028046352531</v>
      </c>
      <c r="D240" s="86">
        <f t="shared" si="14"/>
        <v>935.10082596216967</v>
      </c>
      <c r="E240" s="13">
        <f t="shared" si="15"/>
        <v>163981.53470855791</v>
      </c>
      <c r="G240" s="158">
        <v>230</v>
      </c>
      <c r="H240" s="135">
        <v>1656.611106425695</v>
      </c>
      <c r="I240" s="86">
        <v>721.51028046352531</v>
      </c>
      <c r="J240" s="86">
        <v>935.10082596216967</v>
      </c>
      <c r="K240" s="13">
        <v>163981.53470855797</v>
      </c>
      <c r="L240" s="145"/>
      <c r="M240" s="160">
        <v>163981.53470855797</v>
      </c>
    </row>
    <row r="241" spans="1:13" ht="14.4" x14ac:dyDescent="0.3">
      <c r="A241" s="71">
        <v>231</v>
      </c>
      <c r="B241" s="135">
        <f t="shared" si="12"/>
        <v>1656.611106425695</v>
      </c>
      <c r="C241" s="86">
        <f t="shared" si="13"/>
        <v>717.41921434994083</v>
      </c>
      <c r="D241" s="86">
        <f t="shared" si="14"/>
        <v>939.19189207575414</v>
      </c>
      <c r="E241" s="13">
        <f t="shared" si="15"/>
        <v>163042.34281648215</v>
      </c>
      <c r="G241" s="158">
        <v>231</v>
      </c>
      <c r="H241" s="135">
        <v>1656.611106425695</v>
      </c>
      <c r="I241" s="86">
        <v>717.41921434994083</v>
      </c>
      <c r="J241" s="86">
        <v>939.19189207575414</v>
      </c>
      <c r="K241" s="13">
        <v>163042.34281648221</v>
      </c>
      <c r="L241" s="145"/>
      <c r="M241" s="160">
        <v>163042.34281648221</v>
      </c>
    </row>
    <row r="242" spans="1:13" ht="14.4" x14ac:dyDescent="0.3">
      <c r="A242" s="71">
        <v>232</v>
      </c>
      <c r="B242" s="135">
        <f t="shared" si="12"/>
        <v>1656.611106425695</v>
      </c>
      <c r="C242" s="86">
        <f t="shared" si="13"/>
        <v>713.31024982210931</v>
      </c>
      <c r="D242" s="86">
        <f t="shared" si="14"/>
        <v>943.30085660358566</v>
      </c>
      <c r="E242" s="13">
        <f t="shared" si="15"/>
        <v>162099.04195987858</v>
      </c>
      <c r="G242" s="158">
        <v>232</v>
      </c>
      <c r="H242" s="135">
        <v>1656.611106425695</v>
      </c>
      <c r="I242" s="86">
        <v>713.31024982210943</v>
      </c>
      <c r="J242" s="86">
        <v>943.30085660358554</v>
      </c>
      <c r="K242" s="13">
        <v>162099.04195987864</v>
      </c>
      <c r="L242" s="145"/>
      <c r="M242" s="160">
        <v>162099.04195987864</v>
      </c>
    </row>
    <row r="243" spans="1:13" ht="14.4" x14ac:dyDescent="0.3">
      <c r="A243" s="71">
        <v>233</v>
      </c>
      <c r="B243" s="135">
        <f t="shared" si="12"/>
        <v>1656.611106425695</v>
      </c>
      <c r="C243" s="86">
        <f t="shared" si="13"/>
        <v>709.1833085744687</v>
      </c>
      <c r="D243" s="86">
        <f t="shared" si="14"/>
        <v>947.42779785122627</v>
      </c>
      <c r="E243" s="13">
        <f t="shared" si="15"/>
        <v>161151.61416202734</v>
      </c>
      <c r="G243" s="158">
        <v>233</v>
      </c>
      <c r="H243" s="135">
        <v>1656.611106425695</v>
      </c>
      <c r="I243" s="86">
        <v>709.18330857446858</v>
      </c>
      <c r="J243" s="86">
        <v>947.42779785122639</v>
      </c>
      <c r="K243" s="13">
        <v>161151.6141620274</v>
      </c>
      <c r="L243" s="145"/>
      <c r="M243" s="160">
        <v>161151.6141620274</v>
      </c>
    </row>
    <row r="244" spans="1:13" ht="14.4" x14ac:dyDescent="0.3">
      <c r="A244" s="71">
        <v>234</v>
      </c>
      <c r="B244" s="135">
        <f t="shared" si="12"/>
        <v>1656.611106425695</v>
      </c>
      <c r="C244" s="86">
        <f t="shared" si="13"/>
        <v>705.0383119588696</v>
      </c>
      <c r="D244" s="86">
        <f t="shared" si="14"/>
        <v>951.57279446682537</v>
      </c>
      <c r="E244" s="13">
        <f t="shared" si="15"/>
        <v>160200.04136756051</v>
      </c>
      <c r="G244" s="158">
        <v>234</v>
      </c>
      <c r="H244" s="135">
        <v>1656.611106425695</v>
      </c>
      <c r="I244" s="86">
        <v>705.03831195886971</v>
      </c>
      <c r="J244" s="86">
        <v>951.57279446682526</v>
      </c>
      <c r="K244" s="13">
        <v>160200.04136756057</v>
      </c>
      <c r="L244" s="145"/>
      <c r="M244" s="160">
        <v>160200.04136756057</v>
      </c>
    </row>
    <row r="245" spans="1:13" ht="14.4" x14ac:dyDescent="0.3">
      <c r="A245" s="71">
        <v>235</v>
      </c>
      <c r="B245" s="135">
        <f t="shared" si="12"/>
        <v>1656.611106425695</v>
      </c>
      <c r="C245" s="86">
        <f t="shared" si="13"/>
        <v>700.87518098307714</v>
      </c>
      <c r="D245" s="86">
        <f t="shared" si="14"/>
        <v>955.73592544261783</v>
      </c>
      <c r="E245" s="13">
        <f t="shared" si="15"/>
        <v>159244.30544211788</v>
      </c>
      <c r="G245" s="158">
        <v>235</v>
      </c>
      <c r="H245" s="135">
        <v>1656.611106425695</v>
      </c>
      <c r="I245" s="86">
        <v>700.87518098307737</v>
      </c>
      <c r="J245" s="86">
        <v>955.7359254426176</v>
      </c>
      <c r="K245" s="13">
        <v>159244.30544211794</v>
      </c>
      <c r="L245" s="145"/>
      <c r="M245" s="160">
        <v>159244.30544211794</v>
      </c>
    </row>
    <row r="246" spans="1:13" ht="14.4" x14ac:dyDescent="0.3">
      <c r="A246" s="71">
        <v>236</v>
      </c>
      <c r="B246" s="135">
        <f t="shared" si="12"/>
        <v>1656.611106425695</v>
      </c>
      <c r="C246" s="86">
        <f t="shared" si="13"/>
        <v>696.69383630926563</v>
      </c>
      <c r="D246" s="86">
        <f t="shared" si="14"/>
        <v>959.91727011642934</v>
      </c>
      <c r="E246" s="13">
        <f t="shared" si="15"/>
        <v>158284.38817200146</v>
      </c>
      <c r="G246" s="158">
        <v>236</v>
      </c>
      <c r="H246" s="135">
        <v>1656.611106425695</v>
      </c>
      <c r="I246" s="86">
        <v>696.69383630926586</v>
      </c>
      <c r="J246" s="86">
        <v>959.91727011642911</v>
      </c>
      <c r="K246" s="13">
        <v>158284.38817200152</v>
      </c>
      <c r="L246" s="145"/>
      <c r="M246" s="160">
        <v>158284.38817200152</v>
      </c>
    </row>
    <row r="247" spans="1:13" ht="14.4" x14ac:dyDescent="0.3">
      <c r="A247" s="71">
        <v>237</v>
      </c>
      <c r="B247" s="135">
        <f t="shared" si="12"/>
        <v>1656.611106425695</v>
      </c>
      <c r="C247" s="86">
        <f t="shared" si="13"/>
        <v>692.49419825250629</v>
      </c>
      <c r="D247" s="86">
        <f t="shared" si="14"/>
        <v>964.11690817318868</v>
      </c>
      <c r="E247" s="13">
        <f t="shared" si="15"/>
        <v>157320.27126382827</v>
      </c>
      <c r="G247" s="158">
        <v>237</v>
      </c>
      <c r="H247" s="135">
        <v>1656.611106425695</v>
      </c>
      <c r="I247" s="86">
        <v>692.49419825250629</v>
      </c>
      <c r="J247" s="86">
        <v>964.11690817318868</v>
      </c>
      <c r="K247" s="13">
        <v>157320.27126382833</v>
      </c>
      <c r="L247" s="145"/>
      <c r="M247" s="160">
        <v>157320.27126382833</v>
      </c>
    </row>
    <row r="248" spans="1:13" ht="14.4" x14ac:dyDescent="0.3">
      <c r="A248" s="71">
        <v>238</v>
      </c>
      <c r="B248" s="135">
        <f t="shared" si="12"/>
        <v>1656.611106425695</v>
      </c>
      <c r="C248" s="86">
        <f t="shared" si="13"/>
        <v>688.27618677924863</v>
      </c>
      <c r="D248" s="86">
        <f t="shared" si="14"/>
        <v>968.33491964644634</v>
      </c>
      <c r="E248" s="13">
        <f t="shared" si="15"/>
        <v>156351.93634418183</v>
      </c>
      <c r="G248" s="158">
        <v>238</v>
      </c>
      <c r="H248" s="135">
        <v>1656.611106425695</v>
      </c>
      <c r="I248" s="86">
        <v>688.27618677924863</v>
      </c>
      <c r="J248" s="86">
        <v>968.33491964644634</v>
      </c>
      <c r="K248" s="13">
        <v>156351.93634418189</v>
      </c>
      <c r="L248" s="145"/>
      <c r="M248" s="160">
        <v>156351.93634418189</v>
      </c>
    </row>
    <row r="249" spans="1:13" ht="14.4" x14ac:dyDescent="0.3">
      <c r="A249" s="71">
        <v>239</v>
      </c>
      <c r="B249" s="135">
        <f t="shared" si="12"/>
        <v>1656.611106425695</v>
      </c>
      <c r="C249" s="86">
        <f t="shared" si="13"/>
        <v>684.03972150579546</v>
      </c>
      <c r="D249" s="86">
        <f t="shared" si="14"/>
        <v>972.57138491989951</v>
      </c>
      <c r="E249" s="13">
        <f t="shared" si="15"/>
        <v>155379.36495926193</v>
      </c>
      <c r="G249" s="158">
        <v>239</v>
      </c>
      <c r="H249" s="135">
        <v>1656.611106425695</v>
      </c>
      <c r="I249" s="86">
        <v>684.03972150579557</v>
      </c>
      <c r="J249" s="86">
        <v>972.5713849198994</v>
      </c>
      <c r="K249" s="13">
        <v>155379.36495926199</v>
      </c>
      <c r="L249" s="145"/>
      <c r="M249" s="160">
        <v>155379.36495926199</v>
      </c>
    </row>
    <row r="250" spans="1:13" ht="14.4" x14ac:dyDescent="0.3">
      <c r="A250" s="71">
        <v>240</v>
      </c>
      <c r="B250" s="135">
        <f t="shared" si="12"/>
        <v>1656.611106425695</v>
      </c>
      <c r="C250" s="86">
        <f t="shared" si="13"/>
        <v>679.78472169677093</v>
      </c>
      <c r="D250" s="86">
        <f t="shared" si="14"/>
        <v>976.82638472892404</v>
      </c>
      <c r="E250" s="13">
        <f t="shared" si="15"/>
        <v>154402.53857453301</v>
      </c>
      <c r="G250" s="158">
        <v>240</v>
      </c>
      <c r="H250" s="135">
        <v>1656.611106425695</v>
      </c>
      <c r="I250" s="86">
        <v>679.78472169677104</v>
      </c>
      <c r="J250" s="86">
        <v>976.82638472892393</v>
      </c>
      <c r="K250" s="13">
        <v>154402.53857453307</v>
      </c>
      <c r="L250" s="145"/>
      <c r="M250" s="160">
        <v>154402.53857453307</v>
      </c>
    </row>
    <row r="251" spans="1:13" ht="14.4" x14ac:dyDescent="0.3">
      <c r="A251" s="71">
        <v>241</v>
      </c>
      <c r="B251" s="135">
        <f t="shared" si="12"/>
        <v>1656.611106425695</v>
      </c>
      <c r="C251" s="86">
        <f t="shared" si="13"/>
        <v>675.51110626358184</v>
      </c>
      <c r="D251" s="86">
        <f t="shared" si="14"/>
        <v>981.10000016211313</v>
      </c>
      <c r="E251" s="13">
        <f t="shared" si="15"/>
        <v>153421.4385743709</v>
      </c>
      <c r="G251" s="158">
        <v>241</v>
      </c>
      <c r="H251" s="135">
        <v>1656.611106425695</v>
      </c>
      <c r="I251" s="86">
        <v>675.51110626358195</v>
      </c>
      <c r="J251" s="86">
        <v>981.10000016211302</v>
      </c>
      <c r="K251" s="13">
        <v>153421.43857437096</v>
      </c>
      <c r="L251" s="145"/>
      <c r="M251" s="160">
        <v>153421.43857437096</v>
      </c>
    </row>
    <row r="252" spans="1:13" ht="14.4" x14ac:dyDescent="0.3">
      <c r="A252" s="71">
        <v>242</v>
      </c>
      <c r="B252" s="135">
        <f t="shared" si="12"/>
        <v>1656.611106425695</v>
      </c>
      <c r="C252" s="86">
        <f t="shared" si="13"/>
        <v>671.21879376287256</v>
      </c>
      <c r="D252" s="86">
        <f t="shared" si="14"/>
        <v>985.39231266282241</v>
      </c>
      <c r="E252" s="13">
        <f t="shared" si="15"/>
        <v>152436.04626170808</v>
      </c>
      <c r="G252" s="158">
        <v>242</v>
      </c>
      <c r="H252" s="135">
        <v>1656.611106425695</v>
      </c>
      <c r="I252" s="86">
        <v>671.21879376287279</v>
      </c>
      <c r="J252" s="86">
        <v>985.39231266282218</v>
      </c>
      <c r="K252" s="13">
        <v>152436.04626170814</v>
      </c>
      <c r="L252" s="145"/>
      <c r="M252" s="160">
        <v>152436.04626170814</v>
      </c>
    </row>
    <row r="253" spans="1:13" ht="14.4" x14ac:dyDescent="0.3">
      <c r="A253" s="71">
        <v>243</v>
      </c>
      <c r="B253" s="135">
        <f t="shared" si="12"/>
        <v>1656.611106425695</v>
      </c>
      <c r="C253" s="86">
        <f t="shared" si="13"/>
        <v>666.90770239497272</v>
      </c>
      <c r="D253" s="86">
        <f t="shared" si="14"/>
        <v>989.70340403072225</v>
      </c>
      <c r="E253" s="13">
        <f t="shared" si="15"/>
        <v>151446.34285767734</v>
      </c>
      <c r="G253" s="158">
        <v>243</v>
      </c>
      <c r="H253" s="135">
        <v>1656.611106425695</v>
      </c>
      <c r="I253" s="86">
        <v>666.90770239497272</v>
      </c>
      <c r="J253" s="86">
        <v>989.70340403072225</v>
      </c>
      <c r="K253" s="13">
        <v>151446.3428576774</v>
      </c>
      <c r="L253" s="145"/>
      <c r="M253" s="160">
        <v>151446.3428576774</v>
      </c>
    </row>
    <row r="254" spans="1:13" ht="14.4" x14ac:dyDescent="0.3">
      <c r="A254" s="71">
        <v>244</v>
      </c>
      <c r="B254" s="135">
        <f t="shared" si="12"/>
        <v>1656.611106425695</v>
      </c>
      <c r="C254" s="86">
        <f t="shared" si="13"/>
        <v>662.57775000233835</v>
      </c>
      <c r="D254" s="86">
        <f t="shared" si="14"/>
        <v>994.03335642335662</v>
      </c>
      <c r="E254" s="13">
        <f t="shared" si="15"/>
        <v>150452.309501254</v>
      </c>
      <c r="G254" s="158">
        <v>244</v>
      </c>
      <c r="H254" s="135">
        <v>1656.611106425695</v>
      </c>
      <c r="I254" s="86">
        <v>662.57775000233846</v>
      </c>
      <c r="J254" s="86">
        <v>994.03335642335651</v>
      </c>
      <c r="K254" s="13">
        <v>150452.30950125406</v>
      </c>
      <c r="L254" s="145"/>
      <c r="M254" s="160">
        <v>150452.30950125406</v>
      </c>
    </row>
    <row r="255" spans="1:13" ht="14.4" x14ac:dyDescent="0.3">
      <c r="A255" s="71">
        <v>245</v>
      </c>
      <c r="B255" s="135">
        <f t="shared" si="12"/>
        <v>1656.611106425695</v>
      </c>
      <c r="C255" s="86">
        <f t="shared" si="13"/>
        <v>658.22885406798616</v>
      </c>
      <c r="D255" s="86">
        <f t="shared" si="14"/>
        <v>998.38225235770881</v>
      </c>
      <c r="E255" s="13">
        <f t="shared" si="15"/>
        <v>149453.9272488963</v>
      </c>
      <c r="G255" s="158">
        <v>245</v>
      </c>
      <c r="H255" s="135">
        <v>1656.611106425695</v>
      </c>
      <c r="I255" s="86">
        <v>658.22885406798628</v>
      </c>
      <c r="J255" s="86">
        <v>998.38225235770869</v>
      </c>
      <c r="K255" s="13">
        <v>149453.92724889636</v>
      </c>
      <c r="L255" s="145"/>
      <c r="M255" s="160">
        <v>149453.92724889636</v>
      </c>
    </row>
    <row r="256" spans="1:13" ht="14.4" x14ac:dyDescent="0.3">
      <c r="A256" s="71">
        <v>246</v>
      </c>
      <c r="B256" s="135">
        <f t="shared" si="12"/>
        <v>1656.611106425695</v>
      </c>
      <c r="C256" s="86">
        <f t="shared" si="13"/>
        <v>653.86093171392122</v>
      </c>
      <c r="D256" s="86">
        <f t="shared" si="14"/>
        <v>1002.7501747117738</v>
      </c>
      <c r="E256" s="13">
        <f t="shared" si="15"/>
        <v>148451.17707418452</v>
      </c>
      <c r="G256" s="158">
        <v>246</v>
      </c>
      <c r="H256" s="135">
        <v>1656.611106425695</v>
      </c>
      <c r="I256" s="86">
        <v>653.86093171392122</v>
      </c>
      <c r="J256" s="86">
        <v>1002.7501747117738</v>
      </c>
      <c r="K256" s="13">
        <v>148451.17707418458</v>
      </c>
      <c r="L256" s="145"/>
      <c r="M256" s="160">
        <v>148451.17707418458</v>
      </c>
    </row>
    <row r="257" spans="1:13" ht="14.4" x14ac:dyDescent="0.3">
      <c r="A257" s="71">
        <v>247</v>
      </c>
      <c r="B257" s="135">
        <f t="shared" si="12"/>
        <v>1656.611106425695</v>
      </c>
      <c r="C257" s="86">
        <f t="shared" si="13"/>
        <v>649.47389969955725</v>
      </c>
      <c r="D257" s="86">
        <f t="shared" si="14"/>
        <v>1007.1372067261377</v>
      </c>
      <c r="E257" s="13">
        <f t="shared" si="15"/>
        <v>147444.0398674584</v>
      </c>
      <c r="G257" s="158">
        <v>247</v>
      </c>
      <c r="H257" s="135">
        <v>1656.611106425695</v>
      </c>
      <c r="I257" s="86">
        <v>649.47389969955725</v>
      </c>
      <c r="J257" s="86">
        <v>1007.1372067261377</v>
      </c>
      <c r="K257" s="13">
        <v>147444.03986745846</v>
      </c>
      <c r="L257" s="145"/>
      <c r="M257" s="160">
        <v>147444.03986745846</v>
      </c>
    </row>
    <row r="258" spans="1:13" ht="14.4" x14ac:dyDescent="0.3">
      <c r="A258" s="71">
        <v>248</v>
      </c>
      <c r="B258" s="135">
        <f t="shared" si="12"/>
        <v>1656.611106425695</v>
      </c>
      <c r="C258" s="86">
        <f t="shared" si="13"/>
        <v>645.0676744201304</v>
      </c>
      <c r="D258" s="86">
        <f t="shared" si="14"/>
        <v>1011.5434320055646</v>
      </c>
      <c r="E258" s="13">
        <f t="shared" si="15"/>
        <v>146432.49643545283</v>
      </c>
      <c r="G258" s="158">
        <v>248</v>
      </c>
      <c r="H258" s="135">
        <v>1656.611106425695</v>
      </c>
      <c r="I258" s="86">
        <v>645.06767442013029</v>
      </c>
      <c r="J258" s="86">
        <v>1011.5434320055647</v>
      </c>
      <c r="K258" s="13">
        <v>146432.49643545289</v>
      </c>
      <c r="L258" s="145"/>
      <c r="M258" s="160">
        <v>146432.49643545289</v>
      </c>
    </row>
    <row r="259" spans="1:13" ht="14.4" x14ac:dyDescent="0.3">
      <c r="A259" s="71">
        <v>249</v>
      </c>
      <c r="B259" s="135">
        <f t="shared" si="12"/>
        <v>1656.611106425695</v>
      </c>
      <c r="C259" s="86">
        <f t="shared" si="13"/>
        <v>640.64217190510612</v>
      </c>
      <c r="D259" s="86">
        <f t="shared" si="14"/>
        <v>1015.9689345205888</v>
      </c>
      <c r="E259" s="13">
        <f t="shared" si="15"/>
        <v>145416.52750093225</v>
      </c>
      <c r="G259" s="158">
        <v>249</v>
      </c>
      <c r="H259" s="135">
        <v>1656.611106425695</v>
      </c>
      <c r="I259" s="86">
        <v>640.64217190510612</v>
      </c>
      <c r="J259" s="86">
        <v>1015.9689345205888</v>
      </c>
      <c r="K259" s="13">
        <v>145416.52750093231</v>
      </c>
      <c r="L259" s="145"/>
      <c r="M259" s="160">
        <v>145416.52750093231</v>
      </c>
    </row>
    <row r="260" spans="1:13" ht="14.4" x14ac:dyDescent="0.3">
      <c r="A260" s="71">
        <v>250</v>
      </c>
      <c r="B260" s="135">
        <f t="shared" si="12"/>
        <v>1656.611106425695</v>
      </c>
      <c r="C260" s="86">
        <f t="shared" si="13"/>
        <v>636.19730781657859</v>
      </c>
      <c r="D260" s="86">
        <f t="shared" si="14"/>
        <v>1020.4137986091164</v>
      </c>
      <c r="E260" s="13">
        <f t="shared" si="15"/>
        <v>144396.11370232314</v>
      </c>
      <c r="G260" s="158">
        <v>250</v>
      </c>
      <c r="H260" s="135">
        <v>1656.611106425695</v>
      </c>
      <c r="I260" s="86">
        <v>636.19730781657836</v>
      </c>
      <c r="J260" s="86">
        <v>1020.4137986091166</v>
      </c>
      <c r="K260" s="13">
        <v>144396.1137023232</v>
      </c>
      <c r="L260" s="145"/>
      <c r="M260" s="160">
        <v>144396.1137023232</v>
      </c>
    </row>
    <row r="261" spans="1:13" ht="14.4" x14ac:dyDescent="0.3">
      <c r="A261" s="71">
        <v>251</v>
      </c>
      <c r="B261" s="135">
        <f t="shared" si="12"/>
        <v>1656.611106425695</v>
      </c>
      <c r="C261" s="86">
        <f t="shared" si="13"/>
        <v>631.73299744766371</v>
      </c>
      <c r="D261" s="86">
        <f t="shared" si="14"/>
        <v>1024.8781089780314</v>
      </c>
      <c r="E261" s="13">
        <f t="shared" si="15"/>
        <v>143371.2355933451</v>
      </c>
      <c r="G261" s="158">
        <v>251</v>
      </c>
      <c r="H261" s="135">
        <v>1656.611106425695</v>
      </c>
      <c r="I261" s="86">
        <v>631.73299744766371</v>
      </c>
      <c r="J261" s="86">
        <v>1024.8781089780314</v>
      </c>
      <c r="K261" s="13">
        <v>143371.23559334516</v>
      </c>
      <c r="L261" s="145"/>
      <c r="M261" s="160">
        <v>143371.23559334516</v>
      </c>
    </row>
    <row r="262" spans="1:13" ht="14.4" x14ac:dyDescent="0.3">
      <c r="A262" s="71">
        <v>252</v>
      </c>
      <c r="B262" s="135">
        <f t="shared" si="12"/>
        <v>1656.611106425695</v>
      </c>
      <c r="C262" s="86">
        <f t="shared" si="13"/>
        <v>627.2491557208848</v>
      </c>
      <c r="D262" s="86">
        <f t="shared" si="14"/>
        <v>1029.3619507048102</v>
      </c>
      <c r="E262" s="13">
        <f t="shared" si="15"/>
        <v>142341.8736426403</v>
      </c>
      <c r="G262" s="158">
        <v>252</v>
      </c>
      <c r="H262" s="135">
        <v>1656.611106425695</v>
      </c>
      <c r="I262" s="86">
        <v>627.24915572088469</v>
      </c>
      <c r="J262" s="86">
        <v>1029.3619507048102</v>
      </c>
      <c r="K262" s="13">
        <v>142341.87364264036</v>
      </c>
      <c r="L262" s="145"/>
      <c r="M262" s="160">
        <v>142341.87364264036</v>
      </c>
    </row>
    <row r="263" spans="1:13" ht="14.4" x14ac:dyDescent="0.3">
      <c r="A263" s="71">
        <v>253</v>
      </c>
      <c r="B263" s="135">
        <f t="shared" si="12"/>
        <v>1656.611106425695</v>
      </c>
      <c r="C263" s="86">
        <f t="shared" si="13"/>
        <v>622.7456971865513</v>
      </c>
      <c r="D263" s="86">
        <f t="shared" si="14"/>
        <v>1033.8654092391437</v>
      </c>
      <c r="E263" s="13">
        <f t="shared" si="15"/>
        <v>141308.00823340117</v>
      </c>
      <c r="G263" s="158">
        <v>253</v>
      </c>
      <c r="H263" s="135">
        <v>1656.611106425695</v>
      </c>
      <c r="I263" s="86">
        <v>622.74569718655118</v>
      </c>
      <c r="J263" s="86">
        <v>1033.8654092391439</v>
      </c>
      <c r="K263" s="13">
        <v>141308.00823340123</v>
      </c>
      <c r="L263" s="145"/>
      <c r="M263" s="160">
        <v>141308.00823340123</v>
      </c>
    </row>
    <row r="264" spans="1:13" ht="14.4" x14ac:dyDescent="0.3">
      <c r="A264" s="71">
        <v>254</v>
      </c>
      <c r="B264" s="135">
        <f t="shared" si="12"/>
        <v>1656.611106425695</v>
      </c>
      <c r="C264" s="86">
        <f t="shared" si="13"/>
        <v>618.22253602113005</v>
      </c>
      <c r="D264" s="86">
        <f t="shared" si="14"/>
        <v>1038.3885704045649</v>
      </c>
      <c r="E264" s="13">
        <f t="shared" si="15"/>
        <v>140269.61966299661</v>
      </c>
      <c r="G264" s="158">
        <v>254</v>
      </c>
      <c r="H264" s="135">
        <v>1656.611106425695</v>
      </c>
      <c r="I264" s="86">
        <v>618.22253602112994</v>
      </c>
      <c r="J264" s="86">
        <v>1038.3885704045651</v>
      </c>
      <c r="K264" s="13">
        <v>140269.61966299667</v>
      </c>
      <c r="L264" s="145"/>
      <c r="M264" s="160">
        <v>140269.61966299667</v>
      </c>
    </row>
    <row r="265" spans="1:13" ht="14.4" x14ac:dyDescent="0.3">
      <c r="A265" s="71">
        <v>255</v>
      </c>
      <c r="B265" s="135">
        <f t="shared" si="12"/>
        <v>1656.611106425695</v>
      </c>
      <c r="C265" s="86">
        <f t="shared" si="13"/>
        <v>613.67958602561009</v>
      </c>
      <c r="D265" s="86">
        <f t="shared" si="14"/>
        <v>1042.931520400085</v>
      </c>
      <c r="E265" s="13">
        <f t="shared" si="15"/>
        <v>139226.68814259654</v>
      </c>
      <c r="G265" s="158">
        <v>255</v>
      </c>
      <c r="H265" s="135">
        <v>1656.611106425695</v>
      </c>
      <c r="I265" s="86">
        <v>613.67958602560986</v>
      </c>
      <c r="J265" s="86">
        <v>1042.931520400085</v>
      </c>
      <c r="K265" s="13">
        <v>139226.6881425966</v>
      </c>
      <c r="L265" s="145"/>
      <c r="M265" s="160">
        <v>139226.6881425966</v>
      </c>
    </row>
    <row r="266" spans="1:13" ht="14.4" x14ac:dyDescent="0.3">
      <c r="A266" s="71">
        <v>256</v>
      </c>
      <c r="B266" s="135">
        <f t="shared" si="12"/>
        <v>1656.611106425695</v>
      </c>
      <c r="C266" s="86">
        <f t="shared" si="13"/>
        <v>609.11676062385982</v>
      </c>
      <c r="D266" s="86">
        <f t="shared" si="14"/>
        <v>1047.4943458018352</v>
      </c>
      <c r="E266" s="13">
        <f t="shared" si="15"/>
        <v>138179.19379679472</v>
      </c>
      <c r="G266" s="158">
        <v>256</v>
      </c>
      <c r="H266" s="135">
        <v>1656.611106425695</v>
      </c>
      <c r="I266" s="86">
        <v>609.11676062385959</v>
      </c>
      <c r="J266" s="86">
        <v>1047.4943458018354</v>
      </c>
      <c r="K266" s="13">
        <v>138179.19379679477</v>
      </c>
      <c r="L266" s="145"/>
      <c r="M266" s="160">
        <v>138179.19379679477</v>
      </c>
    </row>
    <row r="267" spans="1:13" ht="14.4" x14ac:dyDescent="0.3">
      <c r="A267" s="71">
        <v>257</v>
      </c>
      <c r="B267" s="135">
        <f t="shared" si="12"/>
        <v>1656.611106425695</v>
      </c>
      <c r="C267" s="86">
        <f t="shared" si="13"/>
        <v>604.53397286097686</v>
      </c>
      <c r="D267" s="86">
        <f t="shared" si="14"/>
        <v>1052.0771335647182</v>
      </c>
      <c r="E267" s="13">
        <f t="shared" si="15"/>
        <v>137127.11666323</v>
      </c>
      <c r="G267" s="158">
        <v>257</v>
      </c>
      <c r="H267" s="135">
        <v>1656.611106425695</v>
      </c>
      <c r="I267" s="86">
        <v>604.53397286097652</v>
      </c>
      <c r="J267" s="86">
        <v>1052.0771335647185</v>
      </c>
      <c r="K267" s="13">
        <v>137127.11666323006</v>
      </c>
      <c r="L267" s="145"/>
      <c r="M267" s="160">
        <v>137127.11666323006</v>
      </c>
    </row>
    <row r="268" spans="1:13" ht="14.4" x14ac:dyDescent="0.3">
      <c r="A268" s="71">
        <v>258</v>
      </c>
      <c r="B268" s="135">
        <f t="shared" ref="B268:B331" si="16">-$B$7</f>
        <v>1656.611106425695</v>
      </c>
      <c r="C268" s="86">
        <f t="shared" ref="C268:C331" si="17">E267*$B$3</f>
        <v>599.9311354016312</v>
      </c>
      <c r="D268" s="86">
        <f t="shared" ref="D268:D331" si="18">B268-C268</f>
        <v>1056.6799710240639</v>
      </c>
      <c r="E268" s="13">
        <f t="shared" ref="E268:E331" si="19">E267-D268</f>
        <v>136070.43669220593</v>
      </c>
      <c r="G268" s="158">
        <v>258</v>
      </c>
      <c r="H268" s="135">
        <v>1656.611106425695</v>
      </c>
      <c r="I268" s="86">
        <v>599.93113540163097</v>
      </c>
      <c r="J268" s="86">
        <v>1056.6799710240639</v>
      </c>
      <c r="K268" s="13">
        <v>136070.43669220599</v>
      </c>
      <c r="L268" s="145"/>
      <c r="M268" s="160">
        <v>136070.43669220599</v>
      </c>
    </row>
    <row r="269" spans="1:13" ht="14.4" x14ac:dyDescent="0.3">
      <c r="A269" s="71">
        <v>259</v>
      </c>
      <c r="B269" s="135">
        <f t="shared" si="16"/>
        <v>1656.611106425695</v>
      </c>
      <c r="C269" s="86">
        <f t="shared" si="17"/>
        <v>595.30816052840089</v>
      </c>
      <c r="D269" s="86">
        <f t="shared" si="18"/>
        <v>1061.3029458972942</v>
      </c>
      <c r="E269" s="13">
        <f t="shared" si="19"/>
        <v>135009.13374630862</v>
      </c>
      <c r="G269" s="158">
        <v>259</v>
      </c>
      <c r="H269" s="135">
        <v>1656.611106425695</v>
      </c>
      <c r="I269" s="86">
        <v>595.30816052840066</v>
      </c>
      <c r="J269" s="86">
        <v>1061.3029458972942</v>
      </c>
      <c r="K269" s="13">
        <v>135009.13374630868</v>
      </c>
      <c r="L269" s="145"/>
      <c r="M269" s="160">
        <v>135009.13374630868</v>
      </c>
    </row>
    <row r="270" spans="1:13" ht="14.4" x14ac:dyDescent="0.3">
      <c r="A270" s="71">
        <v>260</v>
      </c>
      <c r="B270" s="135">
        <f t="shared" si="16"/>
        <v>1656.611106425695</v>
      </c>
      <c r="C270" s="86">
        <f t="shared" si="17"/>
        <v>590.66496014010022</v>
      </c>
      <c r="D270" s="86">
        <f t="shared" si="18"/>
        <v>1065.9461462855948</v>
      </c>
      <c r="E270" s="13">
        <f t="shared" si="19"/>
        <v>133943.18760002303</v>
      </c>
      <c r="G270" s="158">
        <v>260</v>
      </c>
      <c r="H270" s="135">
        <v>1656.611106425695</v>
      </c>
      <c r="I270" s="86">
        <v>590.66496014009988</v>
      </c>
      <c r="J270" s="86">
        <v>1065.9461462855952</v>
      </c>
      <c r="K270" s="13">
        <v>133943.18760002308</v>
      </c>
      <c r="L270" s="145"/>
      <c r="M270" s="160">
        <v>133943.18760002308</v>
      </c>
    </row>
    <row r="271" spans="1:13" ht="14.4" x14ac:dyDescent="0.3">
      <c r="A271" s="71">
        <v>261</v>
      </c>
      <c r="B271" s="135">
        <f t="shared" si="16"/>
        <v>1656.611106425695</v>
      </c>
      <c r="C271" s="86">
        <f t="shared" si="17"/>
        <v>586.00144575010063</v>
      </c>
      <c r="D271" s="86">
        <f t="shared" si="18"/>
        <v>1070.6096606755943</v>
      </c>
      <c r="E271" s="13">
        <f t="shared" si="19"/>
        <v>132872.57793934742</v>
      </c>
      <c r="G271" s="158">
        <v>261</v>
      </c>
      <c r="H271" s="135">
        <v>1656.611106425695</v>
      </c>
      <c r="I271" s="86">
        <v>586.0014457501004</v>
      </c>
      <c r="J271" s="86">
        <v>1070.6096606755946</v>
      </c>
      <c r="K271" s="13">
        <v>132872.57793934748</v>
      </c>
      <c r="L271" s="145"/>
      <c r="M271" s="160">
        <v>132872.57793934748</v>
      </c>
    </row>
    <row r="272" spans="1:13" ht="14.4" x14ac:dyDescent="0.3">
      <c r="A272" s="71">
        <v>262</v>
      </c>
      <c r="B272" s="135">
        <f t="shared" si="16"/>
        <v>1656.611106425695</v>
      </c>
      <c r="C272" s="86">
        <f t="shared" si="17"/>
        <v>581.31752848464487</v>
      </c>
      <c r="D272" s="86">
        <f t="shared" si="18"/>
        <v>1075.29357794105</v>
      </c>
      <c r="E272" s="13">
        <f t="shared" si="19"/>
        <v>131797.28436140637</v>
      </c>
      <c r="G272" s="158">
        <v>262</v>
      </c>
      <c r="H272" s="135">
        <v>1656.611106425695</v>
      </c>
      <c r="I272" s="86">
        <v>581.31752848464475</v>
      </c>
      <c r="J272" s="86">
        <v>1075.2935779410502</v>
      </c>
      <c r="K272" s="13">
        <v>131797.28436140643</v>
      </c>
      <c r="L272" s="145"/>
      <c r="M272" s="160">
        <v>131797.28436140643</v>
      </c>
    </row>
    <row r="273" spans="1:13" ht="14.4" x14ac:dyDescent="0.3">
      <c r="A273" s="71">
        <v>263</v>
      </c>
      <c r="B273" s="135">
        <f t="shared" si="16"/>
        <v>1656.611106425695</v>
      </c>
      <c r="C273" s="86">
        <f t="shared" si="17"/>
        <v>576.61311908115283</v>
      </c>
      <c r="D273" s="86">
        <f t="shared" si="18"/>
        <v>1079.9979873445423</v>
      </c>
      <c r="E273" s="13">
        <f t="shared" si="19"/>
        <v>130717.28637406183</v>
      </c>
      <c r="G273" s="158">
        <v>263</v>
      </c>
      <c r="H273" s="135">
        <v>1656.611106425695</v>
      </c>
      <c r="I273" s="86">
        <v>576.6131190811526</v>
      </c>
      <c r="J273" s="86">
        <v>1079.9979873445423</v>
      </c>
      <c r="K273" s="13">
        <v>130717.28637406189</v>
      </c>
      <c r="L273" s="145"/>
      <c r="M273" s="160">
        <v>130717.28637406189</v>
      </c>
    </row>
    <row r="274" spans="1:13" ht="14.4" x14ac:dyDescent="0.3">
      <c r="A274" s="71">
        <v>264</v>
      </c>
      <c r="B274" s="135">
        <f t="shared" si="16"/>
        <v>1656.611106425695</v>
      </c>
      <c r="C274" s="86">
        <f t="shared" si="17"/>
        <v>571.88812788652046</v>
      </c>
      <c r="D274" s="86">
        <f t="shared" si="18"/>
        <v>1084.7229785391746</v>
      </c>
      <c r="E274" s="13">
        <f t="shared" si="19"/>
        <v>129632.56339552267</v>
      </c>
      <c r="G274" s="158">
        <v>264</v>
      </c>
      <c r="H274" s="135">
        <v>1656.611106425695</v>
      </c>
      <c r="I274" s="86">
        <v>571.88812788652024</v>
      </c>
      <c r="J274" s="86">
        <v>1084.7229785391746</v>
      </c>
      <c r="K274" s="13">
        <v>129632.56339552272</v>
      </c>
      <c r="L274" s="145"/>
      <c r="M274" s="160">
        <v>129632.56339552272</v>
      </c>
    </row>
    <row r="275" spans="1:13" ht="14.4" x14ac:dyDescent="0.3">
      <c r="A275" s="71">
        <v>265</v>
      </c>
      <c r="B275" s="135">
        <f t="shared" si="16"/>
        <v>1656.611106425695</v>
      </c>
      <c r="C275" s="86">
        <f t="shared" si="17"/>
        <v>567.14246485541162</v>
      </c>
      <c r="D275" s="86">
        <f t="shared" si="18"/>
        <v>1089.4686415702834</v>
      </c>
      <c r="E275" s="13">
        <f t="shared" si="19"/>
        <v>128543.09475395238</v>
      </c>
      <c r="G275" s="158">
        <v>265</v>
      </c>
      <c r="H275" s="135">
        <v>1656.611106425695</v>
      </c>
      <c r="I275" s="86">
        <v>567.14246485541139</v>
      </c>
      <c r="J275" s="86">
        <v>1089.4686415702836</v>
      </c>
      <c r="K275" s="13">
        <v>128543.09475395243</v>
      </c>
      <c r="L275" s="145"/>
      <c r="M275" s="160">
        <v>128543.09475395243</v>
      </c>
    </row>
    <row r="276" spans="1:13" ht="14.4" x14ac:dyDescent="0.3">
      <c r="A276" s="71">
        <v>266</v>
      </c>
      <c r="B276" s="135">
        <f t="shared" si="16"/>
        <v>1656.611106425695</v>
      </c>
      <c r="C276" s="86">
        <f t="shared" si="17"/>
        <v>562.3760395485416</v>
      </c>
      <c r="D276" s="86">
        <f t="shared" si="18"/>
        <v>1094.2350668771533</v>
      </c>
      <c r="E276" s="13">
        <f t="shared" si="19"/>
        <v>127448.85968707522</v>
      </c>
      <c r="G276" s="158">
        <v>266</v>
      </c>
      <c r="H276" s="135">
        <v>1656.611106425695</v>
      </c>
      <c r="I276" s="86">
        <v>562.37603954854137</v>
      </c>
      <c r="J276" s="86">
        <v>1094.2350668771537</v>
      </c>
      <c r="K276" s="13">
        <v>127448.85968707528</v>
      </c>
      <c r="L276" s="145"/>
      <c r="M276" s="160">
        <v>127448.85968707528</v>
      </c>
    </row>
    <row r="277" spans="1:13" ht="14.4" x14ac:dyDescent="0.3">
      <c r="A277" s="71">
        <v>267</v>
      </c>
      <c r="B277" s="135">
        <f t="shared" si="16"/>
        <v>1656.611106425695</v>
      </c>
      <c r="C277" s="86">
        <f t="shared" si="17"/>
        <v>557.58876113095403</v>
      </c>
      <c r="D277" s="86">
        <f t="shared" si="18"/>
        <v>1099.0223452947409</v>
      </c>
      <c r="E277" s="13">
        <f t="shared" si="19"/>
        <v>126349.83734178048</v>
      </c>
      <c r="G277" s="158">
        <v>267</v>
      </c>
      <c r="H277" s="135">
        <v>1656.611106425695</v>
      </c>
      <c r="I277" s="86">
        <v>557.5887611309538</v>
      </c>
      <c r="J277" s="86">
        <v>1099.0223452947412</v>
      </c>
      <c r="K277" s="13">
        <v>126349.83734178054</v>
      </c>
      <c r="L277" s="145"/>
      <c r="M277" s="160">
        <v>126349.83734178054</v>
      </c>
    </row>
    <row r="278" spans="1:13" ht="14.4" x14ac:dyDescent="0.3">
      <c r="A278" s="71">
        <v>268</v>
      </c>
      <c r="B278" s="135">
        <f t="shared" si="16"/>
        <v>1656.611106425695</v>
      </c>
      <c r="C278" s="86">
        <f t="shared" si="17"/>
        <v>552.78053837028961</v>
      </c>
      <c r="D278" s="86">
        <f t="shared" si="18"/>
        <v>1103.8305680554054</v>
      </c>
      <c r="E278" s="13">
        <f t="shared" si="19"/>
        <v>125246.00677372508</v>
      </c>
      <c r="G278" s="158">
        <v>268</v>
      </c>
      <c r="H278" s="135">
        <v>1656.611106425695</v>
      </c>
      <c r="I278" s="86">
        <v>552.78053837028938</v>
      </c>
      <c r="J278" s="86">
        <v>1103.8305680554056</v>
      </c>
      <c r="K278" s="13">
        <v>125246.00677372514</v>
      </c>
      <c r="L278" s="145"/>
      <c r="M278" s="160">
        <v>125246.00677372514</v>
      </c>
    </row>
    <row r="279" spans="1:13" ht="14.4" x14ac:dyDescent="0.3">
      <c r="A279" s="71">
        <v>269</v>
      </c>
      <c r="B279" s="135">
        <f t="shared" si="16"/>
        <v>1656.611106425695</v>
      </c>
      <c r="C279" s="86">
        <f t="shared" si="17"/>
        <v>547.95127963504717</v>
      </c>
      <c r="D279" s="86">
        <f t="shared" si="18"/>
        <v>1108.6598267906479</v>
      </c>
      <c r="E279" s="13">
        <f t="shared" si="19"/>
        <v>124137.34694693443</v>
      </c>
      <c r="G279" s="158">
        <v>269</v>
      </c>
      <c r="H279" s="135">
        <v>1656.611106425695</v>
      </c>
      <c r="I279" s="86">
        <v>547.95127963504694</v>
      </c>
      <c r="J279" s="86">
        <v>1108.6598267906479</v>
      </c>
      <c r="K279" s="13">
        <v>124137.34694693449</v>
      </c>
      <c r="L279" s="145"/>
      <c r="M279" s="160">
        <v>124137.34694693449</v>
      </c>
    </row>
    <row r="280" spans="1:13" ht="14.4" x14ac:dyDescent="0.3">
      <c r="A280" s="71">
        <v>270</v>
      </c>
      <c r="B280" s="135">
        <f t="shared" si="16"/>
        <v>1656.611106425695</v>
      </c>
      <c r="C280" s="86">
        <f t="shared" si="17"/>
        <v>543.10089289283803</v>
      </c>
      <c r="D280" s="86">
        <f t="shared" si="18"/>
        <v>1113.5102135328571</v>
      </c>
      <c r="E280" s="13">
        <f t="shared" si="19"/>
        <v>123023.83673340156</v>
      </c>
      <c r="G280" s="158">
        <v>270</v>
      </c>
      <c r="H280" s="135">
        <v>1656.611106425695</v>
      </c>
      <c r="I280" s="86">
        <v>543.10089289283792</v>
      </c>
      <c r="J280" s="86">
        <v>1113.5102135328571</v>
      </c>
      <c r="K280" s="13">
        <v>123023.83673340162</v>
      </c>
      <c r="L280" s="145"/>
      <c r="M280" s="160">
        <v>123023.83673340162</v>
      </c>
    </row>
    <row r="281" spans="1:13" ht="14.4" x14ac:dyDescent="0.3">
      <c r="A281" s="71">
        <v>271</v>
      </c>
      <c r="B281" s="135">
        <f t="shared" si="16"/>
        <v>1656.611106425695</v>
      </c>
      <c r="C281" s="86">
        <f t="shared" si="17"/>
        <v>538.22928570863178</v>
      </c>
      <c r="D281" s="86">
        <f t="shared" si="18"/>
        <v>1118.3818207170632</v>
      </c>
      <c r="E281" s="13">
        <f t="shared" si="19"/>
        <v>121905.45491268449</v>
      </c>
      <c r="G281" s="158">
        <v>271</v>
      </c>
      <c r="H281" s="135">
        <v>1656.611106425695</v>
      </c>
      <c r="I281" s="86">
        <v>538.22928570863178</v>
      </c>
      <c r="J281" s="86">
        <v>1118.3818207170632</v>
      </c>
      <c r="K281" s="13">
        <v>121905.45491268455</v>
      </c>
      <c r="L281" s="145"/>
      <c r="M281" s="160">
        <v>121905.45491268455</v>
      </c>
    </row>
    <row r="282" spans="1:13" ht="14.4" x14ac:dyDescent="0.3">
      <c r="A282" s="71">
        <v>272</v>
      </c>
      <c r="B282" s="135">
        <f t="shared" si="16"/>
        <v>1656.611106425695</v>
      </c>
      <c r="C282" s="86">
        <f t="shared" si="17"/>
        <v>533.33636524299459</v>
      </c>
      <c r="D282" s="86">
        <f t="shared" si="18"/>
        <v>1123.2747411827004</v>
      </c>
      <c r="E282" s="13">
        <f t="shared" si="19"/>
        <v>120782.18017150179</v>
      </c>
      <c r="G282" s="158">
        <v>272</v>
      </c>
      <c r="H282" s="135">
        <v>1656.611106425695</v>
      </c>
      <c r="I282" s="86">
        <v>533.33636524299448</v>
      </c>
      <c r="J282" s="86">
        <v>1123.2747411827004</v>
      </c>
      <c r="K282" s="13">
        <v>120782.18017150185</v>
      </c>
      <c r="L282" s="145"/>
      <c r="M282" s="160">
        <v>120782.18017150185</v>
      </c>
    </row>
    <row r="283" spans="1:13" ht="14.4" x14ac:dyDescent="0.3">
      <c r="A283" s="71">
        <v>273</v>
      </c>
      <c r="B283" s="135">
        <f t="shared" si="16"/>
        <v>1656.611106425695</v>
      </c>
      <c r="C283" s="86">
        <f t="shared" si="17"/>
        <v>528.42203825032027</v>
      </c>
      <c r="D283" s="86">
        <f t="shared" si="18"/>
        <v>1128.1890681753748</v>
      </c>
      <c r="E283" s="13">
        <f t="shared" si="19"/>
        <v>119653.99110332642</v>
      </c>
      <c r="G283" s="158">
        <v>273</v>
      </c>
      <c r="H283" s="135">
        <v>1656.611106425695</v>
      </c>
      <c r="I283" s="86">
        <v>528.42203825032016</v>
      </c>
      <c r="J283" s="86">
        <v>1128.1890681753748</v>
      </c>
      <c r="K283" s="13">
        <v>119653.99110332648</v>
      </c>
      <c r="L283" s="145"/>
      <c r="M283" s="160">
        <v>119653.99110332648</v>
      </c>
    </row>
    <row r="284" spans="1:13" ht="14.4" x14ac:dyDescent="0.3">
      <c r="A284" s="71">
        <v>274</v>
      </c>
      <c r="B284" s="135">
        <f t="shared" si="16"/>
        <v>1656.611106425695</v>
      </c>
      <c r="C284" s="86">
        <f t="shared" si="17"/>
        <v>523.48621107705299</v>
      </c>
      <c r="D284" s="86">
        <f t="shared" si="18"/>
        <v>1133.124895348642</v>
      </c>
      <c r="E284" s="13">
        <f t="shared" si="19"/>
        <v>118520.86620797779</v>
      </c>
      <c r="G284" s="158">
        <v>274</v>
      </c>
      <c r="H284" s="135">
        <v>1656.611106425695</v>
      </c>
      <c r="I284" s="86">
        <v>523.48621107705287</v>
      </c>
      <c r="J284" s="86">
        <v>1133.124895348642</v>
      </c>
      <c r="K284" s="13">
        <v>118520.86620797784</v>
      </c>
      <c r="L284" s="145"/>
      <c r="M284" s="160">
        <v>118520.86620797784</v>
      </c>
    </row>
    <row r="285" spans="1:13" ht="14.4" x14ac:dyDescent="0.3">
      <c r="A285" s="71">
        <v>275</v>
      </c>
      <c r="B285" s="135">
        <f t="shared" si="16"/>
        <v>1656.611106425695</v>
      </c>
      <c r="C285" s="86">
        <f t="shared" si="17"/>
        <v>518.52878965990271</v>
      </c>
      <c r="D285" s="86">
        <f t="shared" si="18"/>
        <v>1138.0823167657923</v>
      </c>
      <c r="E285" s="13">
        <f t="shared" si="19"/>
        <v>117382.78389121199</v>
      </c>
      <c r="G285" s="158">
        <v>275</v>
      </c>
      <c r="H285" s="135">
        <v>1656.611106425695</v>
      </c>
      <c r="I285" s="86">
        <v>518.5287896599026</v>
      </c>
      <c r="J285" s="86">
        <v>1138.0823167657923</v>
      </c>
      <c r="K285" s="13">
        <v>117382.78389121205</v>
      </c>
      <c r="L285" s="145"/>
      <c r="M285" s="160">
        <v>117382.78389121205</v>
      </c>
    </row>
    <row r="286" spans="1:13" ht="14.4" x14ac:dyDescent="0.3">
      <c r="A286" s="71">
        <v>276</v>
      </c>
      <c r="B286" s="135">
        <f t="shared" si="16"/>
        <v>1656.611106425695</v>
      </c>
      <c r="C286" s="86">
        <f t="shared" si="17"/>
        <v>513.54967952405241</v>
      </c>
      <c r="D286" s="86">
        <f t="shared" si="18"/>
        <v>1143.0614269016426</v>
      </c>
      <c r="E286" s="13">
        <f t="shared" si="19"/>
        <v>116239.72246431035</v>
      </c>
      <c r="G286" s="158">
        <v>276</v>
      </c>
      <c r="H286" s="135">
        <v>1656.611106425695</v>
      </c>
      <c r="I286" s="86">
        <v>513.54967952405229</v>
      </c>
      <c r="J286" s="86">
        <v>1143.0614269016428</v>
      </c>
      <c r="K286" s="13">
        <v>116239.72246431041</v>
      </c>
      <c r="L286" s="145"/>
      <c r="M286" s="160">
        <v>116239.72246431041</v>
      </c>
    </row>
    <row r="287" spans="1:13" ht="14.4" x14ac:dyDescent="0.3">
      <c r="A287" s="71">
        <v>277</v>
      </c>
      <c r="B287" s="135">
        <f t="shared" si="16"/>
        <v>1656.611106425695</v>
      </c>
      <c r="C287" s="86">
        <f t="shared" si="17"/>
        <v>508.54878578135776</v>
      </c>
      <c r="D287" s="86">
        <f t="shared" si="18"/>
        <v>1148.0623206443372</v>
      </c>
      <c r="E287" s="13">
        <f t="shared" si="19"/>
        <v>115091.66014366601</v>
      </c>
      <c r="G287" s="158">
        <v>277</v>
      </c>
      <c r="H287" s="135">
        <v>1656.611106425695</v>
      </c>
      <c r="I287" s="86">
        <v>508.54878578135754</v>
      </c>
      <c r="J287" s="86">
        <v>1148.0623206443374</v>
      </c>
      <c r="K287" s="13">
        <v>115091.66014366607</v>
      </c>
      <c r="L287" s="145"/>
      <c r="M287" s="160">
        <v>115091.66014366607</v>
      </c>
    </row>
    <row r="288" spans="1:13" ht="14.4" x14ac:dyDescent="0.3">
      <c r="A288" s="71">
        <v>278</v>
      </c>
      <c r="B288" s="135">
        <f t="shared" si="16"/>
        <v>1656.611106425695</v>
      </c>
      <c r="C288" s="86">
        <f t="shared" si="17"/>
        <v>503.52601312853875</v>
      </c>
      <c r="D288" s="86">
        <f t="shared" si="18"/>
        <v>1153.0850932971562</v>
      </c>
      <c r="E288" s="13">
        <f t="shared" si="19"/>
        <v>113938.57505036886</v>
      </c>
      <c r="G288" s="158">
        <v>278</v>
      </c>
      <c r="H288" s="135">
        <v>1656.611106425695</v>
      </c>
      <c r="I288" s="86">
        <v>503.52601312853864</v>
      </c>
      <c r="J288" s="86">
        <v>1153.0850932971564</v>
      </c>
      <c r="K288" s="13">
        <v>113938.57505036892</v>
      </c>
      <c r="L288" s="145"/>
      <c r="M288" s="160">
        <v>113938.57505036892</v>
      </c>
    </row>
    <row r="289" spans="1:13" ht="14.4" x14ac:dyDescent="0.3">
      <c r="A289" s="71">
        <v>279</v>
      </c>
      <c r="B289" s="135">
        <f t="shared" si="16"/>
        <v>1656.611106425695</v>
      </c>
      <c r="C289" s="86">
        <f t="shared" si="17"/>
        <v>498.48126584536374</v>
      </c>
      <c r="D289" s="86">
        <f t="shared" si="18"/>
        <v>1158.1298405803313</v>
      </c>
      <c r="E289" s="13">
        <f t="shared" si="19"/>
        <v>112780.44520978854</v>
      </c>
      <c r="G289" s="158">
        <v>279</v>
      </c>
      <c r="H289" s="135">
        <v>1656.611106425695</v>
      </c>
      <c r="I289" s="86">
        <v>498.48126584536345</v>
      </c>
      <c r="J289" s="86">
        <v>1158.1298405803316</v>
      </c>
      <c r="K289" s="13">
        <v>112780.4452097886</v>
      </c>
      <c r="L289" s="145"/>
      <c r="M289" s="160">
        <v>112780.4452097886</v>
      </c>
    </row>
    <row r="290" spans="1:13" ht="14.4" x14ac:dyDescent="0.3">
      <c r="A290" s="71">
        <v>280</v>
      </c>
      <c r="B290" s="135">
        <f t="shared" si="16"/>
        <v>1656.611106425695</v>
      </c>
      <c r="C290" s="86">
        <f t="shared" si="17"/>
        <v>493.41444779282477</v>
      </c>
      <c r="D290" s="86">
        <f t="shared" si="18"/>
        <v>1163.1966586328701</v>
      </c>
      <c r="E290" s="13">
        <f t="shared" si="19"/>
        <v>111617.24855115567</v>
      </c>
      <c r="G290" s="158">
        <v>280</v>
      </c>
      <c r="H290" s="135">
        <v>1656.611106425695</v>
      </c>
      <c r="I290" s="86">
        <v>493.41444779282455</v>
      </c>
      <c r="J290" s="86">
        <v>1163.1966586328704</v>
      </c>
      <c r="K290" s="13">
        <v>111617.24855115573</v>
      </c>
      <c r="L290" s="145"/>
      <c r="M290" s="160">
        <v>111617.24855115573</v>
      </c>
    </row>
    <row r="291" spans="1:13" ht="14.4" x14ac:dyDescent="0.3">
      <c r="A291" s="71">
        <v>281</v>
      </c>
      <c r="B291" s="135">
        <f t="shared" si="16"/>
        <v>1656.611106425695</v>
      </c>
      <c r="C291" s="86">
        <f t="shared" si="17"/>
        <v>488.32546241130603</v>
      </c>
      <c r="D291" s="86">
        <f t="shared" si="18"/>
        <v>1168.2856440143889</v>
      </c>
      <c r="E291" s="13">
        <f t="shared" si="19"/>
        <v>110448.96290714128</v>
      </c>
      <c r="G291" s="158">
        <v>281</v>
      </c>
      <c r="H291" s="135">
        <v>1656.611106425695</v>
      </c>
      <c r="I291" s="86">
        <v>488.32546241130569</v>
      </c>
      <c r="J291" s="86">
        <v>1168.2856440143892</v>
      </c>
      <c r="K291" s="13">
        <v>110448.96290714134</v>
      </c>
      <c r="L291" s="145"/>
      <c r="M291" s="160">
        <v>110448.96290714134</v>
      </c>
    </row>
    <row r="292" spans="1:13" ht="14.4" x14ac:dyDescent="0.3">
      <c r="A292" s="71">
        <v>282</v>
      </c>
      <c r="B292" s="135">
        <f t="shared" si="16"/>
        <v>1656.611106425695</v>
      </c>
      <c r="C292" s="86">
        <f t="shared" si="17"/>
        <v>483.21421271874306</v>
      </c>
      <c r="D292" s="86">
        <f t="shared" si="18"/>
        <v>1173.3968937069519</v>
      </c>
      <c r="E292" s="13">
        <f t="shared" si="19"/>
        <v>109275.56601343432</v>
      </c>
      <c r="G292" s="158">
        <v>282</v>
      </c>
      <c r="H292" s="135">
        <v>1656.611106425695</v>
      </c>
      <c r="I292" s="86">
        <v>483.21421271874277</v>
      </c>
      <c r="J292" s="86">
        <v>1173.3968937069521</v>
      </c>
      <c r="K292" s="13">
        <v>109275.56601343438</v>
      </c>
      <c r="L292" s="145"/>
      <c r="M292" s="160">
        <v>109275.56601343438</v>
      </c>
    </row>
    <row r="293" spans="1:13" ht="14.4" x14ac:dyDescent="0.3">
      <c r="A293" s="71">
        <v>283</v>
      </c>
      <c r="B293" s="135">
        <f t="shared" si="16"/>
        <v>1656.611106425695</v>
      </c>
      <c r="C293" s="86">
        <f t="shared" si="17"/>
        <v>478.0806013087751</v>
      </c>
      <c r="D293" s="86">
        <f t="shared" si="18"/>
        <v>1178.5305051169198</v>
      </c>
      <c r="E293" s="13">
        <f t="shared" si="19"/>
        <v>108097.03550831741</v>
      </c>
      <c r="G293" s="158">
        <v>283</v>
      </c>
      <c r="H293" s="135">
        <v>1656.611106425695</v>
      </c>
      <c r="I293" s="86">
        <v>478.08060130877499</v>
      </c>
      <c r="J293" s="86">
        <v>1178.53050511692</v>
      </c>
      <c r="K293" s="13">
        <v>108097.03550831745</v>
      </c>
      <c r="L293" s="145"/>
      <c r="M293" s="160">
        <v>108097.03550831745</v>
      </c>
    </row>
    <row r="294" spans="1:13" ht="14.4" x14ac:dyDescent="0.3">
      <c r="A294" s="71">
        <v>284</v>
      </c>
      <c r="B294" s="135">
        <f t="shared" si="16"/>
        <v>1656.611106425695</v>
      </c>
      <c r="C294" s="86">
        <f t="shared" si="17"/>
        <v>472.9245303488886</v>
      </c>
      <c r="D294" s="86">
        <f t="shared" si="18"/>
        <v>1183.6865760768064</v>
      </c>
      <c r="E294" s="13">
        <f t="shared" si="19"/>
        <v>106913.34893224059</v>
      </c>
      <c r="G294" s="158">
        <v>284</v>
      </c>
      <c r="H294" s="135">
        <v>1656.611106425695</v>
      </c>
      <c r="I294" s="86">
        <v>472.92453034888837</v>
      </c>
      <c r="J294" s="86">
        <v>1183.6865760768067</v>
      </c>
      <c r="K294" s="13">
        <v>106913.34893224064</v>
      </c>
      <c r="L294" s="145"/>
      <c r="M294" s="160">
        <v>106913.34893224064</v>
      </c>
    </row>
    <row r="295" spans="1:13" ht="14.4" x14ac:dyDescent="0.3">
      <c r="A295" s="71">
        <v>285</v>
      </c>
      <c r="B295" s="135">
        <f t="shared" si="16"/>
        <v>1656.611106425695</v>
      </c>
      <c r="C295" s="86">
        <f t="shared" si="17"/>
        <v>467.74590157855255</v>
      </c>
      <c r="D295" s="86">
        <f t="shared" si="18"/>
        <v>1188.8652048471424</v>
      </c>
      <c r="E295" s="13">
        <f t="shared" si="19"/>
        <v>105724.48372739345</v>
      </c>
      <c r="G295" s="158">
        <v>285</v>
      </c>
      <c r="H295" s="135">
        <v>1656.611106425695</v>
      </c>
      <c r="I295" s="86">
        <v>467.74590157855238</v>
      </c>
      <c r="J295" s="86">
        <v>1188.8652048471426</v>
      </c>
      <c r="K295" s="13">
        <v>105724.4837273935</v>
      </c>
      <c r="L295" s="145"/>
      <c r="M295" s="160">
        <v>105724.4837273935</v>
      </c>
    </row>
    <row r="296" spans="1:13" ht="14.4" x14ac:dyDescent="0.3">
      <c r="A296" s="71">
        <v>286</v>
      </c>
      <c r="B296" s="135">
        <f t="shared" si="16"/>
        <v>1656.611106425695</v>
      </c>
      <c r="C296" s="86">
        <f t="shared" si="17"/>
        <v>462.5446163073463</v>
      </c>
      <c r="D296" s="86">
        <f t="shared" si="18"/>
        <v>1194.0664901183486</v>
      </c>
      <c r="E296" s="13">
        <f t="shared" si="19"/>
        <v>104530.41723727511</v>
      </c>
      <c r="G296" s="158">
        <v>286</v>
      </c>
      <c r="H296" s="135">
        <v>1656.611106425695</v>
      </c>
      <c r="I296" s="86">
        <v>462.54461630734602</v>
      </c>
      <c r="J296" s="86">
        <v>1194.0664901183491</v>
      </c>
      <c r="K296" s="13">
        <v>104530.41723727515</v>
      </c>
      <c r="L296" s="145"/>
      <c r="M296" s="160">
        <v>104530.41723727515</v>
      </c>
    </row>
    <row r="297" spans="1:13" ht="14.4" x14ac:dyDescent="0.3">
      <c r="A297" s="71">
        <v>287</v>
      </c>
      <c r="B297" s="135">
        <f t="shared" si="16"/>
        <v>1656.611106425695</v>
      </c>
      <c r="C297" s="86">
        <f t="shared" si="17"/>
        <v>457.32057541307853</v>
      </c>
      <c r="D297" s="86">
        <f t="shared" si="18"/>
        <v>1199.2905310126164</v>
      </c>
      <c r="E297" s="13">
        <f t="shared" si="19"/>
        <v>103331.12670626248</v>
      </c>
      <c r="G297" s="158">
        <v>287</v>
      </c>
      <c r="H297" s="135">
        <v>1656.611106425695</v>
      </c>
      <c r="I297" s="86">
        <v>457.32057541307836</v>
      </c>
      <c r="J297" s="86">
        <v>1199.2905310126166</v>
      </c>
      <c r="K297" s="13">
        <v>103331.12670626253</v>
      </c>
      <c r="L297" s="145"/>
      <c r="M297" s="160">
        <v>103331.12670626253</v>
      </c>
    </row>
    <row r="298" spans="1:13" ht="14.4" x14ac:dyDescent="0.3">
      <c r="A298" s="71">
        <v>288</v>
      </c>
      <c r="B298" s="135">
        <f t="shared" si="16"/>
        <v>1656.611106425695</v>
      </c>
      <c r="C298" s="86">
        <f t="shared" si="17"/>
        <v>452.07367933989832</v>
      </c>
      <c r="D298" s="86">
        <f t="shared" si="18"/>
        <v>1204.5374270857967</v>
      </c>
      <c r="E298" s="13">
        <f t="shared" si="19"/>
        <v>102126.58927917668</v>
      </c>
      <c r="G298" s="158">
        <v>288</v>
      </c>
      <c r="H298" s="135">
        <v>1656.611106425695</v>
      </c>
      <c r="I298" s="86">
        <v>452.07367933989821</v>
      </c>
      <c r="J298" s="86">
        <v>1204.5374270857967</v>
      </c>
      <c r="K298" s="13">
        <v>102126.58927917673</v>
      </c>
      <c r="L298" s="145"/>
      <c r="M298" s="160">
        <v>102126.58927917673</v>
      </c>
    </row>
    <row r="299" spans="1:13" ht="14.4" x14ac:dyDescent="0.3">
      <c r="A299" s="71">
        <v>289</v>
      </c>
      <c r="B299" s="135">
        <f t="shared" si="16"/>
        <v>1656.611106425695</v>
      </c>
      <c r="C299" s="86">
        <f t="shared" si="17"/>
        <v>446.80382809639792</v>
      </c>
      <c r="D299" s="86">
        <f t="shared" si="18"/>
        <v>1209.8072783292971</v>
      </c>
      <c r="E299" s="13">
        <f t="shared" si="19"/>
        <v>100916.78200084738</v>
      </c>
      <c r="G299" s="158">
        <v>289</v>
      </c>
      <c r="H299" s="135">
        <v>1656.611106425695</v>
      </c>
      <c r="I299" s="86">
        <v>446.80382809639775</v>
      </c>
      <c r="J299" s="86">
        <v>1209.8072783292973</v>
      </c>
      <c r="K299" s="13">
        <v>100916.78200084742</v>
      </c>
      <c r="L299" s="145"/>
      <c r="M299" s="160">
        <v>100916.78200084742</v>
      </c>
    </row>
    <row r="300" spans="1:13" ht="14.4" x14ac:dyDescent="0.3">
      <c r="A300" s="71">
        <v>290</v>
      </c>
      <c r="B300" s="135">
        <f t="shared" si="16"/>
        <v>1656.611106425695</v>
      </c>
      <c r="C300" s="86">
        <f t="shared" si="17"/>
        <v>441.51092125370724</v>
      </c>
      <c r="D300" s="86">
        <f t="shared" si="18"/>
        <v>1215.1001851719877</v>
      </c>
      <c r="E300" s="13">
        <f t="shared" si="19"/>
        <v>99701.681815675387</v>
      </c>
      <c r="G300" s="158">
        <v>290</v>
      </c>
      <c r="H300" s="135">
        <v>1656.611106425695</v>
      </c>
      <c r="I300" s="86">
        <v>441.51092125370718</v>
      </c>
      <c r="J300" s="86">
        <v>1215.1001851719877</v>
      </c>
      <c r="K300" s="13">
        <v>99701.681815675431</v>
      </c>
      <c r="L300" s="145"/>
      <c r="M300" s="160">
        <v>99701.681815675431</v>
      </c>
    </row>
    <row r="301" spans="1:13" ht="14.4" x14ac:dyDescent="0.3">
      <c r="A301" s="71">
        <v>291</v>
      </c>
      <c r="B301" s="135">
        <f t="shared" si="16"/>
        <v>1656.611106425695</v>
      </c>
      <c r="C301" s="86">
        <f t="shared" si="17"/>
        <v>436.19485794357979</v>
      </c>
      <c r="D301" s="86">
        <f t="shared" si="18"/>
        <v>1220.4162484821152</v>
      </c>
      <c r="E301" s="13">
        <f t="shared" si="19"/>
        <v>98481.265567193273</v>
      </c>
      <c r="G301" s="158">
        <v>291</v>
      </c>
      <c r="H301" s="135">
        <v>1656.611106425695</v>
      </c>
      <c r="I301" s="86">
        <v>436.19485794357956</v>
      </c>
      <c r="J301" s="86">
        <v>1220.4162484821154</v>
      </c>
      <c r="K301" s="13">
        <v>98481.265567193317</v>
      </c>
      <c r="L301" s="145"/>
      <c r="M301" s="160">
        <v>98481.265567193317</v>
      </c>
    </row>
    <row r="302" spans="1:13" ht="14.4" x14ac:dyDescent="0.3">
      <c r="A302" s="71">
        <v>292</v>
      </c>
      <c r="B302" s="135">
        <f t="shared" si="16"/>
        <v>1656.611106425695</v>
      </c>
      <c r="C302" s="86">
        <f t="shared" si="17"/>
        <v>430.85553685647051</v>
      </c>
      <c r="D302" s="86">
        <f t="shared" si="18"/>
        <v>1225.7555695692245</v>
      </c>
      <c r="E302" s="13">
        <f t="shared" si="19"/>
        <v>97255.509997624045</v>
      </c>
      <c r="G302" s="158">
        <v>292</v>
      </c>
      <c r="H302" s="135">
        <v>1656.611106425695</v>
      </c>
      <c r="I302" s="86">
        <v>430.85553685647034</v>
      </c>
      <c r="J302" s="86">
        <v>1225.7555695692247</v>
      </c>
      <c r="K302" s="13">
        <v>97255.509997624089</v>
      </c>
      <c r="L302" s="145"/>
      <c r="M302" s="160">
        <v>97255.509997624089</v>
      </c>
    </row>
    <row r="303" spans="1:13" ht="14.4" x14ac:dyDescent="0.3">
      <c r="A303" s="71">
        <v>293</v>
      </c>
      <c r="B303" s="135">
        <f t="shared" si="16"/>
        <v>1656.611106425695</v>
      </c>
      <c r="C303" s="86">
        <f t="shared" si="17"/>
        <v>425.49285623960515</v>
      </c>
      <c r="D303" s="86">
        <f t="shared" si="18"/>
        <v>1231.1182501860899</v>
      </c>
      <c r="E303" s="13">
        <f t="shared" si="19"/>
        <v>96024.391747437956</v>
      </c>
      <c r="G303" s="158">
        <v>293</v>
      </c>
      <c r="H303" s="135">
        <v>1656.611106425695</v>
      </c>
      <c r="I303" s="86">
        <v>425.49285623960503</v>
      </c>
      <c r="J303" s="86">
        <v>1231.1182501860899</v>
      </c>
      <c r="K303" s="13">
        <v>96024.391747438</v>
      </c>
      <c r="L303" s="145"/>
      <c r="M303" s="160">
        <v>96024.391747438</v>
      </c>
    </row>
    <row r="304" spans="1:13" ht="14.4" x14ac:dyDescent="0.3">
      <c r="A304" s="71">
        <v>294</v>
      </c>
      <c r="B304" s="135">
        <f t="shared" si="16"/>
        <v>1656.611106425695</v>
      </c>
      <c r="C304" s="86">
        <f t="shared" si="17"/>
        <v>420.10671389504103</v>
      </c>
      <c r="D304" s="86">
        <f t="shared" si="18"/>
        <v>1236.5043925306541</v>
      </c>
      <c r="E304" s="13">
        <f t="shared" si="19"/>
        <v>94787.887354907303</v>
      </c>
      <c r="G304" s="158">
        <v>294</v>
      </c>
      <c r="H304" s="135">
        <v>1656.611106425695</v>
      </c>
      <c r="I304" s="86">
        <v>420.1067138950408</v>
      </c>
      <c r="J304" s="86">
        <v>1236.5043925306541</v>
      </c>
      <c r="K304" s="13">
        <v>94787.887354907347</v>
      </c>
      <c r="L304" s="145"/>
      <c r="M304" s="160">
        <v>94787.887354907347</v>
      </c>
    </row>
    <row r="305" spans="1:13" ht="14.4" x14ac:dyDescent="0.3">
      <c r="A305" s="71">
        <v>295</v>
      </c>
      <c r="B305" s="135">
        <f t="shared" si="16"/>
        <v>1656.611106425695</v>
      </c>
      <c r="C305" s="86">
        <f t="shared" si="17"/>
        <v>414.6970071777194</v>
      </c>
      <c r="D305" s="86">
        <f t="shared" si="18"/>
        <v>1241.9140992479756</v>
      </c>
      <c r="E305" s="13">
        <f t="shared" si="19"/>
        <v>93545.973255659323</v>
      </c>
      <c r="G305" s="158">
        <v>295</v>
      </c>
      <c r="H305" s="135">
        <v>1656.611106425695</v>
      </c>
      <c r="I305" s="86">
        <v>414.69700717771929</v>
      </c>
      <c r="J305" s="86">
        <v>1241.9140992479756</v>
      </c>
      <c r="K305" s="13">
        <v>93545.973255659366</v>
      </c>
      <c r="L305" s="145"/>
      <c r="M305" s="160">
        <v>93545.973255659366</v>
      </c>
    </row>
    <row r="306" spans="1:13" ht="14.4" x14ac:dyDescent="0.3">
      <c r="A306" s="71">
        <v>296</v>
      </c>
      <c r="B306" s="135">
        <f t="shared" si="16"/>
        <v>1656.611106425695</v>
      </c>
      <c r="C306" s="86">
        <f t="shared" si="17"/>
        <v>409.26363299350947</v>
      </c>
      <c r="D306" s="86">
        <f t="shared" si="18"/>
        <v>1247.3474734321856</v>
      </c>
      <c r="E306" s="13">
        <f t="shared" si="19"/>
        <v>92298.625782227144</v>
      </c>
      <c r="G306" s="158">
        <v>296</v>
      </c>
      <c r="H306" s="135">
        <v>1656.611106425695</v>
      </c>
      <c r="I306" s="86">
        <v>409.26363299350942</v>
      </c>
      <c r="J306" s="86">
        <v>1247.3474734321856</v>
      </c>
      <c r="K306" s="13">
        <v>92298.625782227187</v>
      </c>
      <c r="L306" s="145"/>
      <c r="M306" s="160">
        <v>92298.625782227187</v>
      </c>
    </row>
    <row r="307" spans="1:13" ht="14.4" x14ac:dyDescent="0.3">
      <c r="A307" s="71">
        <v>297</v>
      </c>
      <c r="B307" s="135">
        <f t="shared" si="16"/>
        <v>1656.611106425695</v>
      </c>
      <c r="C307" s="86">
        <f t="shared" si="17"/>
        <v>403.80648779724373</v>
      </c>
      <c r="D307" s="86">
        <f t="shared" si="18"/>
        <v>1252.8046186284512</v>
      </c>
      <c r="E307" s="13">
        <f t="shared" si="19"/>
        <v>91045.821163598695</v>
      </c>
      <c r="G307" s="158">
        <v>297</v>
      </c>
      <c r="H307" s="135">
        <v>1656.611106425695</v>
      </c>
      <c r="I307" s="86">
        <v>403.80648779724368</v>
      </c>
      <c r="J307" s="86">
        <v>1252.8046186284514</v>
      </c>
      <c r="K307" s="13">
        <v>91045.821163598739</v>
      </c>
      <c r="L307" s="145"/>
      <c r="M307" s="160">
        <v>91045.821163598739</v>
      </c>
    </row>
    <row r="308" spans="1:13" ht="14.4" x14ac:dyDescent="0.3">
      <c r="A308" s="71">
        <v>298</v>
      </c>
      <c r="B308" s="135">
        <f t="shared" si="16"/>
        <v>1656.611106425695</v>
      </c>
      <c r="C308" s="86">
        <f t="shared" si="17"/>
        <v>398.32546759074427</v>
      </c>
      <c r="D308" s="86">
        <f t="shared" si="18"/>
        <v>1258.2856388349508</v>
      </c>
      <c r="E308" s="13">
        <f t="shared" si="19"/>
        <v>89787.535524763749</v>
      </c>
      <c r="G308" s="158">
        <v>298</v>
      </c>
      <c r="H308" s="135">
        <v>1656.611106425695</v>
      </c>
      <c r="I308" s="86">
        <v>398.32546759074421</v>
      </c>
      <c r="J308" s="86">
        <v>1258.2856388349508</v>
      </c>
      <c r="K308" s="13">
        <v>89787.535524763793</v>
      </c>
      <c r="L308" s="145"/>
      <c r="M308" s="160">
        <v>89787.535524763793</v>
      </c>
    </row>
    <row r="309" spans="1:13" ht="14.4" x14ac:dyDescent="0.3">
      <c r="A309" s="71">
        <v>299</v>
      </c>
      <c r="B309" s="135">
        <f t="shared" si="16"/>
        <v>1656.611106425695</v>
      </c>
      <c r="C309" s="86">
        <f t="shared" si="17"/>
        <v>392.82046792084134</v>
      </c>
      <c r="D309" s="86">
        <f t="shared" si="18"/>
        <v>1263.7906385048536</v>
      </c>
      <c r="E309" s="13">
        <f t="shared" si="19"/>
        <v>88523.744886258894</v>
      </c>
      <c r="G309" s="158">
        <v>299</v>
      </c>
      <c r="H309" s="135">
        <v>1656.611106425695</v>
      </c>
      <c r="I309" s="86">
        <v>392.82046792084117</v>
      </c>
      <c r="J309" s="86">
        <v>1263.7906385048539</v>
      </c>
      <c r="K309" s="13">
        <v>88523.744886258937</v>
      </c>
      <c r="L309" s="145"/>
      <c r="M309" s="160">
        <v>88523.744886258937</v>
      </c>
    </row>
    <row r="310" spans="1:13" ht="14.4" x14ac:dyDescent="0.3">
      <c r="A310" s="71">
        <v>300</v>
      </c>
      <c r="B310" s="135">
        <f t="shared" si="16"/>
        <v>1656.611106425695</v>
      </c>
      <c r="C310" s="86">
        <f t="shared" si="17"/>
        <v>387.2913838773826</v>
      </c>
      <c r="D310" s="86">
        <f t="shared" si="18"/>
        <v>1269.3197225483123</v>
      </c>
      <c r="E310" s="13">
        <f t="shared" si="19"/>
        <v>87254.425163710577</v>
      </c>
      <c r="G310" s="158">
        <v>300</v>
      </c>
      <c r="H310" s="135">
        <v>1656.611106425695</v>
      </c>
      <c r="I310" s="86">
        <v>387.29138387738243</v>
      </c>
      <c r="J310" s="86">
        <v>1269.3197225483125</v>
      </c>
      <c r="K310" s="13">
        <v>87254.425163710621</v>
      </c>
      <c r="L310" s="145"/>
      <c r="M310" s="160">
        <v>87254.425163710621</v>
      </c>
    </row>
    <row r="311" spans="1:13" ht="14.4" x14ac:dyDescent="0.3">
      <c r="A311" s="71">
        <v>301</v>
      </c>
      <c r="B311" s="135">
        <f t="shared" si="16"/>
        <v>1656.611106425695</v>
      </c>
      <c r="C311" s="86">
        <f t="shared" si="17"/>
        <v>381.73811009123375</v>
      </c>
      <c r="D311" s="86">
        <f t="shared" si="18"/>
        <v>1274.8729963344613</v>
      </c>
      <c r="E311" s="13">
        <f t="shared" si="19"/>
        <v>85979.55216737611</v>
      </c>
      <c r="G311" s="158">
        <v>301</v>
      </c>
      <c r="H311" s="135">
        <v>1656.611106425695</v>
      </c>
      <c r="I311" s="86">
        <v>381.73811009123352</v>
      </c>
      <c r="J311" s="86">
        <v>1274.8729963344615</v>
      </c>
      <c r="K311" s="13">
        <v>85979.552167376154</v>
      </c>
      <c r="L311" s="145"/>
      <c r="M311" s="160">
        <v>85979.552167376154</v>
      </c>
    </row>
    <row r="312" spans="1:13" ht="14.4" x14ac:dyDescent="0.3">
      <c r="A312" s="71">
        <v>302</v>
      </c>
      <c r="B312" s="135">
        <f t="shared" si="16"/>
        <v>1656.611106425695</v>
      </c>
      <c r="C312" s="86">
        <f t="shared" si="17"/>
        <v>376.16054073227042</v>
      </c>
      <c r="D312" s="86">
        <f t="shared" si="18"/>
        <v>1280.4505656934246</v>
      </c>
      <c r="E312" s="13">
        <f t="shared" si="19"/>
        <v>84699.101601682691</v>
      </c>
      <c r="G312" s="158">
        <v>302</v>
      </c>
      <c r="H312" s="135">
        <v>1656.611106425695</v>
      </c>
      <c r="I312" s="86">
        <v>376.16054073227031</v>
      </c>
      <c r="J312" s="86">
        <v>1280.4505656934248</v>
      </c>
      <c r="K312" s="13">
        <v>84699.101601682734</v>
      </c>
      <c r="L312" s="145"/>
      <c r="M312" s="160">
        <v>84699.101601682734</v>
      </c>
    </row>
    <row r="313" spans="1:13" ht="14.4" x14ac:dyDescent="0.3">
      <c r="A313" s="71">
        <v>303</v>
      </c>
      <c r="B313" s="135">
        <f t="shared" si="16"/>
        <v>1656.611106425695</v>
      </c>
      <c r="C313" s="86">
        <f t="shared" si="17"/>
        <v>370.55856950736171</v>
      </c>
      <c r="D313" s="86">
        <f t="shared" si="18"/>
        <v>1286.0525369183333</v>
      </c>
      <c r="E313" s="13">
        <f t="shared" si="19"/>
        <v>83413.04906476436</v>
      </c>
      <c r="G313" s="158">
        <v>303</v>
      </c>
      <c r="H313" s="135">
        <v>1656.611106425695</v>
      </c>
      <c r="I313" s="86">
        <v>370.55856950736165</v>
      </c>
      <c r="J313" s="86">
        <v>1286.0525369183333</v>
      </c>
      <c r="K313" s="13">
        <v>83413.049064764404</v>
      </c>
      <c r="L313" s="145"/>
      <c r="M313" s="160">
        <v>83413.049064764404</v>
      </c>
    </row>
    <row r="314" spans="1:13" ht="14.4" x14ac:dyDescent="0.3">
      <c r="A314" s="71">
        <v>304</v>
      </c>
      <c r="B314" s="135">
        <f t="shared" si="16"/>
        <v>1656.611106425695</v>
      </c>
      <c r="C314" s="86">
        <f t="shared" si="17"/>
        <v>364.93208965834401</v>
      </c>
      <c r="D314" s="86">
        <f t="shared" si="18"/>
        <v>1291.679016767351</v>
      </c>
      <c r="E314" s="13">
        <f t="shared" si="19"/>
        <v>82121.370047997014</v>
      </c>
      <c r="G314" s="158">
        <v>304</v>
      </c>
      <c r="H314" s="135">
        <v>1656.611106425695</v>
      </c>
      <c r="I314" s="86">
        <v>364.93208965834384</v>
      </c>
      <c r="J314" s="86">
        <v>1291.6790167673512</v>
      </c>
      <c r="K314" s="13">
        <v>82121.370047997058</v>
      </c>
      <c r="L314" s="145"/>
      <c r="M314" s="160">
        <v>82121.370047997058</v>
      </c>
    </row>
    <row r="315" spans="1:13" ht="14.4" x14ac:dyDescent="0.3">
      <c r="A315" s="71">
        <v>305</v>
      </c>
      <c r="B315" s="135">
        <f t="shared" si="16"/>
        <v>1656.611106425695</v>
      </c>
      <c r="C315" s="86">
        <f t="shared" si="17"/>
        <v>359.28099395998692</v>
      </c>
      <c r="D315" s="86">
        <f t="shared" si="18"/>
        <v>1297.330112465708</v>
      </c>
      <c r="E315" s="13">
        <f t="shared" si="19"/>
        <v>80824.039935531313</v>
      </c>
      <c r="G315" s="158">
        <v>305</v>
      </c>
      <c r="H315" s="135">
        <v>1656.611106425695</v>
      </c>
      <c r="I315" s="86">
        <v>359.28099395998674</v>
      </c>
      <c r="J315" s="86">
        <v>1297.3301124657082</v>
      </c>
      <c r="K315" s="13">
        <v>80824.039935531357</v>
      </c>
      <c r="L315" s="145"/>
      <c r="M315" s="160">
        <v>80824.039935531357</v>
      </c>
    </row>
    <row r="316" spans="1:13" ht="14.4" x14ac:dyDescent="0.3">
      <c r="A316" s="71">
        <v>306</v>
      </c>
      <c r="B316" s="135">
        <f t="shared" si="16"/>
        <v>1656.611106425695</v>
      </c>
      <c r="C316" s="86">
        <f t="shared" si="17"/>
        <v>353.60517471794947</v>
      </c>
      <c r="D316" s="86">
        <f t="shared" si="18"/>
        <v>1303.0059317077455</v>
      </c>
      <c r="E316" s="13">
        <f t="shared" si="19"/>
        <v>79521.034003823574</v>
      </c>
      <c r="G316" s="158">
        <v>306</v>
      </c>
      <c r="H316" s="135">
        <v>1656.611106425695</v>
      </c>
      <c r="I316" s="86">
        <v>353.60517471794924</v>
      </c>
      <c r="J316" s="86">
        <v>1303.0059317077457</v>
      </c>
      <c r="K316" s="13">
        <v>79521.034003823617</v>
      </c>
      <c r="L316" s="145"/>
      <c r="M316" s="160">
        <v>79521.034003823617</v>
      </c>
    </row>
    <row r="317" spans="1:13" ht="14.4" x14ac:dyDescent="0.3">
      <c r="A317" s="71">
        <v>307</v>
      </c>
      <c r="B317" s="135">
        <f t="shared" si="16"/>
        <v>1656.611106425695</v>
      </c>
      <c r="C317" s="86">
        <f t="shared" si="17"/>
        <v>347.90452376672812</v>
      </c>
      <c r="D317" s="86">
        <f t="shared" si="18"/>
        <v>1308.7065826589669</v>
      </c>
      <c r="E317" s="13">
        <f t="shared" si="19"/>
        <v>78212.327421164606</v>
      </c>
      <c r="G317" s="158">
        <v>307</v>
      </c>
      <c r="H317" s="135">
        <v>1656.611106425695</v>
      </c>
      <c r="I317" s="86">
        <v>347.90452376672783</v>
      </c>
      <c r="J317" s="86">
        <v>1308.7065826589671</v>
      </c>
      <c r="K317" s="13">
        <v>78212.327421164649</v>
      </c>
      <c r="L317" s="145"/>
      <c r="M317" s="160">
        <v>78212.327421164649</v>
      </c>
    </row>
    <row r="318" spans="1:13" ht="14.4" x14ac:dyDescent="0.3">
      <c r="A318" s="71">
        <v>308</v>
      </c>
      <c r="B318" s="135">
        <f t="shared" si="16"/>
        <v>1656.611106425695</v>
      </c>
      <c r="C318" s="86">
        <f t="shared" si="17"/>
        <v>342.17893246759513</v>
      </c>
      <c r="D318" s="86">
        <f t="shared" si="18"/>
        <v>1314.4321739580998</v>
      </c>
      <c r="E318" s="13">
        <f t="shared" si="19"/>
        <v>76897.895247206499</v>
      </c>
      <c r="G318" s="158">
        <v>308</v>
      </c>
      <c r="H318" s="135">
        <v>1656.611106425695</v>
      </c>
      <c r="I318" s="86">
        <v>342.17893246759485</v>
      </c>
      <c r="J318" s="86">
        <v>1314.4321739581001</v>
      </c>
      <c r="K318" s="13">
        <v>76897.895247206543</v>
      </c>
      <c r="L318" s="145"/>
      <c r="M318" s="160">
        <v>76897.895247206543</v>
      </c>
    </row>
    <row r="319" spans="1:13" ht="14.4" x14ac:dyDescent="0.3">
      <c r="A319" s="71">
        <v>309</v>
      </c>
      <c r="B319" s="135">
        <f t="shared" si="16"/>
        <v>1656.611106425695</v>
      </c>
      <c r="C319" s="86">
        <f t="shared" si="17"/>
        <v>336.4282917065284</v>
      </c>
      <c r="D319" s="86">
        <f t="shared" si="18"/>
        <v>1320.1828147191666</v>
      </c>
      <c r="E319" s="13">
        <f t="shared" si="19"/>
        <v>75577.712432487329</v>
      </c>
      <c r="G319" s="158">
        <v>309</v>
      </c>
      <c r="H319" s="135">
        <v>1656.611106425695</v>
      </c>
      <c r="I319" s="86">
        <v>336.42829170652823</v>
      </c>
      <c r="J319" s="86">
        <v>1320.1828147191668</v>
      </c>
      <c r="K319" s="13">
        <v>75577.712432487373</v>
      </c>
      <c r="L319" s="145"/>
      <c r="M319" s="160">
        <v>75577.712432487373</v>
      </c>
    </row>
    <row r="320" spans="1:13" ht="14.4" x14ac:dyDescent="0.3">
      <c r="A320" s="71">
        <v>310</v>
      </c>
      <c r="B320" s="135">
        <f t="shared" si="16"/>
        <v>1656.611106425695</v>
      </c>
      <c r="C320" s="86">
        <f t="shared" si="17"/>
        <v>330.65249189213205</v>
      </c>
      <c r="D320" s="86">
        <f t="shared" si="18"/>
        <v>1325.9586145335629</v>
      </c>
      <c r="E320" s="13">
        <f t="shared" si="19"/>
        <v>74251.753817953766</v>
      </c>
      <c r="G320" s="158">
        <v>310</v>
      </c>
      <c r="H320" s="135">
        <v>1656.611106425695</v>
      </c>
      <c r="I320" s="86">
        <v>330.65249189213176</v>
      </c>
      <c r="J320" s="86">
        <v>1325.9586145335631</v>
      </c>
      <c r="K320" s="13">
        <v>74251.75381795381</v>
      </c>
      <c r="L320" s="145"/>
      <c r="M320" s="160">
        <v>74251.75381795381</v>
      </c>
    </row>
    <row r="321" spans="1:13" ht="14.4" x14ac:dyDescent="0.3">
      <c r="A321" s="71">
        <v>311</v>
      </c>
      <c r="B321" s="135">
        <f t="shared" si="16"/>
        <v>1656.611106425695</v>
      </c>
      <c r="C321" s="86">
        <f t="shared" si="17"/>
        <v>324.85142295354768</v>
      </c>
      <c r="D321" s="86">
        <f t="shared" si="18"/>
        <v>1331.7596834721473</v>
      </c>
      <c r="E321" s="13">
        <f t="shared" si="19"/>
        <v>72919.994134481618</v>
      </c>
      <c r="G321" s="158">
        <v>311</v>
      </c>
      <c r="H321" s="135">
        <v>1656.611106425695</v>
      </c>
      <c r="I321" s="86">
        <v>324.85142295354751</v>
      </c>
      <c r="J321" s="86">
        <v>1331.7596834721476</v>
      </c>
      <c r="K321" s="13">
        <v>72919.994134481662</v>
      </c>
      <c r="L321" s="145"/>
      <c r="M321" s="160">
        <v>72919.994134481662</v>
      </c>
    </row>
    <row r="322" spans="1:13" ht="14.4" x14ac:dyDescent="0.3">
      <c r="A322" s="71">
        <v>312</v>
      </c>
      <c r="B322" s="135">
        <f t="shared" si="16"/>
        <v>1656.611106425695</v>
      </c>
      <c r="C322" s="86">
        <f t="shared" si="17"/>
        <v>319.02497433835703</v>
      </c>
      <c r="D322" s="86">
        <f t="shared" si="18"/>
        <v>1337.586132087338</v>
      </c>
      <c r="E322" s="13">
        <f t="shared" si="19"/>
        <v>71582.408002394281</v>
      </c>
      <c r="G322" s="158">
        <v>312</v>
      </c>
      <c r="H322" s="135">
        <v>1656.611106425695</v>
      </c>
      <c r="I322" s="86">
        <v>319.02497433835686</v>
      </c>
      <c r="J322" s="86">
        <v>1337.5861320873382</v>
      </c>
      <c r="K322" s="13">
        <v>71582.408002394324</v>
      </c>
      <c r="L322" s="145"/>
      <c r="M322" s="160">
        <v>71582.408002394324</v>
      </c>
    </row>
    <row r="323" spans="1:13" ht="14.4" x14ac:dyDescent="0.3">
      <c r="A323" s="71">
        <v>313</v>
      </c>
      <c r="B323" s="135">
        <f t="shared" si="16"/>
        <v>1656.611106425695</v>
      </c>
      <c r="C323" s="86">
        <f t="shared" si="17"/>
        <v>313.17303501047496</v>
      </c>
      <c r="D323" s="86">
        <f t="shared" si="18"/>
        <v>1343.4380714152201</v>
      </c>
      <c r="E323" s="13">
        <f t="shared" si="19"/>
        <v>70238.969930979059</v>
      </c>
      <c r="G323" s="158">
        <v>313</v>
      </c>
      <c r="H323" s="135">
        <v>1656.611106425695</v>
      </c>
      <c r="I323" s="86">
        <v>313.17303501047473</v>
      </c>
      <c r="J323" s="86">
        <v>1343.4380714152203</v>
      </c>
      <c r="K323" s="13">
        <v>70238.969930979103</v>
      </c>
      <c r="L323" s="145"/>
      <c r="M323" s="160">
        <v>70238.969930979103</v>
      </c>
    </row>
    <row r="324" spans="1:13" ht="14.4" x14ac:dyDescent="0.3">
      <c r="A324" s="71">
        <v>314</v>
      </c>
      <c r="B324" s="135">
        <f t="shared" si="16"/>
        <v>1656.611106425695</v>
      </c>
      <c r="C324" s="86">
        <f t="shared" si="17"/>
        <v>307.29549344803337</v>
      </c>
      <c r="D324" s="86">
        <f t="shared" si="18"/>
        <v>1349.3156129776617</v>
      </c>
      <c r="E324" s="13">
        <f t="shared" si="19"/>
        <v>68889.654318001398</v>
      </c>
      <c r="G324" s="158">
        <v>314</v>
      </c>
      <c r="H324" s="135">
        <v>1656.611106425695</v>
      </c>
      <c r="I324" s="86">
        <v>307.29549344803314</v>
      </c>
      <c r="J324" s="86">
        <v>1349.3156129776619</v>
      </c>
      <c r="K324" s="13">
        <v>68889.654318001441</v>
      </c>
      <c r="L324" s="145"/>
      <c r="M324" s="160">
        <v>68889.654318001441</v>
      </c>
    </row>
    <row r="325" spans="1:13" ht="14.4" x14ac:dyDescent="0.3">
      <c r="A325" s="71">
        <v>315</v>
      </c>
      <c r="B325" s="135">
        <f t="shared" si="16"/>
        <v>1656.611106425695</v>
      </c>
      <c r="C325" s="86">
        <f t="shared" si="17"/>
        <v>301.39223764125609</v>
      </c>
      <c r="D325" s="86">
        <f t="shared" si="18"/>
        <v>1355.2188687844389</v>
      </c>
      <c r="E325" s="13">
        <f t="shared" si="19"/>
        <v>67534.435449216966</v>
      </c>
      <c r="G325" s="158">
        <v>315</v>
      </c>
      <c r="H325" s="135">
        <v>1656.611106425695</v>
      </c>
      <c r="I325" s="86">
        <v>301.39223764125592</v>
      </c>
      <c r="J325" s="86">
        <v>1355.2188687844391</v>
      </c>
      <c r="K325" s="13">
        <v>67534.43544921701</v>
      </c>
      <c r="L325" s="145"/>
      <c r="M325" s="160">
        <v>67534.43544921701</v>
      </c>
    </row>
    <row r="326" spans="1:13" ht="14.4" x14ac:dyDescent="0.3">
      <c r="A326" s="71">
        <v>316</v>
      </c>
      <c r="B326" s="135">
        <f t="shared" si="16"/>
        <v>1656.611106425695</v>
      </c>
      <c r="C326" s="86">
        <f t="shared" si="17"/>
        <v>295.46315509032422</v>
      </c>
      <c r="D326" s="86">
        <f t="shared" si="18"/>
        <v>1361.1479513353706</v>
      </c>
      <c r="E326" s="13">
        <f t="shared" si="19"/>
        <v>66173.287497881596</v>
      </c>
      <c r="G326" s="158">
        <v>316</v>
      </c>
      <c r="H326" s="135">
        <v>1656.611106425695</v>
      </c>
      <c r="I326" s="86">
        <v>295.46315509032399</v>
      </c>
      <c r="J326" s="86">
        <v>1361.1479513353711</v>
      </c>
      <c r="K326" s="13">
        <v>66173.28749788164</v>
      </c>
      <c r="L326" s="145"/>
      <c r="M326" s="160">
        <v>66173.28749788164</v>
      </c>
    </row>
    <row r="327" spans="1:13" ht="14.4" x14ac:dyDescent="0.3">
      <c r="A327" s="71">
        <v>317</v>
      </c>
      <c r="B327" s="135">
        <f t="shared" si="16"/>
        <v>1656.611106425695</v>
      </c>
      <c r="C327" s="86">
        <f t="shared" si="17"/>
        <v>289.50813280323194</v>
      </c>
      <c r="D327" s="86">
        <f t="shared" si="18"/>
        <v>1367.102973622463</v>
      </c>
      <c r="E327" s="13">
        <f t="shared" si="19"/>
        <v>64806.18452425913</v>
      </c>
      <c r="G327" s="158">
        <v>317</v>
      </c>
      <c r="H327" s="135">
        <v>1656.611106425695</v>
      </c>
      <c r="I327" s="86">
        <v>289.50813280323172</v>
      </c>
      <c r="J327" s="86">
        <v>1367.1029736224632</v>
      </c>
      <c r="K327" s="13">
        <v>64806.184524259173</v>
      </c>
      <c r="L327" s="145"/>
      <c r="M327" s="160">
        <v>64806.184524259173</v>
      </c>
    </row>
    <row r="328" spans="1:13" ht="14.4" x14ac:dyDescent="0.3">
      <c r="A328" s="71">
        <v>318</v>
      </c>
      <c r="B328" s="135">
        <f t="shared" si="16"/>
        <v>1656.611106425695</v>
      </c>
      <c r="C328" s="86">
        <f t="shared" si="17"/>
        <v>283.52705729363367</v>
      </c>
      <c r="D328" s="86">
        <f t="shared" si="18"/>
        <v>1373.0840491320614</v>
      </c>
      <c r="E328" s="13">
        <f t="shared" si="19"/>
        <v>63433.100475127067</v>
      </c>
      <c r="G328" s="158">
        <v>318</v>
      </c>
      <c r="H328" s="135">
        <v>1656.611106425695</v>
      </c>
      <c r="I328" s="86">
        <v>283.52705729363339</v>
      </c>
      <c r="J328" s="86">
        <v>1373.0840491320616</v>
      </c>
      <c r="K328" s="13">
        <v>63433.10047512711</v>
      </c>
      <c r="L328" s="145"/>
      <c r="M328" s="160">
        <v>63433.10047512711</v>
      </c>
    </row>
    <row r="329" spans="1:13" ht="14.4" x14ac:dyDescent="0.3">
      <c r="A329" s="71">
        <v>319</v>
      </c>
      <c r="B329" s="135">
        <f t="shared" si="16"/>
        <v>1656.611106425695</v>
      </c>
      <c r="C329" s="86">
        <f t="shared" si="17"/>
        <v>277.51981457868089</v>
      </c>
      <c r="D329" s="86">
        <f t="shared" si="18"/>
        <v>1379.091291847014</v>
      </c>
      <c r="E329" s="13">
        <f t="shared" si="19"/>
        <v>62054.009183280054</v>
      </c>
      <c r="G329" s="158">
        <v>319</v>
      </c>
      <c r="H329" s="135">
        <v>1656.611106425695</v>
      </c>
      <c r="I329" s="86">
        <v>277.51981457868067</v>
      </c>
      <c r="J329" s="86">
        <v>1379.0912918470144</v>
      </c>
      <c r="K329" s="13">
        <v>62054.009183280097</v>
      </c>
      <c r="L329" s="145"/>
      <c r="M329" s="160">
        <v>62054.009183280097</v>
      </c>
    </row>
    <row r="330" spans="1:13" ht="14.4" x14ac:dyDescent="0.3">
      <c r="A330" s="71">
        <v>320</v>
      </c>
      <c r="B330" s="135">
        <f t="shared" si="16"/>
        <v>1656.611106425695</v>
      </c>
      <c r="C330" s="86">
        <f t="shared" si="17"/>
        <v>271.48629017685022</v>
      </c>
      <c r="D330" s="86">
        <f t="shared" si="18"/>
        <v>1385.1248162488448</v>
      </c>
      <c r="E330" s="13">
        <f t="shared" si="19"/>
        <v>60668.884367031205</v>
      </c>
      <c r="G330" s="158">
        <v>320</v>
      </c>
      <c r="H330" s="135">
        <v>1656.611106425695</v>
      </c>
      <c r="I330" s="86">
        <v>271.48629017684999</v>
      </c>
      <c r="J330" s="86">
        <v>1385.124816248845</v>
      </c>
      <c r="K330" s="13">
        <v>60668.884367031249</v>
      </c>
      <c r="L330" s="145"/>
      <c r="M330" s="160">
        <v>60668.884367031249</v>
      </c>
    </row>
    <row r="331" spans="1:13" ht="14.4" x14ac:dyDescent="0.3">
      <c r="A331" s="71">
        <v>321</v>
      </c>
      <c r="B331" s="135">
        <f t="shared" si="16"/>
        <v>1656.611106425695</v>
      </c>
      <c r="C331" s="86">
        <f t="shared" si="17"/>
        <v>265.42636910576152</v>
      </c>
      <c r="D331" s="86">
        <f t="shared" si="18"/>
        <v>1391.1847373199334</v>
      </c>
      <c r="E331" s="13">
        <f t="shared" si="19"/>
        <v>59277.699629711271</v>
      </c>
      <c r="G331" s="158">
        <v>321</v>
      </c>
      <c r="H331" s="135">
        <v>1656.611106425695</v>
      </c>
      <c r="I331" s="86">
        <v>265.4263691057613</v>
      </c>
      <c r="J331" s="86">
        <v>1391.1847373199337</v>
      </c>
      <c r="K331" s="13">
        <v>59277.699629711315</v>
      </c>
      <c r="L331" s="145"/>
      <c r="M331" s="160">
        <v>59277.699629711315</v>
      </c>
    </row>
    <row r="332" spans="1:13" ht="14.4" x14ac:dyDescent="0.3">
      <c r="A332" s="71">
        <v>322</v>
      </c>
      <c r="B332" s="135">
        <f t="shared" ref="B332:B370" si="20">-$B$7</f>
        <v>1656.611106425695</v>
      </c>
      <c r="C332" s="86">
        <f t="shared" ref="C332:C370" si="21">E331*$B$3</f>
        <v>259.3399358799868</v>
      </c>
      <c r="D332" s="86">
        <f t="shared" ref="D332:D370" si="22">B332-C332</f>
        <v>1397.2711705457082</v>
      </c>
      <c r="E332" s="13">
        <f t="shared" ref="E332:E370" si="23">E331-D332</f>
        <v>57880.42845916556</v>
      </c>
      <c r="G332" s="158">
        <v>322</v>
      </c>
      <c r="H332" s="135">
        <v>1656.611106425695</v>
      </c>
      <c r="I332" s="86">
        <v>259.33993587998657</v>
      </c>
      <c r="J332" s="86">
        <v>1397.2711705457084</v>
      </c>
      <c r="K332" s="13">
        <v>57880.428459165603</v>
      </c>
      <c r="L332" s="145"/>
      <c r="M332" s="160">
        <v>57880.428459165603</v>
      </c>
    </row>
    <row r="333" spans="1:13" ht="14.4" x14ac:dyDescent="0.3">
      <c r="A333" s="71">
        <v>323</v>
      </c>
      <c r="B333" s="135">
        <f t="shared" si="20"/>
        <v>1656.611106425695</v>
      </c>
      <c r="C333" s="86">
        <f t="shared" si="21"/>
        <v>253.22687450884931</v>
      </c>
      <c r="D333" s="86">
        <f t="shared" si="22"/>
        <v>1403.3842319168457</v>
      </c>
      <c r="E333" s="13">
        <f t="shared" si="23"/>
        <v>56477.044227248713</v>
      </c>
      <c r="G333" s="158">
        <v>323</v>
      </c>
      <c r="H333" s="135">
        <v>1656.611106425695</v>
      </c>
      <c r="I333" s="86">
        <v>253.22687450884911</v>
      </c>
      <c r="J333" s="86">
        <v>1403.3842319168459</v>
      </c>
      <c r="K333" s="13">
        <v>56477.044227248756</v>
      </c>
      <c r="L333" s="145"/>
      <c r="M333" s="160">
        <v>56477.044227248756</v>
      </c>
    </row>
    <row r="334" spans="1:13" ht="14.4" x14ac:dyDescent="0.3">
      <c r="A334" s="71">
        <v>324</v>
      </c>
      <c r="B334" s="135">
        <f t="shared" si="20"/>
        <v>1656.611106425695</v>
      </c>
      <c r="C334" s="86">
        <f t="shared" si="21"/>
        <v>247.0870684942131</v>
      </c>
      <c r="D334" s="86">
        <f t="shared" si="22"/>
        <v>1409.5240379314819</v>
      </c>
      <c r="E334" s="13">
        <f t="shared" si="23"/>
        <v>55067.520189317234</v>
      </c>
      <c r="G334" s="158">
        <v>324</v>
      </c>
      <c r="H334" s="135">
        <v>1656.611106425695</v>
      </c>
      <c r="I334" s="86">
        <v>247.0870684942129</v>
      </c>
      <c r="J334" s="86">
        <v>1409.5240379314821</v>
      </c>
      <c r="K334" s="13">
        <v>55067.520189317271</v>
      </c>
      <c r="L334" s="145"/>
      <c r="M334" s="160">
        <v>55067.520189317271</v>
      </c>
    </row>
    <row r="335" spans="1:13" ht="14.4" x14ac:dyDescent="0.3">
      <c r="A335" s="71">
        <v>325</v>
      </c>
      <c r="B335" s="135">
        <f t="shared" si="20"/>
        <v>1656.611106425695</v>
      </c>
      <c r="C335" s="86">
        <f t="shared" si="21"/>
        <v>240.92040082826287</v>
      </c>
      <c r="D335" s="86">
        <f t="shared" si="22"/>
        <v>1415.690705597432</v>
      </c>
      <c r="E335" s="13">
        <f t="shared" si="23"/>
        <v>53651.829483719805</v>
      </c>
      <c r="G335" s="158">
        <v>325</v>
      </c>
      <c r="H335" s="135">
        <v>1656.611106425695</v>
      </c>
      <c r="I335" s="86">
        <v>240.92040082826267</v>
      </c>
      <c r="J335" s="86">
        <v>1415.6907055974323</v>
      </c>
      <c r="K335" s="13">
        <v>53651.829483719841</v>
      </c>
      <c r="L335" s="145"/>
      <c r="M335" s="160">
        <v>53651.829483719841</v>
      </c>
    </row>
    <row r="336" spans="1:13" ht="14.4" x14ac:dyDescent="0.3">
      <c r="A336" s="71">
        <v>326</v>
      </c>
      <c r="B336" s="135">
        <f t="shared" si="20"/>
        <v>1656.611106425695</v>
      </c>
      <c r="C336" s="86">
        <f t="shared" si="21"/>
        <v>234.72675399127411</v>
      </c>
      <c r="D336" s="86">
        <f t="shared" si="22"/>
        <v>1421.8843524344209</v>
      </c>
      <c r="E336" s="13">
        <f t="shared" si="23"/>
        <v>52229.945131285385</v>
      </c>
      <c r="G336" s="158">
        <v>326</v>
      </c>
      <c r="H336" s="135">
        <v>1656.611106425695</v>
      </c>
      <c r="I336" s="86">
        <v>234.72675399127391</v>
      </c>
      <c r="J336" s="86">
        <v>1421.8843524344211</v>
      </c>
      <c r="K336" s="13">
        <v>52229.945131285422</v>
      </c>
      <c r="L336" s="145"/>
      <c r="M336" s="160">
        <v>52229.945131285422</v>
      </c>
    </row>
    <row r="337" spans="1:13" ht="14.4" x14ac:dyDescent="0.3">
      <c r="A337" s="71">
        <v>327</v>
      </c>
      <c r="B337" s="135">
        <f t="shared" si="20"/>
        <v>1656.611106425695</v>
      </c>
      <c r="C337" s="86">
        <f t="shared" si="21"/>
        <v>228.50600994937355</v>
      </c>
      <c r="D337" s="86">
        <f t="shared" si="22"/>
        <v>1428.1050964763215</v>
      </c>
      <c r="E337" s="13">
        <f t="shared" si="23"/>
        <v>50801.840034809065</v>
      </c>
      <c r="G337" s="158">
        <v>327</v>
      </c>
      <c r="H337" s="135">
        <v>1656.611106425695</v>
      </c>
      <c r="I337" s="86">
        <v>228.50600994937329</v>
      </c>
      <c r="J337" s="86">
        <v>1428.1050964763217</v>
      </c>
      <c r="K337" s="13">
        <v>50801.840034809102</v>
      </c>
      <c r="L337" s="145"/>
      <c r="M337" s="160">
        <v>50801.840034809102</v>
      </c>
    </row>
    <row r="338" spans="1:13" ht="14.4" x14ac:dyDescent="0.3">
      <c r="A338" s="71">
        <v>328</v>
      </c>
      <c r="B338" s="135">
        <f t="shared" si="20"/>
        <v>1656.611106425695</v>
      </c>
      <c r="C338" s="86">
        <f t="shared" si="21"/>
        <v>222.25805015228963</v>
      </c>
      <c r="D338" s="86">
        <f t="shared" si="22"/>
        <v>1434.3530562734054</v>
      </c>
      <c r="E338" s="13">
        <f t="shared" si="23"/>
        <v>49367.486978535657</v>
      </c>
      <c r="G338" s="158">
        <v>328</v>
      </c>
      <c r="H338" s="135">
        <v>1656.611106425695</v>
      </c>
      <c r="I338" s="86">
        <v>222.25805015228943</v>
      </c>
      <c r="J338" s="86">
        <v>1434.3530562734056</v>
      </c>
      <c r="K338" s="13">
        <v>49367.486978535693</v>
      </c>
      <c r="L338" s="145"/>
      <c r="M338" s="160">
        <v>49367.486978535693</v>
      </c>
    </row>
    <row r="339" spans="1:13" ht="14.4" x14ac:dyDescent="0.3">
      <c r="A339" s="71">
        <v>329</v>
      </c>
      <c r="B339" s="135">
        <f t="shared" si="20"/>
        <v>1656.611106425695</v>
      </c>
      <c r="C339" s="86">
        <f t="shared" si="21"/>
        <v>215.98275553109349</v>
      </c>
      <c r="D339" s="86">
        <f t="shared" si="22"/>
        <v>1440.6283508946015</v>
      </c>
      <c r="E339" s="13">
        <f t="shared" si="23"/>
        <v>47926.858627641057</v>
      </c>
      <c r="G339" s="158">
        <v>329</v>
      </c>
      <c r="H339" s="135">
        <v>1656.611106425695</v>
      </c>
      <c r="I339" s="86">
        <v>215.98275553109326</v>
      </c>
      <c r="J339" s="86">
        <v>1440.6283508946017</v>
      </c>
      <c r="K339" s="13">
        <v>47926.858627641093</v>
      </c>
      <c r="L339" s="145"/>
      <c r="M339" s="160">
        <v>47926.858627641093</v>
      </c>
    </row>
    <row r="340" spans="1:13" ht="14.4" x14ac:dyDescent="0.3">
      <c r="A340" s="71">
        <v>330</v>
      </c>
      <c r="B340" s="135">
        <f t="shared" si="20"/>
        <v>1656.611106425695</v>
      </c>
      <c r="C340" s="86">
        <f t="shared" si="21"/>
        <v>209.6800064959296</v>
      </c>
      <c r="D340" s="86">
        <f t="shared" si="22"/>
        <v>1446.9310999297654</v>
      </c>
      <c r="E340" s="13">
        <f t="shared" si="23"/>
        <v>46479.92752771129</v>
      </c>
      <c r="G340" s="158">
        <v>330</v>
      </c>
      <c r="H340" s="135">
        <v>1656.611106425695</v>
      </c>
      <c r="I340" s="86">
        <v>209.68000649592935</v>
      </c>
      <c r="J340" s="86">
        <v>1446.9310999297657</v>
      </c>
      <c r="K340" s="13">
        <v>46479.927527711327</v>
      </c>
      <c r="L340" s="145"/>
      <c r="M340" s="160">
        <v>46479.927527711327</v>
      </c>
    </row>
    <row r="341" spans="1:13" ht="14.4" x14ac:dyDescent="0.3">
      <c r="A341" s="71">
        <v>331</v>
      </c>
      <c r="B341" s="135">
        <f t="shared" si="20"/>
        <v>1656.611106425695</v>
      </c>
      <c r="C341" s="86">
        <f t="shared" si="21"/>
        <v>203.34968293373689</v>
      </c>
      <c r="D341" s="86">
        <f t="shared" si="22"/>
        <v>1453.2614234919581</v>
      </c>
      <c r="E341" s="13">
        <f t="shared" si="23"/>
        <v>45026.66610421933</v>
      </c>
      <c r="G341" s="158">
        <v>331</v>
      </c>
      <c r="H341" s="135">
        <v>1656.611106425695</v>
      </c>
      <c r="I341" s="86">
        <v>203.34968293373663</v>
      </c>
      <c r="J341" s="86">
        <v>1453.2614234919583</v>
      </c>
      <c r="K341" s="13">
        <v>45026.666104219366</v>
      </c>
      <c r="L341" s="145"/>
      <c r="M341" s="160">
        <v>45026.666104219366</v>
      </c>
    </row>
    <row r="342" spans="1:13" ht="14.4" x14ac:dyDescent="0.3">
      <c r="A342" s="71">
        <v>332</v>
      </c>
      <c r="B342" s="135">
        <f t="shared" si="20"/>
        <v>1656.611106425695</v>
      </c>
      <c r="C342" s="86">
        <f t="shared" si="21"/>
        <v>196.99166420595955</v>
      </c>
      <c r="D342" s="86">
        <f t="shared" si="22"/>
        <v>1459.6194422197354</v>
      </c>
      <c r="E342" s="13">
        <f t="shared" si="23"/>
        <v>43567.046661999593</v>
      </c>
      <c r="G342" s="158">
        <v>332</v>
      </c>
      <c r="H342" s="135">
        <v>1656.611106425695</v>
      </c>
      <c r="I342" s="86">
        <v>196.99166420595935</v>
      </c>
      <c r="J342" s="86">
        <v>1459.6194422197357</v>
      </c>
      <c r="K342" s="13">
        <v>43567.04666199963</v>
      </c>
      <c r="L342" s="145"/>
      <c r="M342" s="160">
        <v>43567.04666199963</v>
      </c>
    </row>
    <row r="343" spans="1:13" ht="14.4" x14ac:dyDescent="0.3">
      <c r="A343" s="71">
        <v>333</v>
      </c>
      <c r="B343" s="135">
        <f t="shared" si="20"/>
        <v>1656.611106425695</v>
      </c>
      <c r="C343" s="86">
        <f t="shared" si="21"/>
        <v>190.6058291462482</v>
      </c>
      <c r="D343" s="86">
        <f t="shared" si="22"/>
        <v>1466.0052772794468</v>
      </c>
      <c r="E343" s="13">
        <f t="shared" si="23"/>
        <v>42101.041384720149</v>
      </c>
      <c r="G343" s="158">
        <v>333</v>
      </c>
      <c r="H343" s="135">
        <v>1656.611106425695</v>
      </c>
      <c r="I343" s="86">
        <v>190.60582914624797</v>
      </c>
      <c r="J343" s="86">
        <v>1466.005277279447</v>
      </c>
      <c r="K343" s="13">
        <v>42101.041384720185</v>
      </c>
      <c r="L343" s="145"/>
      <c r="M343" s="160">
        <v>42101.041384720185</v>
      </c>
    </row>
    <row r="344" spans="1:13" ht="14.4" x14ac:dyDescent="0.3">
      <c r="A344" s="71">
        <v>334</v>
      </c>
      <c r="B344" s="135">
        <f t="shared" si="20"/>
        <v>1656.611106425695</v>
      </c>
      <c r="C344" s="86">
        <f t="shared" si="21"/>
        <v>184.19205605815063</v>
      </c>
      <c r="D344" s="86">
        <f t="shared" si="22"/>
        <v>1472.4190503675443</v>
      </c>
      <c r="E344" s="13">
        <f t="shared" si="23"/>
        <v>40628.622334352607</v>
      </c>
      <c r="G344" s="158">
        <v>334</v>
      </c>
      <c r="H344" s="135">
        <v>1656.611106425695</v>
      </c>
      <c r="I344" s="86">
        <v>184.1920560581504</v>
      </c>
      <c r="J344" s="86">
        <v>1472.4190503675445</v>
      </c>
      <c r="K344" s="13">
        <v>40628.622334352644</v>
      </c>
      <c r="L344" s="145"/>
      <c r="M344" s="160">
        <v>40628.622334352644</v>
      </c>
    </row>
    <row r="345" spans="1:13" ht="14.4" x14ac:dyDescent="0.3">
      <c r="A345" s="71">
        <v>335</v>
      </c>
      <c r="B345" s="135">
        <f t="shared" si="20"/>
        <v>1656.611106425695</v>
      </c>
      <c r="C345" s="86">
        <f t="shared" si="21"/>
        <v>177.75022271279263</v>
      </c>
      <c r="D345" s="86">
        <f t="shared" si="22"/>
        <v>1478.8608837129023</v>
      </c>
      <c r="E345" s="13">
        <f t="shared" si="23"/>
        <v>39149.761450639708</v>
      </c>
      <c r="G345" s="158">
        <v>335</v>
      </c>
      <c r="H345" s="135">
        <v>1656.611106425695</v>
      </c>
      <c r="I345" s="86">
        <v>177.75022271279238</v>
      </c>
      <c r="J345" s="86">
        <v>1478.8608837129027</v>
      </c>
      <c r="K345" s="13">
        <v>39149.761450639744</v>
      </c>
      <c r="L345" s="145"/>
      <c r="M345" s="160">
        <v>39149.761450639744</v>
      </c>
    </row>
    <row r="346" spans="1:13" ht="14.4" x14ac:dyDescent="0.3">
      <c r="A346" s="71">
        <v>336</v>
      </c>
      <c r="B346" s="135">
        <f t="shared" si="20"/>
        <v>1656.611106425695</v>
      </c>
      <c r="C346" s="86">
        <f t="shared" si="21"/>
        <v>171.28020634654871</v>
      </c>
      <c r="D346" s="86">
        <f t="shared" si="22"/>
        <v>1485.3309000791462</v>
      </c>
      <c r="E346" s="13">
        <f t="shared" si="23"/>
        <v>37664.430550560559</v>
      </c>
      <c r="G346" s="158">
        <v>336</v>
      </c>
      <c r="H346" s="135">
        <v>1656.611106425695</v>
      </c>
      <c r="I346" s="86">
        <v>171.28020634654845</v>
      </c>
      <c r="J346" s="86">
        <v>1485.3309000791464</v>
      </c>
      <c r="K346" s="13">
        <v>37664.430550560595</v>
      </c>
      <c r="L346" s="145"/>
      <c r="M346" s="160">
        <v>37664.430550560595</v>
      </c>
    </row>
    <row r="347" spans="1:13" ht="14.4" x14ac:dyDescent="0.3">
      <c r="A347" s="71">
        <v>337</v>
      </c>
      <c r="B347" s="135">
        <f t="shared" si="20"/>
        <v>1656.611106425695</v>
      </c>
      <c r="C347" s="86">
        <f t="shared" si="21"/>
        <v>164.78188365870244</v>
      </c>
      <c r="D347" s="86">
        <f t="shared" si="22"/>
        <v>1491.8292227669926</v>
      </c>
      <c r="E347" s="13">
        <f t="shared" si="23"/>
        <v>36172.601327793564</v>
      </c>
      <c r="G347" s="158">
        <v>337</v>
      </c>
      <c r="H347" s="135">
        <v>1656.611106425695</v>
      </c>
      <c r="I347" s="86">
        <v>164.78188365870221</v>
      </c>
      <c r="J347" s="86">
        <v>1491.8292227669926</v>
      </c>
      <c r="K347" s="13">
        <v>36172.6013277936</v>
      </c>
      <c r="L347" s="145"/>
      <c r="M347" s="160">
        <v>36172.6013277936</v>
      </c>
    </row>
    <row r="348" spans="1:13" ht="14.4" x14ac:dyDescent="0.3">
      <c r="A348" s="71">
        <v>338</v>
      </c>
      <c r="B348" s="135">
        <f t="shared" si="20"/>
        <v>1656.611106425695</v>
      </c>
      <c r="C348" s="86">
        <f t="shared" si="21"/>
        <v>158.25513080909681</v>
      </c>
      <c r="D348" s="86">
        <f t="shared" si="22"/>
        <v>1498.3559756165982</v>
      </c>
      <c r="E348" s="13">
        <f t="shared" si="23"/>
        <v>34674.245352176964</v>
      </c>
      <c r="G348" s="158">
        <v>338</v>
      </c>
      <c r="H348" s="135">
        <v>1656.611106425695</v>
      </c>
      <c r="I348" s="86">
        <v>158.25513080909656</v>
      </c>
      <c r="J348" s="86">
        <v>1498.3559756165985</v>
      </c>
      <c r="K348" s="13">
        <v>34674.245352177</v>
      </c>
      <c r="L348" s="145"/>
      <c r="M348" s="160">
        <v>34674.245352177</v>
      </c>
    </row>
    <row r="349" spans="1:13" ht="14.4" x14ac:dyDescent="0.3">
      <c r="A349" s="71">
        <v>339</v>
      </c>
      <c r="B349" s="135">
        <f t="shared" si="20"/>
        <v>1656.611106425695</v>
      </c>
      <c r="C349" s="86">
        <f t="shared" si="21"/>
        <v>151.6998234157742</v>
      </c>
      <c r="D349" s="86">
        <f t="shared" si="22"/>
        <v>1504.9112830099207</v>
      </c>
      <c r="E349" s="13">
        <f t="shared" si="23"/>
        <v>33169.334069167046</v>
      </c>
      <c r="G349" s="158">
        <v>339</v>
      </c>
      <c r="H349" s="135">
        <v>1656.611106425695</v>
      </c>
      <c r="I349" s="86">
        <v>151.69982341577395</v>
      </c>
      <c r="J349" s="86">
        <v>1504.9112830099211</v>
      </c>
      <c r="K349" s="13">
        <v>33169.334069167082</v>
      </c>
      <c r="L349" s="145"/>
      <c r="M349" s="160">
        <v>33169.334069167082</v>
      </c>
    </row>
    <row r="350" spans="1:13" ht="14.4" x14ac:dyDescent="0.3">
      <c r="A350" s="71">
        <v>340</v>
      </c>
      <c r="B350" s="135">
        <f t="shared" si="20"/>
        <v>1656.611106425695</v>
      </c>
      <c r="C350" s="86">
        <f t="shared" si="21"/>
        <v>145.1158365526058</v>
      </c>
      <c r="D350" s="86">
        <f t="shared" si="22"/>
        <v>1511.4952698730892</v>
      </c>
      <c r="E350" s="13">
        <f t="shared" si="23"/>
        <v>31657.838799293957</v>
      </c>
      <c r="G350" s="158">
        <v>340</v>
      </c>
      <c r="H350" s="135">
        <v>1656.611106425695</v>
      </c>
      <c r="I350" s="86">
        <v>145.11583655260554</v>
      </c>
      <c r="J350" s="86">
        <v>1511.4952698730895</v>
      </c>
      <c r="K350" s="13">
        <v>31657.838799293993</v>
      </c>
      <c r="L350" s="145"/>
      <c r="M350" s="160">
        <v>31657.838799293993</v>
      </c>
    </row>
    <row r="351" spans="1:13" ht="14.4" x14ac:dyDescent="0.3">
      <c r="A351" s="71">
        <v>341</v>
      </c>
      <c r="B351" s="135">
        <f t="shared" si="20"/>
        <v>1656.611106425695</v>
      </c>
      <c r="C351" s="86">
        <f t="shared" si="21"/>
        <v>138.50304474691106</v>
      </c>
      <c r="D351" s="86">
        <f t="shared" si="22"/>
        <v>1518.108061678784</v>
      </c>
      <c r="E351" s="13">
        <f t="shared" si="23"/>
        <v>30139.730737615173</v>
      </c>
      <c r="G351" s="158">
        <v>341</v>
      </c>
      <c r="H351" s="135">
        <v>1656.611106425695</v>
      </c>
      <c r="I351" s="86">
        <v>138.5030447469108</v>
      </c>
      <c r="J351" s="86">
        <v>1518.1080616787842</v>
      </c>
      <c r="K351" s="13">
        <v>30139.730737615209</v>
      </c>
      <c r="L351" s="145"/>
      <c r="M351" s="160">
        <v>30139.730737615209</v>
      </c>
    </row>
    <row r="352" spans="1:13" ht="14.4" x14ac:dyDescent="0.3">
      <c r="A352" s="71">
        <v>342</v>
      </c>
      <c r="B352" s="135">
        <f t="shared" si="20"/>
        <v>1656.611106425695</v>
      </c>
      <c r="C352" s="86">
        <f t="shared" si="21"/>
        <v>131.86132197706638</v>
      </c>
      <c r="D352" s="86">
        <f t="shared" si="22"/>
        <v>1524.7497844486286</v>
      </c>
      <c r="E352" s="13">
        <f t="shared" si="23"/>
        <v>28614.980953166545</v>
      </c>
      <c r="G352" s="158">
        <v>342</v>
      </c>
      <c r="H352" s="135">
        <v>1656.611106425695</v>
      </c>
      <c r="I352" s="86">
        <v>131.86132197706613</v>
      </c>
      <c r="J352" s="86">
        <v>1524.7497844486288</v>
      </c>
      <c r="K352" s="13">
        <v>28614.980953166581</v>
      </c>
      <c r="L352" s="145"/>
      <c r="M352" s="160">
        <v>28614.980953166581</v>
      </c>
    </row>
    <row r="353" spans="1:13" ht="14.4" x14ac:dyDescent="0.3">
      <c r="A353" s="71">
        <v>343</v>
      </c>
      <c r="B353" s="135">
        <f t="shared" si="20"/>
        <v>1656.611106425695</v>
      </c>
      <c r="C353" s="86">
        <f t="shared" si="21"/>
        <v>125.19054167010363</v>
      </c>
      <c r="D353" s="86">
        <f t="shared" si="22"/>
        <v>1531.4205647555914</v>
      </c>
      <c r="E353" s="13">
        <f t="shared" si="23"/>
        <v>27083.560388410955</v>
      </c>
      <c r="G353" s="158">
        <v>343</v>
      </c>
      <c r="H353" s="135">
        <v>1656.611106425695</v>
      </c>
      <c r="I353" s="86">
        <v>125.19054167010337</v>
      </c>
      <c r="J353" s="86">
        <v>1531.4205647555916</v>
      </c>
      <c r="K353" s="13">
        <v>27083.560388410991</v>
      </c>
      <c r="L353" s="145"/>
      <c r="M353" s="160">
        <v>27083.560388410991</v>
      </c>
    </row>
    <row r="354" spans="1:13" ht="14.4" x14ac:dyDescent="0.3">
      <c r="A354" s="71">
        <v>344</v>
      </c>
      <c r="B354" s="135">
        <f t="shared" si="20"/>
        <v>1656.611106425695</v>
      </c>
      <c r="C354" s="86">
        <f t="shared" si="21"/>
        <v>118.49057669929792</v>
      </c>
      <c r="D354" s="86">
        <f t="shared" si="22"/>
        <v>1538.1205297263971</v>
      </c>
      <c r="E354" s="13">
        <f t="shared" si="23"/>
        <v>25545.439858684556</v>
      </c>
      <c r="G354" s="158">
        <v>344</v>
      </c>
      <c r="H354" s="135">
        <v>1656.611106425695</v>
      </c>
      <c r="I354" s="86">
        <v>118.49057669929766</v>
      </c>
      <c r="J354" s="86">
        <v>1538.1205297263973</v>
      </c>
      <c r="K354" s="13">
        <v>25545.439858684593</v>
      </c>
      <c r="L354" s="145"/>
      <c r="M354" s="160">
        <v>25545.439858684593</v>
      </c>
    </row>
    <row r="355" spans="1:13" ht="14.4" x14ac:dyDescent="0.3">
      <c r="A355" s="71">
        <v>345</v>
      </c>
      <c r="B355" s="135">
        <f t="shared" si="20"/>
        <v>1656.611106425695</v>
      </c>
      <c r="C355" s="86">
        <f t="shared" si="21"/>
        <v>111.76129938174492</v>
      </c>
      <c r="D355" s="86">
        <f t="shared" si="22"/>
        <v>1544.84980704395</v>
      </c>
      <c r="E355" s="13">
        <f t="shared" si="23"/>
        <v>24000.590051640607</v>
      </c>
      <c r="G355" s="158">
        <v>345</v>
      </c>
      <c r="H355" s="135">
        <v>1656.611106425695</v>
      </c>
      <c r="I355" s="86">
        <v>111.76129938174465</v>
      </c>
      <c r="J355" s="86">
        <v>1544.8498070439502</v>
      </c>
      <c r="K355" s="13">
        <v>24000.590051640644</v>
      </c>
      <c r="L355" s="145"/>
      <c r="M355" s="160">
        <v>24000.590051640644</v>
      </c>
    </row>
    <row r="356" spans="1:13" ht="14.4" x14ac:dyDescent="0.3">
      <c r="A356" s="71">
        <v>346</v>
      </c>
      <c r="B356" s="135">
        <f t="shared" si="20"/>
        <v>1656.611106425695</v>
      </c>
      <c r="C356" s="86">
        <f t="shared" si="21"/>
        <v>105.00258147592764</v>
      </c>
      <c r="D356" s="86">
        <f t="shared" si="22"/>
        <v>1551.6085249497673</v>
      </c>
      <c r="E356" s="13">
        <f t="shared" si="23"/>
        <v>22448.981526690841</v>
      </c>
      <c r="G356" s="158">
        <v>346</v>
      </c>
      <c r="H356" s="135">
        <v>1656.611106425695</v>
      </c>
      <c r="I356" s="86">
        <v>105.00258147592737</v>
      </c>
      <c r="J356" s="86">
        <v>1551.6085249497676</v>
      </c>
      <c r="K356" s="13">
        <v>22448.981526690877</v>
      </c>
      <c r="L356" s="145"/>
      <c r="M356" s="160">
        <v>22448.981526690877</v>
      </c>
    </row>
    <row r="357" spans="1:13" ht="14.4" x14ac:dyDescent="0.3">
      <c r="A357" s="71">
        <v>347</v>
      </c>
      <c r="B357" s="135">
        <f t="shared" si="20"/>
        <v>1656.611106425695</v>
      </c>
      <c r="C357" s="86">
        <f t="shared" si="21"/>
        <v>98.214294179272414</v>
      </c>
      <c r="D357" s="86">
        <f t="shared" si="22"/>
        <v>1558.3968122464225</v>
      </c>
      <c r="E357" s="13">
        <f t="shared" si="23"/>
        <v>20890.58471444442</v>
      </c>
      <c r="G357" s="158">
        <v>347</v>
      </c>
      <c r="H357" s="135">
        <v>1656.611106425695</v>
      </c>
      <c r="I357" s="86">
        <v>98.214294179272159</v>
      </c>
      <c r="J357" s="86">
        <v>1558.3968122464228</v>
      </c>
      <c r="K357" s="13">
        <v>20890.584714444456</v>
      </c>
      <c r="L357" s="145"/>
      <c r="M357" s="160">
        <v>20890.584714444456</v>
      </c>
    </row>
    <row r="358" spans="1:13" ht="14.4" x14ac:dyDescent="0.3">
      <c r="A358" s="71">
        <v>348</v>
      </c>
      <c r="B358" s="135">
        <f t="shared" si="20"/>
        <v>1656.611106425695</v>
      </c>
      <c r="C358" s="86">
        <f t="shared" si="21"/>
        <v>91.396308125694333</v>
      </c>
      <c r="D358" s="86">
        <f t="shared" si="22"/>
        <v>1565.2147983000007</v>
      </c>
      <c r="E358" s="13">
        <f t="shared" si="23"/>
        <v>19325.36991614442</v>
      </c>
      <c r="G358" s="158">
        <v>348</v>
      </c>
      <c r="H358" s="135">
        <v>1656.611106425695</v>
      </c>
      <c r="I358" s="86">
        <v>91.396308125694063</v>
      </c>
      <c r="J358" s="86">
        <v>1565.2147983000009</v>
      </c>
      <c r="K358" s="13">
        <v>19325.369916144457</v>
      </c>
      <c r="L358" s="145"/>
      <c r="M358" s="160">
        <v>19325.369916144457</v>
      </c>
    </row>
    <row r="359" spans="1:13" ht="14.4" x14ac:dyDescent="0.3">
      <c r="A359" s="71">
        <v>349</v>
      </c>
      <c r="B359" s="135">
        <f t="shared" si="20"/>
        <v>1656.611106425695</v>
      </c>
      <c r="C359" s="86">
        <f t="shared" si="21"/>
        <v>84.548493383131827</v>
      </c>
      <c r="D359" s="86">
        <f t="shared" si="22"/>
        <v>1572.062613042563</v>
      </c>
      <c r="E359" s="13">
        <f t="shared" si="23"/>
        <v>17753.307303101858</v>
      </c>
      <c r="G359" s="158">
        <v>349</v>
      </c>
      <c r="H359" s="135">
        <v>1656.611106425695</v>
      </c>
      <c r="I359" s="86">
        <v>84.548493383131557</v>
      </c>
      <c r="J359" s="86">
        <v>1572.0626130425635</v>
      </c>
      <c r="K359" s="13">
        <v>17753.307303101894</v>
      </c>
      <c r="L359" s="145"/>
      <c r="M359" s="160">
        <v>17753.307303101894</v>
      </c>
    </row>
    <row r="360" spans="1:13" ht="14.4" x14ac:dyDescent="0.3">
      <c r="A360" s="71">
        <v>350</v>
      </c>
      <c r="B360" s="135">
        <f t="shared" si="20"/>
        <v>1656.611106425695</v>
      </c>
      <c r="C360" s="86">
        <f t="shared" si="21"/>
        <v>77.670719451070624</v>
      </c>
      <c r="D360" s="86">
        <f t="shared" si="22"/>
        <v>1578.9403869746243</v>
      </c>
      <c r="E360" s="13">
        <f t="shared" si="23"/>
        <v>16174.366916127234</v>
      </c>
      <c r="G360" s="158">
        <v>350</v>
      </c>
      <c r="H360" s="135">
        <v>1656.611106425695</v>
      </c>
      <c r="I360" s="86">
        <v>77.670719451070312</v>
      </c>
      <c r="J360" s="86">
        <v>1578.9403869746247</v>
      </c>
      <c r="K360" s="13">
        <v>16174.36691612727</v>
      </c>
      <c r="L360" s="145"/>
      <c r="M360" s="160">
        <v>16174.36691612727</v>
      </c>
    </row>
    <row r="361" spans="1:13" ht="14.4" x14ac:dyDescent="0.3">
      <c r="A361" s="71">
        <v>351</v>
      </c>
      <c r="B361" s="135">
        <f t="shared" si="20"/>
        <v>1656.611106425695</v>
      </c>
      <c r="C361" s="86">
        <f t="shared" si="21"/>
        <v>70.762855258056646</v>
      </c>
      <c r="D361" s="86">
        <f t="shared" si="22"/>
        <v>1585.8482511676384</v>
      </c>
      <c r="E361" s="13">
        <f t="shared" si="23"/>
        <v>14588.518664959596</v>
      </c>
      <c r="G361" s="158">
        <v>351</v>
      </c>
      <c r="H361" s="135">
        <v>1656.611106425695</v>
      </c>
      <c r="I361" s="86">
        <v>70.762855258056348</v>
      </c>
      <c r="J361" s="86">
        <v>1585.8482511676386</v>
      </c>
      <c r="K361" s="13">
        <v>14588.518664959631</v>
      </c>
      <c r="L361" s="145"/>
      <c r="M361" s="160">
        <v>14588.518664959631</v>
      </c>
    </row>
    <row r="362" spans="1:13" ht="14.4" x14ac:dyDescent="0.3">
      <c r="A362" s="71">
        <v>352</v>
      </c>
      <c r="B362" s="135">
        <f t="shared" si="20"/>
        <v>1656.611106425695</v>
      </c>
      <c r="C362" s="86">
        <f t="shared" si="21"/>
        <v>63.824769159198226</v>
      </c>
      <c r="D362" s="86">
        <f t="shared" si="22"/>
        <v>1592.7863372664967</v>
      </c>
      <c r="E362" s="13">
        <f t="shared" si="23"/>
        <v>12995.7323276931</v>
      </c>
      <c r="G362" s="158">
        <v>352</v>
      </c>
      <c r="H362" s="135">
        <v>1656.611106425695</v>
      </c>
      <c r="I362" s="86">
        <v>63.824769159197935</v>
      </c>
      <c r="J362" s="86">
        <v>1592.786337266497</v>
      </c>
      <c r="K362" s="13">
        <v>12995.732327693135</v>
      </c>
      <c r="L362" s="145"/>
      <c r="M362" s="160">
        <v>12995.732327693135</v>
      </c>
    </row>
    <row r="363" spans="1:13" ht="14.4" x14ac:dyDescent="0.3">
      <c r="A363" s="71">
        <v>353</v>
      </c>
      <c r="B363" s="135">
        <f t="shared" si="20"/>
        <v>1656.611106425695</v>
      </c>
      <c r="C363" s="86">
        <f t="shared" si="21"/>
        <v>56.856328933657309</v>
      </c>
      <c r="D363" s="86">
        <f t="shared" si="22"/>
        <v>1599.7547774920376</v>
      </c>
      <c r="E363" s="13">
        <f t="shared" si="23"/>
        <v>11395.977550201063</v>
      </c>
      <c r="G363" s="158">
        <v>353</v>
      </c>
      <c r="H363" s="135">
        <v>1656.611106425695</v>
      </c>
      <c r="I363" s="86">
        <v>56.856328933657004</v>
      </c>
      <c r="J363" s="86">
        <v>1599.7547774920379</v>
      </c>
      <c r="K363" s="13">
        <v>11395.977550201096</v>
      </c>
      <c r="L363" s="145"/>
      <c r="M363" s="160">
        <v>11395.977550201096</v>
      </c>
    </row>
    <row r="364" spans="1:13" ht="14.4" x14ac:dyDescent="0.3">
      <c r="A364" s="71">
        <v>354</v>
      </c>
      <c r="B364" s="135">
        <f t="shared" si="20"/>
        <v>1656.611106425695</v>
      </c>
      <c r="C364" s="86">
        <f t="shared" si="21"/>
        <v>49.857401782129649</v>
      </c>
      <c r="D364" s="86">
        <f t="shared" si="22"/>
        <v>1606.7537046435652</v>
      </c>
      <c r="E364" s="13">
        <f t="shared" si="23"/>
        <v>9789.2238455574989</v>
      </c>
      <c r="G364" s="158">
        <v>354</v>
      </c>
      <c r="H364" s="135">
        <v>1656.611106425695</v>
      </c>
      <c r="I364" s="86">
        <v>49.857401782129344</v>
      </c>
      <c r="J364" s="86">
        <v>1606.7537046435657</v>
      </c>
      <c r="K364" s="13">
        <v>9789.2238455575298</v>
      </c>
      <c r="L364" s="145"/>
      <c r="M364" s="160">
        <v>9789.2238455575298</v>
      </c>
    </row>
    <row r="365" spans="1:13" ht="14.4" x14ac:dyDescent="0.3">
      <c r="A365" s="71">
        <v>355</v>
      </c>
      <c r="B365" s="135">
        <f t="shared" si="20"/>
        <v>1656.611106425695</v>
      </c>
      <c r="C365" s="86">
        <f t="shared" si="21"/>
        <v>42.827854324314053</v>
      </c>
      <c r="D365" s="86">
        <f t="shared" si="22"/>
        <v>1613.7832521013809</v>
      </c>
      <c r="E365" s="13">
        <f t="shared" si="23"/>
        <v>8175.4405934561182</v>
      </c>
      <c r="G365" s="158">
        <v>355</v>
      </c>
      <c r="H365" s="135">
        <v>1656.611106425695</v>
      </c>
      <c r="I365" s="86">
        <v>42.827854324313741</v>
      </c>
      <c r="J365" s="86">
        <v>1613.7832521013813</v>
      </c>
      <c r="K365" s="13">
        <v>8175.4405934561482</v>
      </c>
      <c r="L365" s="145"/>
      <c r="M365" s="160">
        <v>8175.4405934561482</v>
      </c>
    </row>
    <row r="366" spans="1:13" ht="14.4" x14ac:dyDescent="0.3">
      <c r="A366" s="71">
        <v>356</v>
      </c>
      <c r="B366" s="135">
        <f t="shared" si="20"/>
        <v>1656.611106425695</v>
      </c>
      <c r="C366" s="86">
        <f t="shared" si="21"/>
        <v>35.767552596370514</v>
      </c>
      <c r="D366" s="86">
        <f t="shared" si="22"/>
        <v>1620.8435538293245</v>
      </c>
      <c r="E366" s="13">
        <f t="shared" si="23"/>
        <v>6554.597039626794</v>
      </c>
      <c r="G366" s="158">
        <v>356</v>
      </c>
      <c r="H366" s="135">
        <v>1656.611106425695</v>
      </c>
      <c r="I366" s="86">
        <v>35.767552596370194</v>
      </c>
      <c r="J366" s="86">
        <v>1620.8435538293247</v>
      </c>
      <c r="K366" s="13">
        <v>6554.597039626824</v>
      </c>
      <c r="L366" s="145"/>
      <c r="M366" s="160">
        <v>6554.597039626824</v>
      </c>
    </row>
    <row r="367" spans="1:13" ht="14.4" x14ac:dyDescent="0.3">
      <c r="A367" s="71">
        <v>357</v>
      </c>
      <c r="B367" s="135">
        <f t="shared" si="20"/>
        <v>1656.611106425695</v>
      </c>
      <c r="C367" s="86">
        <f t="shared" si="21"/>
        <v>28.676362048367221</v>
      </c>
      <c r="D367" s="86">
        <f t="shared" si="22"/>
        <v>1627.9347443773277</v>
      </c>
      <c r="E367" s="13">
        <f t="shared" si="23"/>
        <v>4926.6622952494663</v>
      </c>
      <c r="G367" s="158">
        <v>357</v>
      </c>
      <c r="H367" s="135">
        <v>1656.611106425695</v>
      </c>
      <c r="I367" s="86">
        <v>28.676362048366908</v>
      </c>
      <c r="J367" s="86">
        <v>1627.9347443773281</v>
      </c>
      <c r="K367" s="13">
        <v>4926.6622952494963</v>
      </c>
      <c r="L367" s="145"/>
      <c r="M367" s="160">
        <v>4926.6622952494963</v>
      </c>
    </row>
    <row r="368" spans="1:13" ht="14.4" x14ac:dyDescent="0.3">
      <c r="A368" s="71">
        <v>358</v>
      </c>
      <c r="B368" s="135">
        <f t="shared" si="20"/>
        <v>1656.611106425695</v>
      </c>
      <c r="C368" s="86">
        <f t="shared" si="21"/>
        <v>21.554147541716414</v>
      </c>
      <c r="D368" s="86">
        <f t="shared" si="22"/>
        <v>1635.0569588839785</v>
      </c>
      <c r="E368" s="13">
        <f t="shared" si="23"/>
        <v>3291.6053363654878</v>
      </c>
      <c r="G368" s="158">
        <v>358</v>
      </c>
      <c r="H368" s="135">
        <v>1656.611106425695</v>
      </c>
      <c r="I368" s="86">
        <v>21.554147541716091</v>
      </c>
      <c r="J368" s="86">
        <v>1635.056958883979</v>
      </c>
      <c r="K368" s="13">
        <v>3291.6053363655174</v>
      </c>
      <c r="L368" s="145"/>
      <c r="M368" s="160">
        <v>3291.6053363655174</v>
      </c>
    </row>
    <row r="369" spans="1:13" ht="14.4" x14ac:dyDescent="0.3">
      <c r="A369" s="71">
        <v>359</v>
      </c>
      <c r="B369" s="135">
        <f t="shared" si="20"/>
        <v>1656.611106425695</v>
      </c>
      <c r="C369" s="86">
        <f t="shared" si="21"/>
        <v>14.400773346599008</v>
      </c>
      <c r="D369" s="86">
        <f t="shared" si="22"/>
        <v>1642.210333079096</v>
      </c>
      <c r="E369" s="13">
        <f t="shared" si="23"/>
        <v>1649.3950032863918</v>
      </c>
      <c r="G369" s="158">
        <v>359</v>
      </c>
      <c r="H369" s="135">
        <v>1656.611106425695</v>
      </c>
      <c r="I369" s="86">
        <v>14.400773346598683</v>
      </c>
      <c r="J369" s="86">
        <v>1642.2103330790962</v>
      </c>
      <c r="K369" s="13">
        <v>1649.3950032864211</v>
      </c>
      <c r="L369" s="145"/>
      <c r="M369" s="160">
        <v>1649.3950032864211</v>
      </c>
    </row>
    <row r="370" spans="1:13" ht="15" thickBot="1" x14ac:dyDescent="0.35">
      <c r="A370" s="71">
        <v>360</v>
      </c>
      <c r="B370" s="135">
        <f t="shared" si="20"/>
        <v>1656.611106425695</v>
      </c>
      <c r="C370" s="86">
        <f t="shared" si="21"/>
        <v>7.2161031393779629</v>
      </c>
      <c r="D370" s="86">
        <f t="shared" si="22"/>
        <v>1649.395003286317</v>
      </c>
      <c r="E370" s="13">
        <f t="shared" si="23"/>
        <v>7.4805939220823348E-11</v>
      </c>
      <c r="G370" s="161">
        <v>360</v>
      </c>
      <c r="H370" s="162">
        <v>1656.611106425695</v>
      </c>
      <c r="I370" s="163">
        <v>7.2161031393776378</v>
      </c>
      <c r="J370" s="163">
        <v>1649.3950032863174</v>
      </c>
      <c r="K370" s="164">
        <v>1.0368239600211382E-10</v>
      </c>
      <c r="L370" s="165"/>
      <c r="M370" s="166">
        <v>1.0368239600211382E-10</v>
      </c>
    </row>
    <row r="371" spans="1:13" ht="13.8" thickTop="1" x14ac:dyDescent="0.25">
      <c r="B371" s="138">
        <f>SUM(B11:B370)</f>
        <v>596379.99831324874</v>
      </c>
      <c r="C371" s="138">
        <f>SUM(C11:C370)</f>
        <v>296379.99831325031</v>
      </c>
      <c r="D371" s="138">
        <f>SUM(D11:D370)</f>
        <v>300000</v>
      </c>
      <c r="H371" s="138">
        <f>SUM(H11:H370)</f>
        <v>596379.99831324874</v>
      </c>
      <c r="I371" s="138">
        <f>SUM(I11:I370)</f>
        <v>296379.99831325037</v>
      </c>
      <c r="J371" s="138">
        <f>SUM(J11:J370)</f>
        <v>300000</v>
      </c>
    </row>
  </sheetData>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00FF"/>
  </sheetPr>
  <dimension ref="A1:G49"/>
  <sheetViews>
    <sheetView zoomScale="130" zoomScaleNormal="130" workbookViewId="0"/>
  </sheetViews>
  <sheetFormatPr defaultRowHeight="14.4" x14ac:dyDescent="0.3"/>
  <cols>
    <col min="1" max="1" width="22.44140625" style="69" bestFit="1" customWidth="1"/>
    <col min="2" max="2" width="13" style="69" bestFit="1" customWidth="1"/>
    <col min="3" max="3" width="13.44140625" style="69" customWidth="1"/>
    <col min="4" max="4" width="10.6640625" style="69" bestFit="1" customWidth="1"/>
    <col min="5" max="5" width="14.5546875" style="69" bestFit="1" customWidth="1"/>
    <col min="6" max="6" width="16.6640625" style="69" bestFit="1" customWidth="1"/>
    <col min="7" max="7" width="18.44140625" style="69" bestFit="1" customWidth="1"/>
    <col min="257" max="257" width="12.88671875" bestFit="1" customWidth="1"/>
    <col min="258" max="258" width="13.5546875" bestFit="1" customWidth="1"/>
    <col min="259" max="259" width="12.33203125" bestFit="1" customWidth="1"/>
    <col min="260" max="260" width="13.109375" bestFit="1" customWidth="1"/>
    <col min="261" max="261" width="13.109375" customWidth="1"/>
    <col min="513" max="513" width="12.88671875" bestFit="1" customWidth="1"/>
    <col min="514" max="514" width="13.5546875" bestFit="1" customWidth="1"/>
    <col min="515" max="515" width="12.33203125" bestFit="1" customWidth="1"/>
    <col min="516" max="516" width="13.109375" bestFit="1" customWidth="1"/>
    <col min="517" max="517" width="13.109375" customWidth="1"/>
    <col min="769" max="769" width="12.88671875" bestFit="1" customWidth="1"/>
    <col min="770" max="770" width="13.5546875" bestFit="1" customWidth="1"/>
    <col min="771" max="771" width="12.33203125" bestFit="1" customWidth="1"/>
    <col min="772" max="772" width="13.109375" bestFit="1" customWidth="1"/>
    <col min="773" max="773" width="13.109375" customWidth="1"/>
    <col min="1025" max="1025" width="12.88671875" bestFit="1" customWidth="1"/>
    <col min="1026" max="1026" width="13.5546875" bestFit="1" customWidth="1"/>
    <col min="1027" max="1027" width="12.33203125" bestFit="1" customWidth="1"/>
    <col min="1028" max="1028" width="13.109375" bestFit="1" customWidth="1"/>
    <col min="1029" max="1029" width="13.109375" customWidth="1"/>
    <col min="1281" max="1281" width="12.88671875" bestFit="1" customWidth="1"/>
    <col min="1282" max="1282" width="13.5546875" bestFit="1" customWidth="1"/>
    <col min="1283" max="1283" width="12.33203125" bestFit="1" customWidth="1"/>
    <col min="1284" max="1284" width="13.109375" bestFit="1" customWidth="1"/>
    <col min="1285" max="1285" width="13.109375" customWidth="1"/>
    <col min="1537" max="1537" width="12.88671875" bestFit="1" customWidth="1"/>
    <col min="1538" max="1538" width="13.5546875" bestFit="1" customWidth="1"/>
    <col min="1539" max="1539" width="12.33203125" bestFit="1" customWidth="1"/>
    <col min="1540" max="1540" width="13.109375" bestFit="1" customWidth="1"/>
    <col min="1541" max="1541" width="13.109375" customWidth="1"/>
    <col min="1793" max="1793" width="12.88671875" bestFit="1" customWidth="1"/>
    <col min="1794" max="1794" width="13.5546875" bestFit="1" customWidth="1"/>
    <col min="1795" max="1795" width="12.33203125" bestFit="1" customWidth="1"/>
    <col min="1796" max="1796" width="13.109375" bestFit="1" customWidth="1"/>
    <col min="1797" max="1797" width="13.109375" customWidth="1"/>
    <col min="2049" max="2049" width="12.88671875" bestFit="1" customWidth="1"/>
    <col min="2050" max="2050" width="13.5546875" bestFit="1" customWidth="1"/>
    <col min="2051" max="2051" width="12.33203125" bestFit="1" customWidth="1"/>
    <col min="2052" max="2052" width="13.109375" bestFit="1" customWidth="1"/>
    <col min="2053" max="2053" width="13.109375" customWidth="1"/>
    <col min="2305" max="2305" width="12.88671875" bestFit="1" customWidth="1"/>
    <col min="2306" max="2306" width="13.5546875" bestFit="1" customWidth="1"/>
    <col min="2307" max="2307" width="12.33203125" bestFit="1" customWidth="1"/>
    <col min="2308" max="2308" width="13.109375" bestFit="1" customWidth="1"/>
    <col min="2309" max="2309" width="13.109375" customWidth="1"/>
    <col min="2561" max="2561" width="12.88671875" bestFit="1" customWidth="1"/>
    <col min="2562" max="2562" width="13.5546875" bestFit="1" customWidth="1"/>
    <col min="2563" max="2563" width="12.33203125" bestFit="1" customWidth="1"/>
    <col min="2564" max="2564" width="13.109375" bestFit="1" customWidth="1"/>
    <col min="2565" max="2565" width="13.109375" customWidth="1"/>
    <col min="2817" max="2817" width="12.88671875" bestFit="1" customWidth="1"/>
    <col min="2818" max="2818" width="13.5546875" bestFit="1" customWidth="1"/>
    <col min="2819" max="2819" width="12.33203125" bestFit="1" customWidth="1"/>
    <col min="2820" max="2820" width="13.109375" bestFit="1" customWidth="1"/>
    <col min="2821" max="2821" width="13.109375" customWidth="1"/>
    <col min="3073" max="3073" width="12.88671875" bestFit="1" customWidth="1"/>
    <col min="3074" max="3074" width="13.5546875" bestFit="1" customWidth="1"/>
    <col min="3075" max="3075" width="12.33203125" bestFit="1" customWidth="1"/>
    <col min="3076" max="3076" width="13.109375" bestFit="1" customWidth="1"/>
    <col min="3077" max="3077" width="13.109375" customWidth="1"/>
    <col min="3329" max="3329" width="12.88671875" bestFit="1" customWidth="1"/>
    <col min="3330" max="3330" width="13.5546875" bestFit="1" customWidth="1"/>
    <col min="3331" max="3331" width="12.33203125" bestFit="1" customWidth="1"/>
    <col min="3332" max="3332" width="13.109375" bestFit="1" customWidth="1"/>
    <col min="3333" max="3333" width="13.109375" customWidth="1"/>
    <col min="3585" max="3585" width="12.88671875" bestFit="1" customWidth="1"/>
    <col min="3586" max="3586" width="13.5546875" bestFit="1" customWidth="1"/>
    <col min="3587" max="3587" width="12.33203125" bestFit="1" customWidth="1"/>
    <col min="3588" max="3588" width="13.109375" bestFit="1" customWidth="1"/>
    <col min="3589" max="3589" width="13.109375" customWidth="1"/>
    <col min="3841" max="3841" width="12.88671875" bestFit="1" customWidth="1"/>
    <col min="3842" max="3842" width="13.5546875" bestFit="1" customWidth="1"/>
    <col min="3843" max="3843" width="12.33203125" bestFit="1" customWidth="1"/>
    <col min="3844" max="3844" width="13.109375" bestFit="1" customWidth="1"/>
    <col min="3845" max="3845" width="13.109375" customWidth="1"/>
    <col min="4097" max="4097" width="12.88671875" bestFit="1" customWidth="1"/>
    <col min="4098" max="4098" width="13.5546875" bestFit="1" customWidth="1"/>
    <col min="4099" max="4099" width="12.33203125" bestFit="1" customWidth="1"/>
    <col min="4100" max="4100" width="13.109375" bestFit="1" customWidth="1"/>
    <col min="4101" max="4101" width="13.109375" customWidth="1"/>
    <col min="4353" max="4353" width="12.88671875" bestFit="1" customWidth="1"/>
    <col min="4354" max="4354" width="13.5546875" bestFit="1" customWidth="1"/>
    <col min="4355" max="4355" width="12.33203125" bestFit="1" customWidth="1"/>
    <col min="4356" max="4356" width="13.109375" bestFit="1" customWidth="1"/>
    <col min="4357" max="4357" width="13.109375" customWidth="1"/>
    <col min="4609" max="4609" width="12.88671875" bestFit="1" customWidth="1"/>
    <col min="4610" max="4610" width="13.5546875" bestFit="1" customWidth="1"/>
    <col min="4611" max="4611" width="12.33203125" bestFit="1" customWidth="1"/>
    <col min="4612" max="4612" width="13.109375" bestFit="1" customWidth="1"/>
    <col min="4613" max="4613" width="13.109375" customWidth="1"/>
    <col min="4865" max="4865" width="12.88671875" bestFit="1" customWidth="1"/>
    <col min="4866" max="4866" width="13.5546875" bestFit="1" customWidth="1"/>
    <col min="4867" max="4867" width="12.33203125" bestFit="1" customWidth="1"/>
    <col min="4868" max="4868" width="13.109375" bestFit="1" customWidth="1"/>
    <col min="4869" max="4869" width="13.109375" customWidth="1"/>
    <col min="5121" max="5121" width="12.88671875" bestFit="1" customWidth="1"/>
    <col min="5122" max="5122" width="13.5546875" bestFit="1" customWidth="1"/>
    <col min="5123" max="5123" width="12.33203125" bestFit="1" customWidth="1"/>
    <col min="5124" max="5124" width="13.109375" bestFit="1" customWidth="1"/>
    <col min="5125" max="5125" width="13.109375" customWidth="1"/>
    <col min="5377" max="5377" width="12.88671875" bestFit="1" customWidth="1"/>
    <col min="5378" max="5378" width="13.5546875" bestFit="1" customWidth="1"/>
    <col min="5379" max="5379" width="12.33203125" bestFit="1" customWidth="1"/>
    <col min="5380" max="5380" width="13.109375" bestFit="1" customWidth="1"/>
    <col min="5381" max="5381" width="13.109375" customWidth="1"/>
    <col min="5633" max="5633" width="12.88671875" bestFit="1" customWidth="1"/>
    <col min="5634" max="5634" width="13.5546875" bestFit="1" customWidth="1"/>
    <col min="5635" max="5635" width="12.33203125" bestFit="1" customWidth="1"/>
    <col min="5636" max="5636" width="13.109375" bestFit="1" customWidth="1"/>
    <col min="5637" max="5637" width="13.109375" customWidth="1"/>
    <col min="5889" max="5889" width="12.88671875" bestFit="1" customWidth="1"/>
    <col min="5890" max="5890" width="13.5546875" bestFit="1" customWidth="1"/>
    <col min="5891" max="5891" width="12.33203125" bestFit="1" customWidth="1"/>
    <col min="5892" max="5892" width="13.109375" bestFit="1" customWidth="1"/>
    <col min="5893" max="5893" width="13.109375" customWidth="1"/>
    <col min="6145" max="6145" width="12.88671875" bestFit="1" customWidth="1"/>
    <col min="6146" max="6146" width="13.5546875" bestFit="1" customWidth="1"/>
    <col min="6147" max="6147" width="12.33203125" bestFit="1" customWidth="1"/>
    <col min="6148" max="6148" width="13.109375" bestFit="1" customWidth="1"/>
    <col min="6149" max="6149" width="13.109375" customWidth="1"/>
    <col min="6401" max="6401" width="12.88671875" bestFit="1" customWidth="1"/>
    <col min="6402" max="6402" width="13.5546875" bestFit="1" customWidth="1"/>
    <col min="6403" max="6403" width="12.33203125" bestFit="1" customWidth="1"/>
    <col min="6404" max="6404" width="13.109375" bestFit="1" customWidth="1"/>
    <col min="6405" max="6405" width="13.109375" customWidth="1"/>
    <col min="6657" max="6657" width="12.88671875" bestFit="1" customWidth="1"/>
    <col min="6658" max="6658" width="13.5546875" bestFit="1" customWidth="1"/>
    <col min="6659" max="6659" width="12.33203125" bestFit="1" customWidth="1"/>
    <col min="6660" max="6660" width="13.109375" bestFit="1" customWidth="1"/>
    <col min="6661" max="6661" width="13.109375" customWidth="1"/>
    <col min="6913" max="6913" width="12.88671875" bestFit="1" customWidth="1"/>
    <col min="6914" max="6914" width="13.5546875" bestFit="1" customWidth="1"/>
    <col min="6915" max="6915" width="12.33203125" bestFit="1" customWidth="1"/>
    <col min="6916" max="6916" width="13.109375" bestFit="1" customWidth="1"/>
    <col min="6917" max="6917" width="13.109375" customWidth="1"/>
    <col min="7169" max="7169" width="12.88671875" bestFit="1" customWidth="1"/>
    <col min="7170" max="7170" width="13.5546875" bestFit="1" customWidth="1"/>
    <col min="7171" max="7171" width="12.33203125" bestFit="1" customWidth="1"/>
    <col min="7172" max="7172" width="13.109375" bestFit="1" customWidth="1"/>
    <col min="7173" max="7173" width="13.109375" customWidth="1"/>
    <col min="7425" max="7425" width="12.88671875" bestFit="1" customWidth="1"/>
    <col min="7426" max="7426" width="13.5546875" bestFit="1" customWidth="1"/>
    <col min="7427" max="7427" width="12.33203125" bestFit="1" customWidth="1"/>
    <col min="7428" max="7428" width="13.109375" bestFit="1" customWidth="1"/>
    <col min="7429" max="7429" width="13.109375" customWidth="1"/>
    <col min="7681" max="7681" width="12.88671875" bestFit="1" customWidth="1"/>
    <col min="7682" max="7682" width="13.5546875" bestFit="1" customWidth="1"/>
    <col min="7683" max="7683" width="12.33203125" bestFit="1" customWidth="1"/>
    <col min="7684" max="7684" width="13.109375" bestFit="1" customWidth="1"/>
    <col min="7685" max="7685" width="13.109375" customWidth="1"/>
    <col min="7937" max="7937" width="12.88671875" bestFit="1" customWidth="1"/>
    <col min="7938" max="7938" width="13.5546875" bestFit="1" customWidth="1"/>
    <col min="7939" max="7939" width="12.33203125" bestFit="1" customWidth="1"/>
    <col min="7940" max="7940" width="13.109375" bestFit="1" customWidth="1"/>
    <col min="7941" max="7941" width="13.109375" customWidth="1"/>
    <col min="8193" max="8193" width="12.88671875" bestFit="1" customWidth="1"/>
    <col min="8194" max="8194" width="13.5546875" bestFit="1" customWidth="1"/>
    <col min="8195" max="8195" width="12.33203125" bestFit="1" customWidth="1"/>
    <col min="8196" max="8196" width="13.109375" bestFit="1" customWidth="1"/>
    <col min="8197" max="8197" width="13.109375" customWidth="1"/>
    <col min="8449" max="8449" width="12.88671875" bestFit="1" customWidth="1"/>
    <col min="8450" max="8450" width="13.5546875" bestFit="1" customWidth="1"/>
    <col min="8451" max="8451" width="12.33203125" bestFit="1" customWidth="1"/>
    <col min="8452" max="8452" width="13.109375" bestFit="1" customWidth="1"/>
    <col min="8453" max="8453" width="13.109375" customWidth="1"/>
    <col min="8705" max="8705" width="12.88671875" bestFit="1" customWidth="1"/>
    <col min="8706" max="8706" width="13.5546875" bestFit="1" customWidth="1"/>
    <col min="8707" max="8707" width="12.33203125" bestFit="1" customWidth="1"/>
    <col min="8708" max="8708" width="13.109375" bestFit="1" customWidth="1"/>
    <col min="8709" max="8709" width="13.109375" customWidth="1"/>
    <col min="8961" max="8961" width="12.88671875" bestFit="1" customWidth="1"/>
    <col min="8962" max="8962" width="13.5546875" bestFit="1" customWidth="1"/>
    <col min="8963" max="8963" width="12.33203125" bestFit="1" customWidth="1"/>
    <col min="8964" max="8964" width="13.109375" bestFit="1" customWidth="1"/>
    <col min="8965" max="8965" width="13.109375" customWidth="1"/>
    <col min="9217" max="9217" width="12.88671875" bestFit="1" customWidth="1"/>
    <col min="9218" max="9218" width="13.5546875" bestFit="1" customWidth="1"/>
    <col min="9219" max="9219" width="12.33203125" bestFit="1" customWidth="1"/>
    <col min="9220" max="9220" width="13.109375" bestFit="1" customWidth="1"/>
    <col min="9221" max="9221" width="13.109375" customWidth="1"/>
    <col min="9473" max="9473" width="12.88671875" bestFit="1" customWidth="1"/>
    <col min="9474" max="9474" width="13.5546875" bestFit="1" customWidth="1"/>
    <col min="9475" max="9475" width="12.33203125" bestFit="1" customWidth="1"/>
    <col min="9476" max="9476" width="13.109375" bestFit="1" customWidth="1"/>
    <col min="9477" max="9477" width="13.109375" customWidth="1"/>
    <col min="9729" max="9729" width="12.88671875" bestFit="1" customWidth="1"/>
    <col min="9730" max="9730" width="13.5546875" bestFit="1" customWidth="1"/>
    <col min="9731" max="9731" width="12.33203125" bestFit="1" customWidth="1"/>
    <col min="9732" max="9732" width="13.109375" bestFit="1" customWidth="1"/>
    <col min="9733" max="9733" width="13.109375" customWidth="1"/>
    <col min="9985" max="9985" width="12.88671875" bestFit="1" customWidth="1"/>
    <col min="9986" max="9986" width="13.5546875" bestFit="1" customWidth="1"/>
    <col min="9987" max="9987" width="12.33203125" bestFit="1" customWidth="1"/>
    <col min="9988" max="9988" width="13.109375" bestFit="1" customWidth="1"/>
    <col min="9989" max="9989" width="13.109375" customWidth="1"/>
    <col min="10241" max="10241" width="12.88671875" bestFit="1" customWidth="1"/>
    <col min="10242" max="10242" width="13.5546875" bestFit="1" customWidth="1"/>
    <col min="10243" max="10243" width="12.33203125" bestFit="1" customWidth="1"/>
    <col min="10244" max="10244" width="13.109375" bestFit="1" customWidth="1"/>
    <col min="10245" max="10245" width="13.109375" customWidth="1"/>
    <col min="10497" max="10497" width="12.88671875" bestFit="1" customWidth="1"/>
    <col min="10498" max="10498" width="13.5546875" bestFit="1" customWidth="1"/>
    <col min="10499" max="10499" width="12.33203125" bestFit="1" customWidth="1"/>
    <col min="10500" max="10500" width="13.109375" bestFit="1" customWidth="1"/>
    <col min="10501" max="10501" width="13.109375" customWidth="1"/>
    <col min="10753" max="10753" width="12.88671875" bestFit="1" customWidth="1"/>
    <col min="10754" max="10754" width="13.5546875" bestFit="1" customWidth="1"/>
    <col min="10755" max="10755" width="12.33203125" bestFit="1" customWidth="1"/>
    <col min="10756" max="10756" width="13.109375" bestFit="1" customWidth="1"/>
    <col min="10757" max="10757" width="13.109375" customWidth="1"/>
    <col min="11009" max="11009" width="12.88671875" bestFit="1" customWidth="1"/>
    <col min="11010" max="11010" width="13.5546875" bestFit="1" customWidth="1"/>
    <col min="11011" max="11011" width="12.33203125" bestFit="1" customWidth="1"/>
    <col min="11012" max="11012" width="13.109375" bestFit="1" customWidth="1"/>
    <col min="11013" max="11013" width="13.109375" customWidth="1"/>
    <col min="11265" max="11265" width="12.88671875" bestFit="1" customWidth="1"/>
    <col min="11266" max="11266" width="13.5546875" bestFit="1" customWidth="1"/>
    <col min="11267" max="11267" width="12.33203125" bestFit="1" customWidth="1"/>
    <col min="11268" max="11268" width="13.109375" bestFit="1" customWidth="1"/>
    <col min="11269" max="11269" width="13.109375" customWidth="1"/>
    <col min="11521" max="11521" width="12.88671875" bestFit="1" customWidth="1"/>
    <col min="11522" max="11522" width="13.5546875" bestFit="1" customWidth="1"/>
    <col min="11523" max="11523" width="12.33203125" bestFit="1" customWidth="1"/>
    <col min="11524" max="11524" width="13.109375" bestFit="1" customWidth="1"/>
    <col min="11525" max="11525" width="13.109375" customWidth="1"/>
    <col min="11777" max="11777" width="12.88671875" bestFit="1" customWidth="1"/>
    <col min="11778" max="11778" width="13.5546875" bestFit="1" customWidth="1"/>
    <col min="11779" max="11779" width="12.33203125" bestFit="1" customWidth="1"/>
    <col min="11780" max="11780" width="13.109375" bestFit="1" customWidth="1"/>
    <col min="11781" max="11781" width="13.109375" customWidth="1"/>
    <col min="12033" max="12033" width="12.88671875" bestFit="1" customWidth="1"/>
    <col min="12034" max="12034" width="13.5546875" bestFit="1" customWidth="1"/>
    <col min="12035" max="12035" width="12.33203125" bestFit="1" customWidth="1"/>
    <col min="12036" max="12036" width="13.109375" bestFit="1" customWidth="1"/>
    <col min="12037" max="12037" width="13.109375" customWidth="1"/>
    <col min="12289" max="12289" width="12.88671875" bestFit="1" customWidth="1"/>
    <col min="12290" max="12290" width="13.5546875" bestFit="1" customWidth="1"/>
    <col min="12291" max="12291" width="12.33203125" bestFit="1" customWidth="1"/>
    <col min="12292" max="12292" width="13.109375" bestFit="1" customWidth="1"/>
    <col min="12293" max="12293" width="13.109375" customWidth="1"/>
    <col min="12545" max="12545" width="12.88671875" bestFit="1" customWidth="1"/>
    <col min="12546" max="12546" width="13.5546875" bestFit="1" customWidth="1"/>
    <col min="12547" max="12547" width="12.33203125" bestFit="1" customWidth="1"/>
    <col min="12548" max="12548" width="13.109375" bestFit="1" customWidth="1"/>
    <col min="12549" max="12549" width="13.109375" customWidth="1"/>
    <col min="12801" max="12801" width="12.88671875" bestFit="1" customWidth="1"/>
    <col min="12802" max="12802" width="13.5546875" bestFit="1" customWidth="1"/>
    <col min="12803" max="12803" width="12.33203125" bestFit="1" customWidth="1"/>
    <col min="12804" max="12804" width="13.109375" bestFit="1" customWidth="1"/>
    <col min="12805" max="12805" width="13.109375" customWidth="1"/>
    <col min="13057" max="13057" width="12.88671875" bestFit="1" customWidth="1"/>
    <col min="13058" max="13058" width="13.5546875" bestFit="1" customWidth="1"/>
    <col min="13059" max="13059" width="12.33203125" bestFit="1" customWidth="1"/>
    <col min="13060" max="13060" width="13.109375" bestFit="1" customWidth="1"/>
    <col min="13061" max="13061" width="13.109375" customWidth="1"/>
    <col min="13313" max="13313" width="12.88671875" bestFit="1" customWidth="1"/>
    <col min="13314" max="13314" width="13.5546875" bestFit="1" customWidth="1"/>
    <col min="13315" max="13315" width="12.33203125" bestFit="1" customWidth="1"/>
    <col min="13316" max="13316" width="13.109375" bestFit="1" customWidth="1"/>
    <col min="13317" max="13317" width="13.109375" customWidth="1"/>
    <col min="13569" max="13569" width="12.88671875" bestFit="1" customWidth="1"/>
    <col min="13570" max="13570" width="13.5546875" bestFit="1" customWidth="1"/>
    <col min="13571" max="13571" width="12.33203125" bestFit="1" customWidth="1"/>
    <col min="13572" max="13572" width="13.109375" bestFit="1" customWidth="1"/>
    <col min="13573" max="13573" width="13.109375" customWidth="1"/>
    <col min="13825" max="13825" width="12.88671875" bestFit="1" customWidth="1"/>
    <col min="13826" max="13826" width="13.5546875" bestFit="1" customWidth="1"/>
    <col min="13827" max="13827" width="12.33203125" bestFit="1" customWidth="1"/>
    <col min="13828" max="13828" width="13.109375" bestFit="1" customWidth="1"/>
    <col min="13829" max="13829" width="13.109375" customWidth="1"/>
    <col min="14081" max="14081" width="12.88671875" bestFit="1" customWidth="1"/>
    <col min="14082" max="14082" width="13.5546875" bestFit="1" customWidth="1"/>
    <col min="14083" max="14083" width="12.33203125" bestFit="1" customWidth="1"/>
    <col min="14084" max="14084" width="13.109375" bestFit="1" customWidth="1"/>
    <col min="14085" max="14085" width="13.109375" customWidth="1"/>
    <col min="14337" max="14337" width="12.88671875" bestFit="1" customWidth="1"/>
    <col min="14338" max="14338" width="13.5546875" bestFit="1" customWidth="1"/>
    <col min="14339" max="14339" width="12.33203125" bestFit="1" customWidth="1"/>
    <col min="14340" max="14340" width="13.109375" bestFit="1" customWidth="1"/>
    <col min="14341" max="14341" width="13.109375" customWidth="1"/>
    <col min="14593" max="14593" width="12.88671875" bestFit="1" customWidth="1"/>
    <col min="14594" max="14594" width="13.5546875" bestFit="1" customWidth="1"/>
    <col min="14595" max="14595" width="12.33203125" bestFit="1" customWidth="1"/>
    <col min="14596" max="14596" width="13.109375" bestFit="1" customWidth="1"/>
    <col min="14597" max="14597" width="13.109375" customWidth="1"/>
    <col min="14849" max="14849" width="12.88671875" bestFit="1" customWidth="1"/>
    <col min="14850" max="14850" width="13.5546875" bestFit="1" customWidth="1"/>
    <col min="14851" max="14851" width="12.33203125" bestFit="1" customWidth="1"/>
    <col min="14852" max="14852" width="13.109375" bestFit="1" customWidth="1"/>
    <col min="14853" max="14853" width="13.109375" customWidth="1"/>
    <col min="15105" max="15105" width="12.88671875" bestFit="1" customWidth="1"/>
    <col min="15106" max="15106" width="13.5546875" bestFit="1" customWidth="1"/>
    <col min="15107" max="15107" width="12.33203125" bestFit="1" customWidth="1"/>
    <col min="15108" max="15108" width="13.109375" bestFit="1" customWidth="1"/>
    <col min="15109" max="15109" width="13.109375" customWidth="1"/>
    <col min="15361" max="15361" width="12.88671875" bestFit="1" customWidth="1"/>
    <col min="15362" max="15362" width="13.5546875" bestFit="1" customWidth="1"/>
    <col min="15363" max="15363" width="12.33203125" bestFit="1" customWidth="1"/>
    <col min="15364" max="15364" width="13.109375" bestFit="1" customWidth="1"/>
    <col min="15365" max="15365" width="13.109375" customWidth="1"/>
    <col min="15617" max="15617" width="12.88671875" bestFit="1" customWidth="1"/>
    <col min="15618" max="15618" width="13.5546875" bestFit="1" customWidth="1"/>
    <col min="15619" max="15619" width="12.33203125" bestFit="1" customWidth="1"/>
    <col min="15620" max="15620" width="13.109375" bestFit="1" customWidth="1"/>
    <col min="15621" max="15621" width="13.109375" customWidth="1"/>
    <col min="15873" max="15873" width="12.88671875" bestFit="1" customWidth="1"/>
    <col min="15874" max="15874" width="13.5546875" bestFit="1" customWidth="1"/>
    <col min="15875" max="15875" width="12.33203125" bestFit="1" customWidth="1"/>
    <col min="15876" max="15876" width="13.109375" bestFit="1" customWidth="1"/>
    <col min="15877" max="15877" width="13.109375" customWidth="1"/>
    <col min="16129" max="16129" width="12.88671875" bestFit="1" customWidth="1"/>
    <col min="16130" max="16130" width="13.5546875" bestFit="1" customWidth="1"/>
    <col min="16131" max="16131" width="12.33203125" bestFit="1" customWidth="1"/>
    <col min="16132" max="16132" width="13.109375" bestFit="1" customWidth="1"/>
    <col min="16133" max="16133" width="13.109375" customWidth="1"/>
  </cols>
  <sheetData>
    <row r="1" spans="1:5" x14ac:dyDescent="0.3">
      <c r="A1" s="136" t="s">
        <v>134</v>
      </c>
      <c r="B1" s="129">
        <v>1000000</v>
      </c>
    </row>
    <row r="2" spans="1:5" x14ac:dyDescent="0.3">
      <c r="A2" s="136" t="s">
        <v>135</v>
      </c>
      <c r="B2" s="130">
        <v>7.0000000000000007E-2</v>
      </c>
    </row>
    <row r="3" spans="1:5" x14ac:dyDescent="0.3">
      <c r="A3" s="136" t="s">
        <v>136</v>
      </c>
      <c r="B3" s="131">
        <f>B2/B5</f>
        <v>3.5000000000000003E-2</v>
      </c>
    </row>
    <row r="4" spans="1:5" x14ac:dyDescent="0.3">
      <c r="A4" s="136" t="s">
        <v>10</v>
      </c>
      <c r="B4" s="75">
        <v>20</v>
      </c>
    </row>
    <row r="5" spans="1:5" x14ac:dyDescent="0.3">
      <c r="A5" s="136" t="s">
        <v>137</v>
      </c>
      <c r="B5" s="75">
        <v>2</v>
      </c>
    </row>
    <row r="6" spans="1:5" x14ac:dyDescent="0.3">
      <c r="A6" s="136" t="s">
        <v>12</v>
      </c>
      <c r="B6" s="131">
        <f>B4*B5</f>
        <v>40</v>
      </c>
    </row>
    <row r="8" spans="1:5" ht="40.200000000000003" x14ac:dyDescent="0.3">
      <c r="A8" s="139" t="s">
        <v>47</v>
      </c>
      <c r="B8" s="137" t="s">
        <v>138</v>
      </c>
      <c r="C8" s="139" t="s">
        <v>139</v>
      </c>
      <c r="D8" s="139" t="s">
        <v>140</v>
      </c>
      <c r="E8" s="139" t="s">
        <v>141</v>
      </c>
    </row>
    <row r="9" spans="1:5" x14ac:dyDescent="0.3">
      <c r="A9" s="75">
        <v>0</v>
      </c>
      <c r="B9" s="76"/>
      <c r="C9" s="76"/>
      <c r="D9" s="76"/>
      <c r="E9" s="76">
        <f>B1</f>
        <v>1000000</v>
      </c>
    </row>
    <row r="10" spans="1:5" x14ac:dyDescent="0.3">
      <c r="A10" s="71">
        <f t="shared" ref="A10:A49" si="0">A9+1</f>
        <v>1</v>
      </c>
      <c r="B10" s="77"/>
      <c r="C10" s="77"/>
      <c r="D10" s="77"/>
      <c r="E10" s="77"/>
    </row>
    <row r="11" spans="1:5" x14ac:dyDescent="0.3">
      <c r="A11" s="71">
        <f t="shared" si="0"/>
        <v>2</v>
      </c>
      <c r="B11" s="77"/>
      <c r="C11" s="77"/>
      <c r="D11" s="77"/>
      <c r="E11" s="77"/>
    </row>
    <row r="12" spans="1:5" x14ac:dyDescent="0.3">
      <c r="A12" s="71">
        <f t="shared" si="0"/>
        <v>3</v>
      </c>
      <c r="B12" s="77"/>
      <c r="C12" s="77"/>
      <c r="D12" s="77"/>
      <c r="E12" s="77"/>
    </row>
    <row r="13" spans="1:5" x14ac:dyDescent="0.3">
      <c r="A13" s="71">
        <f t="shared" si="0"/>
        <v>4</v>
      </c>
      <c r="B13" s="77"/>
      <c r="C13" s="77"/>
      <c r="D13" s="77"/>
      <c r="E13" s="77"/>
    </row>
    <row r="14" spans="1:5" x14ac:dyDescent="0.3">
      <c r="A14" s="71">
        <f t="shared" si="0"/>
        <v>5</v>
      </c>
      <c r="B14" s="77"/>
      <c r="C14" s="77"/>
      <c r="D14" s="77"/>
      <c r="E14" s="77"/>
    </row>
    <row r="15" spans="1:5" x14ac:dyDescent="0.3">
      <c r="A15" s="71">
        <f t="shared" si="0"/>
        <v>6</v>
      </c>
      <c r="B15" s="77"/>
      <c r="C15" s="77"/>
      <c r="D15" s="77"/>
      <c r="E15" s="77"/>
    </row>
    <row r="16" spans="1:5" x14ac:dyDescent="0.3">
      <c r="A16" s="71">
        <f t="shared" si="0"/>
        <v>7</v>
      </c>
      <c r="B16" s="77"/>
      <c r="C16" s="77"/>
      <c r="D16" s="77"/>
      <c r="E16" s="77"/>
    </row>
    <row r="17" spans="1:5" x14ac:dyDescent="0.3">
      <c r="A17" s="71">
        <f t="shared" si="0"/>
        <v>8</v>
      </c>
      <c r="B17" s="77"/>
      <c r="C17" s="77"/>
      <c r="D17" s="77"/>
      <c r="E17" s="77"/>
    </row>
    <row r="18" spans="1:5" x14ac:dyDescent="0.3">
      <c r="A18" s="71">
        <f t="shared" si="0"/>
        <v>9</v>
      </c>
      <c r="B18" s="77"/>
      <c r="C18" s="77"/>
      <c r="D18" s="77"/>
      <c r="E18" s="77"/>
    </row>
    <row r="19" spans="1:5" x14ac:dyDescent="0.3">
      <c r="A19" s="71">
        <f t="shared" si="0"/>
        <v>10</v>
      </c>
      <c r="B19" s="77"/>
      <c r="C19" s="77"/>
      <c r="D19" s="77"/>
      <c r="E19" s="77"/>
    </row>
    <row r="20" spans="1:5" x14ac:dyDescent="0.3">
      <c r="A20" s="71">
        <f t="shared" si="0"/>
        <v>11</v>
      </c>
      <c r="B20" s="77"/>
      <c r="C20" s="77"/>
      <c r="D20" s="77"/>
      <c r="E20" s="77"/>
    </row>
    <row r="21" spans="1:5" x14ac:dyDescent="0.3">
      <c r="A21" s="71">
        <f t="shared" si="0"/>
        <v>12</v>
      </c>
      <c r="B21" s="77"/>
      <c r="C21" s="77"/>
      <c r="D21" s="77"/>
      <c r="E21" s="77"/>
    </row>
    <row r="22" spans="1:5" x14ac:dyDescent="0.3">
      <c r="A22" s="71">
        <f t="shared" si="0"/>
        <v>13</v>
      </c>
      <c r="B22" s="77"/>
      <c r="C22" s="77"/>
      <c r="D22" s="77"/>
      <c r="E22" s="77"/>
    </row>
    <row r="23" spans="1:5" x14ac:dyDescent="0.3">
      <c r="A23" s="71">
        <f t="shared" si="0"/>
        <v>14</v>
      </c>
      <c r="B23" s="77"/>
      <c r="C23" s="77"/>
      <c r="D23" s="77"/>
      <c r="E23" s="77"/>
    </row>
    <row r="24" spans="1:5" x14ac:dyDescent="0.3">
      <c r="A24" s="71">
        <f t="shared" si="0"/>
        <v>15</v>
      </c>
      <c r="B24" s="77"/>
      <c r="C24" s="77"/>
      <c r="D24" s="77"/>
      <c r="E24" s="77"/>
    </row>
    <row r="25" spans="1:5" x14ac:dyDescent="0.3">
      <c r="A25" s="71">
        <f t="shared" si="0"/>
        <v>16</v>
      </c>
      <c r="B25" s="77"/>
      <c r="C25" s="77"/>
      <c r="D25" s="77"/>
      <c r="E25" s="77"/>
    </row>
    <row r="26" spans="1:5" x14ac:dyDescent="0.3">
      <c r="A26" s="71">
        <f t="shared" si="0"/>
        <v>17</v>
      </c>
      <c r="B26" s="77"/>
      <c r="C26" s="77"/>
      <c r="D26" s="77"/>
      <c r="E26" s="77"/>
    </row>
    <row r="27" spans="1:5" x14ac:dyDescent="0.3">
      <c r="A27" s="71">
        <f t="shared" si="0"/>
        <v>18</v>
      </c>
      <c r="B27" s="77"/>
      <c r="C27" s="77"/>
      <c r="D27" s="77"/>
      <c r="E27" s="77"/>
    </row>
    <row r="28" spans="1:5" x14ac:dyDescent="0.3">
      <c r="A28" s="71">
        <f t="shared" si="0"/>
        <v>19</v>
      </c>
      <c r="B28" s="77"/>
      <c r="C28" s="77"/>
      <c r="D28" s="77"/>
      <c r="E28" s="77"/>
    </row>
    <row r="29" spans="1:5" x14ac:dyDescent="0.3">
      <c r="A29" s="71">
        <f t="shared" si="0"/>
        <v>20</v>
      </c>
      <c r="B29" s="77"/>
      <c r="C29" s="77"/>
      <c r="D29" s="77"/>
      <c r="E29" s="77"/>
    </row>
    <row r="30" spans="1:5" x14ac:dyDescent="0.3">
      <c r="A30" s="71">
        <f t="shared" si="0"/>
        <v>21</v>
      </c>
      <c r="B30" s="77"/>
      <c r="C30" s="77"/>
      <c r="D30" s="77"/>
      <c r="E30" s="77"/>
    </row>
    <row r="31" spans="1:5" x14ac:dyDescent="0.3">
      <c r="A31" s="71">
        <f t="shared" si="0"/>
        <v>22</v>
      </c>
      <c r="B31" s="77"/>
      <c r="C31" s="77"/>
      <c r="D31" s="77"/>
      <c r="E31" s="77"/>
    </row>
    <row r="32" spans="1:5" x14ac:dyDescent="0.3">
      <c r="A32" s="71">
        <f t="shared" si="0"/>
        <v>23</v>
      </c>
      <c r="B32" s="77"/>
      <c r="C32" s="77"/>
      <c r="D32" s="77"/>
      <c r="E32" s="77"/>
    </row>
    <row r="33" spans="1:5" x14ac:dyDescent="0.3">
      <c r="A33" s="71">
        <f t="shared" si="0"/>
        <v>24</v>
      </c>
      <c r="B33" s="77"/>
      <c r="C33" s="77"/>
      <c r="D33" s="77"/>
      <c r="E33" s="77"/>
    </row>
    <row r="34" spans="1:5" x14ac:dyDescent="0.3">
      <c r="A34" s="71">
        <f t="shared" si="0"/>
        <v>25</v>
      </c>
      <c r="B34" s="77"/>
      <c r="C34" s="77"/>
      <c r="D34" s="77"/>
      <c r="E34" s="77"/>
    </row>
    <row r="35" spans="1:5" x14ac:dyDescent="0.3">
      <c r="A35" s="71">
        <f t="shared" si="0"/>
        <v>26</v>
      </c>
      <c r="B35" s="77"/>
      <c r="C35" s="77"/>
      <c r="D35" s="77"/>
      <c r="E35" s="77"/>
    </row>
    <row r="36" spans="1:5" x14ac:dyDescent="0.3">
      <c r="A36" s="71">
        <f t="shared" si="0"/>
        <v>27</v>
      </c>
      <c r="B36" s="77"/>
      <c r="C36" s="77"/>
      <c r="D36" s="77"/>
      <c r="E36" s="77"/>
    </row>
    <row r="37" spans="1:5" x14ac:dyDescent="0.3">
      <c r="A37" s="71">
        <f t="shared" si="0"/>
        <v>28</v>
      </c>
      <c r="B37" s="77"/>
      <c r="C37" s="77"/>
      <c r="D37" s="77"/>
      <c r="E37" s="77"/>
    </row>
    <row r="38" spans="1:5" x14ac:dyDescent="0.3">
      <c r="A38" s="71">
        <f t="shared" si="0"/>
        <v>29</v>
      </c>
      <c r="B38" s="77"/>
      <c r="C38" s="77"/>
      <c r="D38" s="77"/>
      <c r="E38" s="77"/>
    </row>
    <row r="39" spans="1:5" x14ac:dyDescent="0.3">
      <c r="A39" s="71">
        <f t="shared" si="0"/>
        <v>30</v>
      </c>
      <c r="B39" s="77"/>
      <c r="C39" s="77"/>
      <c r="D39" s="77"/>
      <c r="E39" s="77"/>
    </row>
    <row r="40" spans="1:5" x14ac:dyDescent="0.3">
      <c r="A40" s="71">
        <f t="shared" si="0"/>
        <v>31</v>
      </c>
      <c r="B40" s="77"/>
      <c r="C40" s="77"/>
      <c r="D40" s="77"/>
      <c r="E40" s="77"/>
    </row>
    <row r="41" spans="1:5" x14ac:dyDescent="0.3">
      <c r="A41" s="71">
        <f t="shared" si="0"/>
        <v>32</v>
      </c>
      <c r="B41" s="77"/>
      <c r="C41" s="77"/>
      <c r="D41" s="77"/>
      <c r="E41" s="77"/>
    </row>
    <row r="42" spans="1:5" x14ac:dyDescent="0.3">
      <c r="A42" s="71">
        <f t="shared" si="0"/>
        <v>33</v>
      </c>
      <c r="B42" s="77"/>
      <c r="C42" s="77"/>
      <c r="D42" s="77"/>
      <c r="E42" s="77"/>
    </row>
    <row r="43" spans="1:5" x14ac:dyDescent="0.3">
      <c r="A43" s="71">
        <f t="shared" si="0"/>
        <v>34</v>
      </c>
      <c r="B43" s="77"/>
      <c r="C43" s="77"/>
      <c r="D43" s="77"/>
      <c r="E43" s="77"/>
    </row>
    <row r="44" spans="1:5" x14ac:dyDescent="0.3">
      <c r="A44" s="71">
        <f t="shared" si="0"/>
        <v>35</v>
      </c>
      <c r="B44" s="77"/>
      <c r="C44" s="77"/>
      <c r="D44" s="77"/>
      <c r="E44" s="77"/>
    </row>
    <row r="45" spans="1:5" x14ac:dyDescent="0.3">
      <c r="A45" s="71">
        <f t="shared" si="0"/>
        <v>36</v>
      </c>
      <c r="B45" s="77"/>
      <c r="C45" s="77"/>
      <c r="D45" s="77"/>
      <c r="E45" s="77"/>
    </row>
    <row r="46" spans="1:5" x14ac:dyDescent="0.3">
      <c r="A46" s="71">
        <f t="shared" si="0"/>
        <v>37</v>
      </c>
      <c r="B46" s="77"/>
      <c r="C46" s="77"/>
      <c r="D46" s="77"/>
      <c r="E46" s="77"/>
    </row>
    <row r="47" spans="1:5" x14ac:dyDescent="0.3">
      <c r="A47" s="71">
        <f t="shared" si="0"/>
        <v>38</v>
      </c>
      <c r="B47" s="77"/>
      <c r="C47" s="77"/>
      <c r="D47" s="77"/>
      <c r="E47" s="77"/>
    </row>
    <row r="48" spans="1:5" x14ac:dyDescent="0.3">
      <c r="A48" s="71">
        <f t="shared" si="0"/>
        <v>39</v>
      </c>
      <c r="B48" s="77"/>
      <c r="C48" s="77"/>
      <c r="D48" s="77"/>
      <c r="E48" s="77"/>
    </row>
    <row r="49" spans="1:5" x14ac:dyDescent="0.3">
      <c r="A49" s="71">
        <f t="shared" si="0"/>
        <v>40</v>
      </c>
      <c r="B49" s="77"/>
      <c r="C49" s="77"/>
      <c r="D49" s="77"/>
      <c r="E49" s="77"/>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K51"/>
  <sheetViews>
    <sheetView workbookViewId="0"/>
  </sheetViews>
  <sheetFormatPr defaultRowHeight="14.4" x14ac:dyDescent="0.3"/>
  <cols>
    <col min="1" max="1" width="22.44140625" style="69" bestFit="1" customWidth="1"/>
    <col min="2" max="2" width="13" style="69" bestFit="1" customWidth="1"/>
    <col min="3" max="3" width="13.44140625" style="69" customWidth="1"/>
    <col min="4" max="4" width="10.6640625" style="69" bestFit="1" customWidth="1"/>
    <col min="5" max="5" width="14.5546875" style="69" bestFit="1" customWidth="1"/>
    <col min="6" max="6" width="10.77734375" style="69" customWidth="1"/>
    <col min="7" max="7" width="22.44140625" style="69" bestFit="1" customWidth="1"/>
    <col min="8" max="8" width="13" bestFit="1" customWidth="1"/>
    <col min="9" max="9" width="13.44140625" customWidth="1"/>
    <col min="10" max="10" width="10.6640625" bestFit="1" customWidth="1"/>
    <col min="11" max="11" width="14.5546875" bestFit="1" customWidth="1"/>
    <col min="257" max="257" width="12.88671875" bestFit="1" customWidth="1"/>
    <col min="258" max="258" width="13.5546875" bestFit="1" customWidth="1"/>
    <col min="259" max="259" width="12.33203125" bestFit="1" customWidth="1"/>
    <col min="260" max="260" width="13.109375" bestFit="1" customWidth="1"/>
    <col min="261" max="261" width="13.109375" customWidth="1"/>
    <col min="513" max="513" width="12.88671875" bestFit="1" customWidth="1"/>
    <col min="514" max="514" width="13.5546875" bestFit="1" customWidth="1"/>
    <col min="515" max="515" width="12.33203125" bestFit="1" customWidth="1"/>
    <col min="516" max="516" width="13.109375" bestFit="1" customWidth="1"/>
    <col min="517" max="517" width="13.109375" customWidth="1"/>
    <col min="769" max="769" width="12.88671875" bestFit="1" customWidth="1"/>
    <col min="770" max="770" width="13.5546875" bestFit="1" customWidth="1"/>
    <col min="771" max="771" width="12.33203125" bestFit="1" customWidth="1"/>
    <col min="772" max="772" width="13.109375" bestFit="1" customWidth="1"/>
    <col min="773" max="773" width="13.109375" customWidth="1"/>
    <col min="1025" max="1025" width="12.88671875" bestFit="1" customWidth="1"/>
    <col min="1026" max="1026" width="13.5546875" bestFit="1" customWidth="1"/>
    <col min="1027" max="1027" width="12.33203125" bestFit="1" customWidth="1"/>
    <col min="1028" max="1028" width="13.109375" bestFit="1" customWidth="1"/>
    <col min="1029" max="1029" width="13.109375" customWidth="1"/>
    <col min="1281" max="1281" width="12.88671875" bestFit="1" customWidth="1"/>
    <col min="1282" max="1282" width="13.5546875" bestFit="1" customWidth="1"/>
    <col min="1283" max="1283" width="12.33203125" bestFit="1" customWidth="1"/>
    <col min="1284" max="1284" width="13.109375" bestFit="1" customWidth="1"/>
    <col min="1285" max="1285" width="13.109375" customWidth="1"/>
    <col min="1537" max="1537" width="12.88671875" bestFit="1" customWidth="1"/>
    <col min="1538" max="1538" width="13.5546875" bestFit="1" customWidth="1"/>
    <col min="1539" max="1539" width="12.33203125" bestFit="1" customWidth="1"/>
    <col min="1540" max="1540" width="13.109375" bestFit="1" customWidth="1"/>
    <col min="1541" max="1541" width="13.109375" customWidth="1"/>
    <col min="1793" max="1793" width="12.88671875" bestFit="1" customWidth="1"/>
    <col min="1794" max="1794" width="13.5546875" bestFit="1" customWidth="1"/>
    <col min="1795" max="1795" width="12.33203125" bestFit="1" customWidth="1"/>
    <col min="1796" max="1796" width="13.109375" bestFit="1" customWidth="1"/>
    <col min="1797" max="1797" width="13.109375" customWidth="1"/>
    <col min="2049" max="2049" width="12.88671875" bestFit="1" customWidth="1"/>
    <col min="2050" max="2050" width="13.5546875" bestFit="1" customWidth="1"/>
    <col min="2051" max="2051" width="12.33203125" bestFit="1" customWidth="1"/>
    <col min="2052" max="2052" width="13.109375" bestFit="1" customWidth="1"/>
    <col min="2053" max="2053" width="13.109375" customWidth="1"/>
    <col min="2305" max="2305" width="12.88671875" bestFit="1" customWidth="1"/>
    <col min="2306" max="2306" width="13.5546875" bestFit="1" customWidth="1"/>
    <col min="2307" max="2307" width="12.33203125" bestFit="1" customWidth="1"/>
    <col min="2308" max="2308" width="13.109375" bestFit="1" customWidth="1"/>
    <col min="2309" max="2309" width="13.109375" customWidth="1"/>
    <col min="2561" max="2561" width="12.88671875" bestFit="1" customWidth="1"/>
    <col min="2562" max="2562" width="13.5546875" bestFit="1" customWidth="1"/>
    <col min="2563" max="2563" width="12.33203125" bestFit="1" customWidth="1"/>
    <col min="2564" max="2564" width="13.109375" bestFit="1" customWidth="1"/>
    <col min="2565" max="2565" width="13.109375" customWidth="1"/>
    <col min="2817" max="2817" width="12.88671875" bestFit="1" customWidth="1"/>
    <col min="2818" max="2818" width="13.5546875" bestFit="1" customWidth="1"/>
    <col min="2819" max="2819" width="12.33203125" bestFit="1" customWidth="1"/>
    <col min="2820" max="2820" width="13.109375" bestFit="1" customWidth="1"/>
    <col min="2821" max="2821" width="13.109375" customWidth="1"/>
    <col min="3073" max="3073" width="12.88671875" bestFit="1" customWidth="1"/>
    <col min="3074" max="3074" width="13.5546875" bestFit="1" customWidth="1"/>
    <col min="3075" max="3075" width="12.33203125" bestFit="1" customWidth="1"/>
    <col min="3076" max="3076" width="13.109375" bestFit="1" customWidth="1"/>
    <col min="3077" max="3077" width="13.109375" customWidth="1"/>
    <col min="3329" max="3329" width="12.88671875" bestFit="1" customWidth="1"/>
    <col min="3330" max="3330" width="13.5546875" bestFit="1" customWidth="1"/>
    <col min="3331" max="3331" width="12.33203125" bestFit="1" customWidth="1"/>
    <col min="3332" max="3332" width="13.109375" bestFit="1" customWidth="1"/>
    <col min="3333" max="3333" width="13.109375" customWidth="1"/>
    <col min="3585" max="3585" width="12.88671875" bestFit="1" customWidth="1"/>
    <col min="3586" max="3586" width="13.5546875" bestFit="1" customWidth="1"/>
    <col min="3587" max="3587" width="12.33203125" bestFit="1" customWidth="1"/>
    <col min="3588" max="3588" width="13.109375" bestFit="1" customWidth="1"/>
    <col min="3589" max="3589" width="13.109375" customWidth="1"/>
    <col min="3841" max="3841" width="12.88671875" bestFit="1" customWidth="1"/>
    <col min="3842" max="3842" width="13.5546875" bestFit="1" customWidth="1"/>
    <col min="3843" max="3843" width="12.33203125" bestFit="1" customWidth="1"/>
    <col min="3844" max="3844" width="13.109375" bestFit="1" customWidth="1"/>
    <col min="3845" max="3845" width="13.109375" customWidth="1"/>
    <col min="4097" max="4097" width="12.88671875" bestFit="1" customWidth="1"/>
    <col min="4098" max="4098" width="13.5546875" bestFit="1" customWidth="1"/>
    <col min="4099" max="4099" width="12.33203125" bestFit="1" customWidth="1"/>
    <col min="4100" max="4100" width="13.109375" bestFit="1" customWidth="1"/>
    <col min="4101" max="4101" width="13.109375" customWidth="1"/>
    <col min="4353" max="4353" width="12.88671875" bestFit="1" customWidth="1"/>
    <col min="4354" max="4354" width="13.5546875" bestFit="1" customWidth="1"/>
    <col min="4355" max="4355" width="12.33203125" bestFit="1" customWidth="1"/>
    <col min="4356" max="4356" width="13.109375" bestFit="1" customWidth="1"/>
    <col min="4357" max="4357" width="13.109375" customWidth="1"/>
    <col min="4609" max="4609" width="12.88671875" bestFit="1" customWidth="1"/>
    <col min="4610" max="4610" width="13.5546875" bestFit="1" customWidth="1"/>
    <col min="4611" max="4611" width="12.33203125" bestFit="1" customWidth="1"/>
    <col min="4612" max="4612" width="13.109375" bestFit="1" customWidth="1"/>
    <col min="4613" max="4613" width="13.109375" customWidth="1"/>
    <col min="4865" max="4865" width="12.88671875" bestFit="1" customWidth="1"/>
    <col min="4866" max="4866" width="13.5546875" bestFit="1" customWidth="1"/>
    <col min="4867" max="4867" width="12.33203125" bestFit="1" customWidth="1"/>
    <col min="4868" max="4868" width="13.109375" bestFit="1" customWidth="1"/>
    <col min="4869" max="4869" width="13.109375" customWidth="1"/>
    <col min="5121" max="5121" width="12.88671875" bestFit="1" customWidth="1"/>
    <col min="5122" max="5122" width="13.5546875" bestFit="1" customWidth="1"/>
    <col min="5123" max="5123" width="12.33203125" bestFit="1" customWidth="1"/>
    <col min="5124" max="5124" width="13.109375" bestFit="1" customWidth="1"/>
    <col min="5125" max="5125" width="13.109375" customWidth="1"/>
    <col min="5377" max="5377" width="12.88671875" bestFit="1" customWidth="1"/>
    <col min="5378" max="5378" width="13.5546875" bestFit="1" customWidth="1"/>
    <col min="5379" max="5379" width="12.33203125" bestFit="1" customWidth="1"/>
    <col min="5380" max="5380" width="13.109375" bestFit="1" customWidth="1"/>
    <col min="5381" max="5381" width="13.109375" customWidth="1"/>
    <col min="5633" max="5633" width="12.88671875" bestFit="1" customWidth="1"/>
    <col min="5634" max="5634" width="13.5546875" bestFit="1" customWidth="1"/>
    <col min="5635" max="5635" width="12.33203125" bestFit="1" customWidth="1"/>
    <col min="5636" max="5636" width="13.109375" bestFit="1" customWidth="1"/>
    <col min="5637" max="5637" width="13.109375" customWidth="1"/>
    <col min="5889" max="5889" width="12.88671875" bestFit="1" customWidth="1"/>
    <col min="5890" max="5890" width="13.5546875" bestFit="1" customWidth="1"/>
    <col min="5891" max="5891" width="12.33203125" bestFit="1" customWidth="1"/>
    <col min="5892" max="5892" width="13.109375" bestFit="1" customWidth="1"/>
    <col min="5893" max="5893" width="13.109375" customWidth="1"/>
    <col min="6145" max="6145" width="12.88671875" bestFit="1" customWidth="1"/>
    <col min="6146" max="6146" width="13.5546875" bestFit="1" customWidth="1"/>
    <col min="6147" max="6147" width="12.33203125" bestFit="1" customWidth="1"/>
    <col min="6148" max="6148" width="13.109375" bestFit="1" customWidth="1"/>
    <col min="6149" max="6149" width="13.109375" customWidth="1"/>
    <col min="6401" max="6401" width="12.88671875" bestFit="1" customWidth="1"/>
    <col min="6402" max="6402" width="13.5546875" bestFit="1" customWidth="1"/>
    <col min="6403" max="6403" width="12.33203125" bestFit="1" customWidth="1"/>
    <col min="6404" max="6404" width="13.109375" bestFit="1" customWidth="1"/>
    <col min="6405" max="6405" width="13.109375" customWidth="1"/>
    <col min="6657" max="6657" width="12.88671875" bestFit="1" customWidth="1"/>
    <col min="6658" max="6658" width="13.5546875" bestFit="1" customWidth="1"/>
    <col min="6659" max="6659" width="12.33203125" bestFit="1" customWidth="1"/>
    <col min="6660" max="6660" width="13.109375" bestFit="1" customWidth="1"/>
    <col min="6661" max="6661" width="13.109375" customWidth="1"/>
    <col min="6913" max="6913" width="12.88671875" bestFit="1" customWidth="1"/>
    <col min="6914" max="6914" width="13.5546875" bestFit="1" customWidth="1"/>
    <col min="6915" max="6915" width="12.33203125" bestFit="1" customWidth="1"/>
    <col min="6916" max="6916" width="13.109375" bestFit="1" customWidth="1"/>
    <col min="6917" max="6917" width="13.109375" customWidth="1"/>
    <col min="7169" max="7169" width="12.88671875" bestFit="1" customWidth="1"/>
    <col min="7170" max="7170" width="13.5546875" bestFit="1" customWidth="1"/>
    <col min="7171" max="7171" width="12.33203125" bestFit="1" customWidth="1"/>
    <col min="7172" max="7172" width="13.109375" bestFit="1" customWidth="1"/>
    <col min="7173" max="7173" width="13.109375" customWidth="1"/>
    <col min="7425" max="7425" width="12.88671875" bestFit="1" customWidth="1"/>
    <col min="7426" max="7426" width="13.5546875" bestFit="1" customWidth="1"/>
    <col min="7427" max="7427" width="12.33203125" bestFit="1" customWidth="1"/>
    <col min="7428" max="7428" width="13.109375" bestFit="1" customWidth="1"/>
    <col min="7429" max="7429" width="13.109375" customWidth="1"/>
    <col min="7681" max="7681" width="12.88671875" bestFit="1" customWidth="1"/>
    <col min="7682" max="7682" width="13.5546875" bestFit="1" customWidth="1"/>
    <col min="7683" max="7683" width="12.33203125" bestFit="1" customWidth="1"/>
    <col min="7684" max="7684" width="13.109375" bestFit="1" customWidth="1"/>
    <col min="7685" max="7685" width="13.109375" customWidth="1"/>
    <col min="7937" max="7937" width="12.88671875" bestFit="1" customWidth="1"/>
    <col min="7938" max="7938" width="13.5546875" bestFit="1" customWidth="1"/>
    <col min="7939" max="7939" width="12.33203125" bestFit="1" customWidth="1"/>
    <col min="7940" max="7940" width="13.109375" bestFit="1" customWidth="1"/>
    <col min="7941" max="7941" width="13.109375" customWidth="1"/>
    <col min="8193" max="8193" width="12.88671875" bestFit="1" customWidth="1"/>
    <col min="8194" max="8194" width="13.5546875" bestFit="1" customWidth="1"/>
    <col min="8195" max="8195" width="12.33203125" bestFit="1" customWidth="1"/>
    <col min="8196" max="8196" width="13.109375" bestFit="1" customWidth="1"/>
    <col min="8197" max="8197" width="13.109375" customWidth="1"/>
    <col min="8449" max="8449" width="12.88671875" bestFit="1" customWidth="1"/>
    <col min="8450" max="8450" width="13.5546875" bestFit="1" customWidth="1"/>
    <col min="8451" max="8451" width="12.33203125" bestFit="1" customWidth="1"/>
    <col min="8452" max="8452" width="13.109375" bestFit="1" customWidth="1"/>
    <col min="8453" max="8453" width="13.109375" customWidth="1"/>
    <col min="8705" max="8705" width="12.88671875" bestFit="1" customWidth="1"/>
    <col min="8706" max="8706" width="13.5546875" bestFit="1" customWidth="1"/>
    <col min="8707" max="8707" width="12.33203125" bestFit="1" customWidth="1"/>
    <col min="8708" max="8708" width="13.109375" bestFit="1" customWidth="1"/>
    <col min="8709" max="8709" width="13.109375" customWidth="1"/>
    <col min="8961" max="8961" width="12.88671875" bestFit="1" customWidth="1"/>
    <col min="8962" max="8962" width="13.5546875" bestFit="1" customWidth="1"/>
    <col min="8963" max="8963" width="12.33203125" bestFit="1" customWidth="1"/>
    <col min="8964" max="8964" width="13.109375" bestFit="1" customWidth="1"/>
    <col min="8965" max="8965" width="13.109375" customWidth="1"/>
    <col min="9217" max="9217" width="12.88671875" bestFit="1" customWidth="1"/>
    <col min="9218" max="9218" width="13.5546875" bestFit="1" customWidth="1"/>
    <col min="9219" max="9219" width="12.33203125" bestFit="1" customWidth="1"/>
    <col min="9220" max="9220" width="13.109375" bestFit="1" customWidth="1"/>
    <col min="9221" max="9221" width="13.109375" customWidth="1"/>
    <col min="9473" max="9473" width="12.88671875" bestFit="1" customWidth="1"/>
    <col min="9474" max="9474" width="13.5546875" bestFit="1" customWidth="1"/>
    <col min="9475" max="9475" width="12.33203125" bestFit="1" customWidth="1"/>
    <col min="9476" max="9476" width="13.109375" bestFit="1" customWidth="1"/>
    <col min="9477" max="9477" width="13.109375" customWidth="1"/>
    <col min="9729" max="9729" width="12.88671875" bestFit="1" customWidth="1"/>
    <col min="9730" max="9730" width="13.5546875" bestFit="1" customWidth="1"/>
    <col min="9731" max="9731" width="12.33203125" bestFit="1" customWidth="1"/>
    <col min="9732" max="9732" width="13.109375" bestFit="1" customWidth="1"/>
    <col min="9733" max="9733" width="13.109375" customWidth="1"/>
    <col min="9985" max="9985" width="12.88671875" bestFit="1" customWidth="1"/>
    <col min="9986" max="9986" width="13.5546875" bestFit="1" customWidth="1"/>
    <col min="9987" max="9987" width="12.33203125" bestFit="1" customWidth="1"/>
    <col min="9988" max="9988" width="13.109375" bestFit="1" customWidth="1"/>
    <col min="9989" max="9989" width="13.109375" customWidth="1"/>
    <col min="10241" max="10241" width="12.88671875" bestFit="1" customWidth="1"/>
    <col min="10242" max="10242" width="13.5546875" bestFit="1" customWidth="1"/>
    <col min="10243" max="10243" width="12.33203125" bestFit="1" customWidth="1"/>
    <col min="10244" max="10244" width="13.109375" bestFit="1" customWidth="1"/>
    <col min="10245" max="10245" width="13.109375" customWidth="1"/>
    <col min="10497" max="10497" width="12.88671875" bestFit="1" customWidth="1"/>
    <col min="10498" max="10498" width="13.5546875" bestFit="1" customWidth="1"/>
    <col min="10499" max="10499" width="12.33203125" bestFit="1" customWidth="1"/>
    <col min="10500" max="10500" width="13.109375" bestFit="1" customWidth="1"/>
    <col min="10501" max="10501" width="13.109375" customWidth="1"/>
    <col min="10753" max="10753" width="12.88671875" bestFit="1" customWidth="1"/>
    <col min="10754" max="10754" width="13.5546875" bestFit="1" customWidth="1"/>
    <col min="10755" max="10755" width="12.33203125" bestFit="1" customWidth="1"/>
    <col min="10756" max="10756" width="13.109375" bestFit="1" customWidth="1"/>
    <col min="10757" max="10757" width="13.109375" customWidth="1"/>
    <col min="11009" max="11009" width="12.88671875" bestFit="1" customWidth="1"/>
    <col min="11010" max="11010" width="13.5546875" bestFit="1" customWidth="1"/>
    <col min="11011" max="11011" width="12.33203125" bestFit="1" customWidth="1"/>
    <col min="11012" max="11012" width="13.109375" bestFit="1" customWidth="1"/>
    <col min="11013" max="11013" width="13.109375" customWidth="1"/>
    <col min="11265" max="11265" width="12.88671875" bestFit="1" customWidth="1"/>
    <col min="11266" max="11266" width="13.5546875" bestFit="1" customWidth="1"/>
    <col min="11267" max="11267" width="12.33203125" bestFit="1" customWidth="1"/>
    <col min="11268" max="11268" width="13.109375" bestFit="1" customWidth="1"/>
    <col min="11269" max="11269" width="13.109375" customWidth="1"/>
    <col min="11521" max="11521" width="12.88671875" bestFit="1" customWidth="1"/>
    <col min="11522" max="11522" width="13.5546875" bestFit="1" customWidth="1"/>
    <col min="11523" max="11523" width="12.33203125" bestFit="1" customWidth="1"/>
    <col min="11524" max="11524" width="13.109375" bestFit="1" customWidth="1"/>
    <col min="11525" max="11525" width="13.109375" customWidth="1"/>
    <col min="11777" max="11777" width="12.88671875" bestFit="1" customWidth="1"/>
    <col min="11778" max="11778" width="13.5546875" bestFit="1" customWidth="1"/>
    <col min="11779" max="11779" width="12.33203125" bestFit="1" customWidth="1"/>
    <col min="11780" max="11780" width="13.109375" bestFit="1" customWidth="1"/>
    <col min="11781" max="11781" width="13.109375" customWidth="1"/>
    <col min="12033" max="12033" width="12.88671875" bestFit="1" customWidth="1"/>
    <col min="12034" max="12034" width="13.5546875" bestFit="1" customWidth="1"/>
    <col min="12035" max="12035" width="12.33203125" bestFit="1" customWidth="1"/>
    <col min="12036" max="12036" width="13.109375" bestFit="1" customWidth="1"/>
    <col min="12037" max="12037" width="13.109375" customWidth="1"/>
    <col min="12289" max="12289" width="12.88671875" bestFit="1" customWidth="1"/>
    <col min="12290" max="12290" width="13.5546875" bestFit="1" customWidth="1"/>
    <col min="12291" max="12291" width="12.33203125" bestFit="1" customWidth="1"/>
    <col min="12292" max="12292" width="13.109375" bestFit="1" customWidth="1"/>
    <col min="12293" max="12293" width="13.109375" customWidth="1"/>
    <col min="12545" max="12545" width="12.88671875" bestFit="1" customWidth="1"/>
    <col min="12546" max="12546" width="13.5546875" bestFit="1" customWidth="1"/>
    <col min="12547" max="12547" width="12.33203125" bestFit="1" customWidth="1"/>
    <col min="12548" max="12548" width="13.109375" bestFit="1" customWidth="1"/>
    <col min="12549" max="12549" width="13.109375" customWidth="1"/>
    <col min="12801" max="12801" width="12.88671875" bestFit="1" customWidth="1"/>
    <col min="12802" max="12802" width="13.5546875" bestFit="1" customWidth="1"/>
    <col min="12803" max="12803" width="12.33203125" bestFit="1" customWidth="1"/>
    <col min="12804" max="12804" width="13.109375" bestFit="1" customWidth="1"/>
    <col min="12805" max="12805" width="13.109375" customWidth="1"/>
    <col min="13057" max="13057" width="12.88671875" bestFit="1" customWidth="1"/>
    <col min="13058" max="13058" width="13.5546875" bestFit="1" customWidth="1"/>
    <col min="13059" max="13059" width="12.33203125" bestFit="1" customWidth="1"/>
    <col min="13060" max="13060" width="13.109375" bestFit="1" customWidth="1"/>
    <col min="13061" max="13061" width="13.109375" customWidth="1"/>
    <col min="13313" max="13313" width="12.88671875" bestFit="1" customWidth="1"/>
    <col min="13314" max="13314" width="13.5546875" bestFit="1" customWidth="1"/>
    <col min="13315" max="13315" width="12.33203125" bestFit="1" customWidth="1"/>
    <col min="13316" max="13316" width="13.109375" bestFit="1" customWidth="1"/>
    <col min="13317" max="13317" width="13.109375" customWidth="1"/>
    <col min="13569" max="13569" width="12.88671875" bestFit="1" customWidth="1"/>
    <col min="13570" max="13570" width="13.5546875" bestFit="1" customWidth="1"/>
    <col min="13571" max="13571" width="12.33203125" bestFit="1" customWidth="1"/>
    <col min="13572" max="13572" width="13.109375" bestFit="1" customWidth="1"/>
    <col min="13573" max="13573" width="13.109375" customWidth="1"/>
    <col min="13825" max="13825" width="12.88671875" bestFit="1" customWidth="1"/>
    <col min="13826" max="13826" width="13.5546875" bestFit="1" customWidth="1"/>
    <col min="13827" max="13827" width="12.33203125" bestFit="1" customWidth="1"/>
    <col min="13828" max="13828" width="13.109375" bestFit="1" customWidth="1"/>
    <col min="13829" max="13829" width="13.109375" customWidth="1"/>
    <col min="14081" max="14081" width="12.88671875" bestFit="1" customWidth="1"/>
    <col min="14082" max="14082" width="13.5546875" bestFit="1" customWidth="1"/>
    <col min="14083" max="14083" width="12.33203125" bestFit="1" customWidth="1"/>
    <col min="14084" max="14084" width="13.109375" bestFit="1" customWidth="1"/>
    <col min="14085" max="14085" width="13.109375" customWidth="1"/>
    <col min="14337" max="14337" width="12.88671875" bestFit="1" customWidth="1"/>
    <col min="14338" max="14338" width="13.5546875" bestFit="1" customWidth="1"/>
    <col min="14339" max="14339" width="12.33203125" bestFit="1" customWidth="1"/>
    <col min="14340" max="14340" width="13.109375" bestFit="1" customWidth="1"/>
    <col min="14341" max="14341" width="13.109375" customWidth="1"/>
    <col min="14593" max="14593" width="12.88671875" bestFit="1" customWidth="1"/>
    <col min="14594" max="14594" width="13.5546875" bestFit="1" customWidth="1"/>
    <col min="14595" max="14595" width="12.33203125" bestFit="1" customWidth="1"/>
    <col min="14596" max="14596" width="13.109375" bestFit="1" customWidth="1"/>
    <col min="14597" max="14597" width="13.109375" customWidth="1"/>
    <col min="14849" max="14849" width="12.88671875" bestFit="1" customWidth="1"/>
    <col min="14850" max="14850" width="13.5546875" bestFit="1" customWidth="1"/>
    <col min="14851" max="14851" width="12.33203125" bestFit="1" customWidth="1"/>
    <col min="14852" max="14852" width="13.109375" bestFit="1" customWidth="1"/>
    <col min="14853" max="14853" width="13.109375" customWidth="1"/>
    <col min="15105" max="15105" width="12.88671875" bestFit="1" customWidth="1"/>
    <col min="15106" max="15106" width="13.5546875" bestFit="1" customWidth="1"/>
    <col min="15107" max="15107" width="12.33203125" bestFit="1" customWidth="1"/>
    <col min="15108" max="15108" width="13.109375" bestFit="1" customWidth="1"/>
    <col min="15109" max="15109" width="13.109375" customWidth="1"/>
    <col min="15361" max="15361" width="12.88671875" bestFit="1" customWidth="1"/>
    <col min="15362" max="15362" width="13.5546875" bestFit="1" customWidth="1"/>
    <col min="15363" max="15363" width="12.33203125" bestFit="1" customWidth="1"/>
    <col min="15364" max="15364" width="13.109375" bestFit="1" customWidth="1"/>
    <col min="15365" max="15365" width="13.109375" customWidth="1"/>
    <col min="15617" max="15617" width="12.88671875" bestFit="1" customWidth="1"/>
    <col min="15618" max="15618" width="13.5546875" bestFit="1" customWidth="1"/>
    <col min="15619" max="15619" width="12.33203125" bestFit="1" customWidth="1"/>
    <col min="15620" max="15620" width="13.109375" bestFit="1" customWidth="1"/>
    <col min="15621" max="15621" width="13.109375" customWidth="1"/>
    <col min="15873" max="15873" width="12.88671875" bestFit="1" customWidth="1"/>
    <col min="15874" max="15874" width="13.5546875" bestFit="1" customWidth="1"/>
    <col min="15875" max="15875" width="12.33203125" bestFit="1" customWidth="1"/>
    <col min="15876" max="15876" width="13.109375" bestFit="1" customWidth="1"/>
    <col min="15877" max="15877" width="13.109375" customWidth="1"/>
    <col min="16129" max="16129" width="12.88671875" bestFit="1" customWidth="1"/>
    <col min="16130" max="16130" width="13.5546875" bestFit="1" customWidth="1"/>
    <col min="16131" max="16131" width="12.33203125" bestFit="1" customWidth="1"/>
    <col min="16132" max="16132" width="13.109375" bestFit="1" customWidth="1"/>
    <col min="16133" max="16133" width="13.109375" customWidth="1"/>
  </cols>
  <sheetData>
    <row r="1" spans="1:11" ht="15" thickTop="1" x14ac:dyDescent="0.3">
      <c r="A1" s="136" t="s">
        <v>134</v>
      </c>
      <c r="B1" s="129">
        <v>1000000</v>
      </c>
      <c r="G1" s="168" t="s">
        <v>134</v>
      </c>
      <c r="H1" s="149">
        <v>1000000</v>
      </c>
      <c r="I1" s="150"/>
      <c r="J1" s="150"/>
      <c r="K1" s="151"/>
    </row>
    <row r="2" spans="1:11" x14ac:dyDescent="0.3">
      <c r="A2" s="136" t="s">
        <v>135</v>
      </c>
      <c r="B2" s="130">
        <v>7.0000000000000007E-2</v>
      </c>
      <c r="G2" s="169" t="s">
        <v>135</v>
      </c>
      <c r="H2" s="130">
        <v>7.0000000000000007E-2</v>
      </c>
      <c r="I2" s="145"/>
      <c r="J2" s="145"/>
      <c r="K2" s="153"/>
    </row>
    <row r="3" spans="1:11" x14ac:dyDescent="0.3">
      <c r="A3" s="136" t="s">
        <v>136</v>
      </c>
      <c r="B3" s="131">
        <f>B2/B5</f>
        <v>3.5000000000000003E-2</v>
      </c>
      <c r="G3" s="169" t="s">
        <v>136</v>
      </c>
      <c r="H3" s="131">
        <f>H2/H5</f>
        <v>3.5000000000000003E-2</v>
      </c>
      <c r="I3" s="145"/>
      <c r="J3" s="145"/>
      <c r="K3" s="153"/>
    </row>
    <row r="4" spans="1:11" x14ac:dyDescent="0.3">
      <c r="A4" s="136" t="s">
        <v>10</v>
      </c>
      <c r="B4" s="75">
        <v>20</v>
      </c>
      <c r="G4" s="169" t="s">
        <v>10</v>
      </c>
      <c r="H4" s="75">
        <v>20</v>
      </c>
      <c r="I4" s="145"/>
      <c r="J4" s="167" t="s">
        <v>220</v>
      </c>
      <c r="K4" s="153"/>
    </row>
    <row r="5" spans="1:11" x14ac:dyDescent="0.3">
      <c r="A5" s="136" t="s">
        <v>137</v>
      </c>
      <c r="B5" s="75">
        <v>2</v>
      </c>
      <c r="G5" s="169" t="s">
        <v>137</v>
      </c>
      <c r="H5" s="75">
        <v>2</v>
      </c>
      <c r="I5" s="145"/>
      <c r="J5" s="145"/>
      <c r="K5" s="153"/>
    </row>
    <row r="6" spans="1:11" x14ac:dyDescent="0.3">
      <c r="A6" s="136" t="s">
        <v>12</v>
      </c>
      <c r="B6" s="131">
        <f>B4*B5</f>
        <v>40</v>
      </c>
      <c r="G6" s="169" t="s">
        <v>12</v>
      </c>
      <c r="H6" s="131">
        <f>H4*H5</f>
        <v>40</v>
      </c>
      <c r="I6" s="145"/>
      <c r="J6" s="145"/>
      <c r="K6" s="153"/>
    </row>
    <row r="7" spans="1:11" x14ac:dyDescent="0.3">
      <c r="A7" s="139" t="s">
        <v>140</v>
      </c>
      <c r="B7" s="134">
        <f>B1/B6</f>
        <v>25000</v>
      </c>
      <c r="G7" s="171" t="s">
        <v>140</v>
      </c>
      <c r="H7" s="134">
        <f>H1/H6</f>
        <v>25000</v>
      </c>
      <c r="I7" s="145"/>
      <c r="J7" s="145"/>
      <c r="K7" s="153"/>
    </row>
    <row r="8" spans="1:11" x14ac:dyDescent="0.3">
      <c r="G8" s="170"/>
      <c r="H8" s="145"/>
      <c r="I8" s="145"/>
      <c r="J8" s="145"/>
      <c r="K8" s="153"/>
    </row>
    <row r="9" spans="1:11" ht="40.200000000000003" x14ac:dyDescent="0.3">
      <c r="A9" s="139" t="s">
        <v>47</v>
      </c>
      <c r="B9" s="137" t="s">
        <v>138</v>
      </c>
      <c r="C9" s="139" t="s">
        <v>139</v>
      </c>
      <c r="D9" s="139" t="s">
        <v>140</v>
      </c>
      <c r="E9" s="139" t="s">
        <v>141</v>
      </c>
      <c r="G9" s="171" t="s">
        <v>47</v>
      </c>
      <c r="H9" s="137" t="s">
        <v>138</v>
      </c>
      <c r="I9" s="139" t="s">
        <v>139</v>
      </c>
      <c r="J9" s="139" t="s">
        <v>140</v>
      </c>
      <c r="K9" s="172" t="s">
        <v>141</v>
      </c>
    </row>
    <row r="10" spans="1:11" x14ac:dyDescent="0.3">
      <c r="A10" s="75">
        <v>0</v>
      </c>
      <c r="B10" s="76"/>
      <c r="C10" s="76"/>
      <c r="D10" s="76"/>
      <c r="E10" s="76">
        <f>B1</f>
        <v>1000000</v>
      </c>
      <c r="G10" s="173" cm="1">
        <f t="array" ref="G10:G50">_xlfn.SEQUENCE(H6+1,,0)</f>
        <v>0</v>
      </c>
      <c r="H10" s="76"/>
      <c r="I10" s="76"/>
      <c r="J10" s="76"/>
      <c r="K10" s="175" cm="1">
        <f t="array" ref="K10:K50">_xlfn.SEQUENCE(H6+1,,H1,-H7)</f>
        <v>1000000</v>
      </c>
    </row>
    <row r="11" spans="1:11" x14ac:dyDescent="0.3">
      <c r="A11" s="71">
        <f t="shared" ref="A11:A50" si="0">A10+1</f>
        <v>1</v>
      </c>
      <c r="B11" s="77">
        <f>SUM(C11:D11)</f>
        <v>60000</v>
      </c>
      <c r="C11" s="77">
        <f t="shared" ref="C11:C50" si="1">E10*B$3</f>
        <v>35000</v>
      </c>
      <c r="D11" s="77">
        <f t="shared" ref="D11:D50" si="2">B$1/B$6</f>
        <v>25000</v>
      </c>
      <c r="E11" s="77">
        <f>E10-D11</f>
        <v>975000</v>
      </c>
      <c r="G11" s="158">
        <v>1</v>
      </c>
      <c r="H11" s="77" cm="1">
        <f t="array" ref="H11:H50">_xlfn.BYROW(_xlfn.HSTACK(_xlfn.ANCHORARRAY(I11),_xlfn.ANCHORARRAY(J11)),_xleta.SUM)</f>
        <v>60000</v>
      </c>
      <c r="I11" s="176" cm="1">
        <f t="array" ref="I11:I50">_xlfn.DROP(_xlfn.ANCHORARRAY(K10),-1)*H3</f>
        <v>35000</v>
      </c>
      <c r="J11" s="77" cm="1">
        <f t="array" ref="J11:J50">_xlfn.SEQUENCE(H6,,H7,0)</f>
        <v>25000</v>
      </c>
      <c r="K11" s="177">
        <v>975000</v>
      </c>
    </row>
    <row r="12" spans="1:11" x14ac:dyDescent="0.3">
      <c r="A12" s="71">
        <f t="shared" si="0"/>
        <v>2</v>
      </c>
      <c r="B12" s="77">
        <f t="shared" ref="B12:B50" si="3">SUM(C12:D12)</f>
        <v>59125</v>
      </c>
      <c r="C12" s="77">
        <f t="shared" si="1"/>
        <v>34125</v>
      </c>
      <c r="D12" s="77">
        <f t="shared" si="2"/>
        <v>25000</v>
      </c>
      <c r="E12" s="77">
        <f t="shared" ref="E12:E50" si="4">E11-D12</f>
        <v>950000</v>
      </c>
      <c r="G12" s="158">
        <v>2</v>
      </c>
      <c r="H12" s="77">
        <v>59125</v>
      </c>
      <c r="I12" s="176">
        <v>34125</v>
      </c>
      <c r="J12" s="77">
        <v>25000</v>
      </c>
      <c r="K12" s="177">
        <v>950000</v>
      </c>
    </row>
    <row r="13" spans="1:11" x14ac:dyDescent="0.3">
      <c r="A13" s="71">
        <f t="shared" si="0"/>
        <v>3</v>
      </c>
      <c r="B13" s="77">
        <f t="shared" si="3"/>
        <v>58250</v>
      </c>
      <c r="C13" s="77">
        <f t="shared" si="1"/>
        <v>33250</v>
      </c>
      <c r="D13" s="77">
        <f t="shared" si="2"/>
        <v>25000</v>
      </c>
      <c r="E13" s="77">
        <f t="shared" si="4"/>
        <v>925000</v>
      </c>
      <c r="G13" s="158">
        <v>3</v>
      </c>
      <c r="H13" s="77">
        <v>58250</v>
      </c>
      <c r="I13" s="176">
        <v>33250</v>
      </c>
      <c r="J13" s="77">
        <v>25000</v>
      </c>
      <c r="K13" s="177">
        <v>925000</v>
      </c>
    </row>
    <row r="14" spans="1:11" x14ac:dyDescent="0.3">
      <c r="A14" s="71">
        <f t="shared" si="0"/>
        <v>4</v>
      </c>
      <c r="B14" s="77">
        <f t="shared" si="3"/>
        <v>57375</v>
      </c>
      <c r="C14" s="77">
        <f t="shared" si="1"/>
        <v>32375.000000000004</v>
      </c>
      <c r="D14" s="77">
        <f t="shared" si="2"/>
        <v>25000</v>
      </c>
      <c r="E14" s="77">
        <f t="shared" si="4"/>
        <v>900000</v>
      </c>
      <c r="G14" s="158">
        <v>4</v>
      </c>
      <c r="H14" s="77">
        <v>57375</v>
      </c>
      <c r="I14" s="176">
        <v>32375.000000000004</v>
      </c>
      <c r="J14" s="77">
        <v>25000</v>
      </c>
      <c r="K14" s="177">
        <v>900000</v>
      </c>
    </row>
    <row r="15" spans="1:11" x14ac:dyDescent="0.3">
      <c r="A15" s="71">
        <f t="shared" si="0"/>
        <v>5</v>
      </c>
      <c r="B15" s="77">
        <f t="shared" si="3"/>
        <v>56500</v>
      </c>
      <c r="C15" s="77">
        <f t="shared" si="1"/>
        <v>31500.000000000004</v>
      </c>
      <c r="D15" s="77">
        <f t="shared" si="2"/>
        <v>25000</v>
      </c>
      <c r="E15" s="77">
        <f t="shared" si="4"/>
        <v>875000</v>
      </c>
      <c r="G15" s="158">
        <v>5</v>
      </c>
      <c r="H15" s="77">
        <v>56500</v>
      </c>
      <c r="I15" s="176">
        <v>31500.000000000004</v>
      </c>
      <c r="J15" s="77">
        <v>25000</v>
      </c>
      <c r="K15" s="177">
        <v>875000</v>
      </c>
    </row>
    <row r="16" spans="1:11" x14ac:dyDescent="0.3">
      <c r="A16" s="71">
        <f t="shared" si="0"/>
        <v>6</v>
      </c>
      <c r="B16" s="77">
        <f t="shared" si="3"/>
        <v>55625</v>
      </c>
      <c r="C16" s="77">
        <f t="shared" si="1"/>
        <v>30625.000000000004</v>
      </c>
      <c r="D16" s="77">
        <f t="shared" si="2"/>
        <v>25000</v>
      </c>
      <c r="E16" s="77">
        <f t="shared" si="4"/>
        <v>850000</v>
      </c>
      <c r="G16" s="158">
        <v>6</v>
      </c>
      <c r="H16" s="77">
        <v>55625</v>
      </c>
      <c r="I16" s="176">
        <v>30625.000000000004</v>
      </c>
      <c r="J16" s="77">
        <v>25000</v>
      </c>
      <c r="K16" s="177">
        <v>850000</v>
      </c>
    </row>
    <row r="17" spans="1:11" x14ac:dyDescent="0.3">
      <c r="A17" s="71">
        <f t="shared" si="0"/>
        <v>7</v>
      </c>
      <c r="B17" s="77">
        <f t="shared" si="3"/>
        <v>54750</v>
      </c>
      <c r="C17" s="77">
        <f t="shared" si="1"/>
        <v>29750.000000000004</v>
      </c>
      <c r="D17" s="77">
        <f t="shared" si="2"/>
        <v>25000</v>
      </c>
      <c r="E17" s="77">
        <f t="shared" si="4"/>
        <v>825000</v>
      </c>
      <c r="G17" s="158">
        <v>7</v>
      </c>
      <c r="H17" s="77">
        <v>54750</v>
      </c>
      <c r="I17" s="176">
        <v>29750.000000000004</v>
      </c>
      <c r="J17" s="77">
        <v>25000</v>
      </c>
      <c r="K17" s="177">
        <v>825000</v>
      </c>
    </row>
    <row r="18" spans="1:11" x14ac:dyDescent="0.3">
      <c r="A18" s="71">
        <f t="shared" si="0"/>
        <v>8</v>
      </c>
      <c r="B18" s="77">
        <f t="shared" si="3"/>
        <v>53875</v>
      </c>
      <c r="C18" s="77">
        <f t="shared" si="1"/>
        <v>28875.000000000004</v>
      </c>
      <c r="D18" s="77">
        <f t="shared" si="2"/>
        <v>25000</v>
      </c>
      <c r="E18" s="77">
        <f t="shared" si="4"/>
        <v>800000</v>
      </c>
      <c r="G18" s="158">
        <v>8</v>
      </c>
      <c r="H18" s="77">
        <v>53875</v>
      </c>
      <c r="I18" s="176">
        <v>28875.000000000004</v>
      </c>
      <c r="J18" s="77">
        <v>25000</v>
      </c>
      <c r="K18" s="177">
        <v>800000</v>
      </c>
    </row>
    <row r="19" spans="1:11" x14ac:dyDescent="0.3">
      <c r="A19" s="71">
        <f t="shared" si="0"/>
        <v>9</v>
      </c>
      <c r="B19" s="77">
        <f t="shared" si="3"/>
        <v>53000</v>
      </c>
      <c r="C19" s="77">
        <f t="shared" si="1"/>
        <v>28000.000000000004</v>
      </c>
      <c r="D19" s="77">
        <f t="shared" si="2"/>
        <v>25000</v>
      </c>
      <c r="E19" s="77">
        <f t="shared" si="4"/>
        <v>775000</v>
      </c>
      <c r="G19" s="158">
        <v>9</v>
      </c>
      <c r="H19" s="77">
        <v>53000</v>
      </c>
      <c r="I19" s="176">
        <v>28000.000000000004</v>
      </c>
      <c r="J19" s="77">
        <v>25000</v>
      </c>
      <c r="K19" s="177">
        <v>775000</v>
      </c>
    </row>
    <row r="20" spans="1:11" x14ac:dyDescent="0.3">
      <c r="A20" s="71">
        <f t="shared" si="0"/>
        <v>10</v>
      </c>
      <c r="B20" s="77">
        <f t="shared" si="3"/>
        <v>52125</v>
      </c>
      <c r="C20" s="77">
        <f t="shared" si="1"/>
        <v>27125.000000000004</v>
      </c>
      <c r="D20" s="77">
        <f t="shared" si="2"/>
        <v>25000</v>
      </c>
      <c r="E20" s="77">
        <f t="shared" si="4"/>
        <v>750000</v>
      </c>
      <c r="G20" s="158">
        <v>10</v>
      </c>
      <c r="H20" s="77">
        <v>52125</v>
      </c>
      <c r="I20" s="176">
        <v>27125.000000000004</v>
      </c>
      <c r="J20" s="77">
        <v>25000</v>
      </c>
      <c r="K20" s="177">
        <v>750000</v>
      </c>
    </row>
    <row r="21" spans="1:11" x14ac:dyDescent="0.3">
      <c r="A21" s="71">
        <f t="shared" si="0"/>
        <v>11</v>
      </c>
      <c r="B21" s="77">
        <f t="shared" si="3"/>
        <v>51250</v>
      </c>
      <c r="C21" s="77">
        <f t="shared" si="1"/>
        <v>26250.000000000004</v>
      </c>
      <c r="D21" s="77">
        <f t="shared" si="2"/>
        <v>25000</v>
      </c>
      <c r="E21" s="77">
        <f t="shared" si="4"/>
        <v>725000</v>
      </c>
      <c r="G21" s="158">
        <v>11</v>
      </c>
      <c r="H21" s="77">
        <v>51250</v>
      </c>
      <c r="I21" s="176">
        <v>26250.000000000004</v>
      </c>
      <c r="J21" s="77">
        <v>25000</v>
      </c>
      <c r="K21" s="177">
        <v>725000</v>
      </c>
    </row>
    <row r="22" spans="1:11" x14ac:dyDescent="0.3">
      <c r="A22" s="71">
        <f t="shared" si="0"/>
        <v>12</v>
      </c>
      <c r="B22" s="77">
        <f t="shared" si="3"/>
        <v>50375</v>
      </c>
      <c r="C22" s="77">
        <f t="shared" si="1"/>
        <v>25375.000000000004</v>
      </c>
      <c r="D22" s="77">
        <f t="shared" si="2"/>
        <v>25000</v>
      </c>
      <c r="E22" s="77">
        <f t="shared" si="4"/>
        <v>700000</v>
      </c>
      <c r="G22" s="158">
        <v>12</v>
      </c>
      <c r="H22" s="77">
        <v>50375</v>
      </c>
      <c r="I22" s="176">
        <v>25375.000000000004</v>
      </c>
      <c r="J22" s="77">
        <v>25000</v>
      </c>
      <c r="K22" s="177">
        <v>700000</v>
      </c>
    </row>
    <row r="23" spans="1:11" x14ac:dyDescent="0.3">
      <c r="A23" s="71">
        <f t="shared" si="0"/>
        <v>13</v>
      </c>
      <c r="B23" s="77">
        <f t="shared" si="3"/>
        <v>49500</v>
      </c>
      <c r="C23" s="77">
        <f t="shared" si="1"/>
        <v>24500.000000000004</v>
      </c>
      <c r="D23" s="77">
        <f t="shared" si="2"/>
        <v>25000</v>
      </c>
      <c r="E23" s="77">
        <f t="shared" si="4"/>
        <v>675000</v>
      </c>
      <c r="G23" s="158">
        <v>13</v>
      </c>
      <c r="H23" s="77">
        <v>49500</v>
      </c>
      <c r="I23" s="176">
        <v>24500.000000000004</v>
      </c>
      <c r="J23" s="77">
        <v>25000</v>
      </c>
      <c r="K23" s="177">
        <v>675000</v>
      </c>
    </row>
    <row r="24" spans="1:11" x14ac:dyDescent="0.3">
      <c r="A24" s="71">
        <f t="shared" si="0"/>
        <v>14</v>
      </c>
      <c r="B24" s="77">
        <f t="shared" si="3"/>
        <v>48625</v>
      </c>
      <c r="C24" s="77">
        <f t="shared" si="1"/>
        <v>23625.000000000004</v>
      </c>
      <c r="D24" s="77">
        <f t="shared" si="2"/>
        <v>25000</v>
      </c>
      <c r="E24" s="77">
        <f t="shared" si="4"/>
        <v>650000</v>
      </c>
      <c r="G24" s="158">
        <v>14</v>
      </c>
      <c r="H24" s="77">
        <v>48625</v>
      </c>
      <c r="I24" s="176">
        <v>23625.000000000004</v>
      </c>
      <c r="J24" s="77">
        <v>25000</v>
      </c>
      <c r="K24" s="177">
        <v>650000</v>
      </c>
    </row>
    <row r="25" spans="1:11" x14ac:dyDescent="0.3">
      <c r="A25" s="71">
        <f t="shared" si="0"/>
        <v>15</v>
      </c>
      <c r="B25" s="77">
        <f t="shared" si="3"/>
        <v>47750</v>
      </c>
      <c r="C25" s="77">
        <f t="shared" si="1"/>
        <v>22750.000000000004</v>
      </c>
      <c r="D25" s="77">
        <f t="shared" si="2"/>
        <v>25000</v>
      </c>
      <c r="E25" s="77">
        <f t="shared" si="4"/>
        <v>625000</v>
      </c>
      <c r="G25" s="158">
        <v>15</v>
      </c>
      <c r="H25" s="77">
        <v>47750</v>
      </c>
      <c r="I25" s="176">
        <v>22750.000000000004</v>
      </c>
      <c r="J25" s="77">
        <v>25000</v>
      </c>
      <c r="K25" s="177">
        <v>625000</v>
      </c>
    </row>
    <row r="26" spans="1:11" x14ac:dyDescent="0.3">
      <c r="A26" s="71">
        <f t="shared" si="0"/>
        <v>16</v>
      </c>
      <c r="B26" s="77">
        <f t="shared" si="3"/>
        <v>46875</v>
      </c>
      <c r="C26" s="77">
        <f t="shared" si="1"/>
        <v>21875.000000000004</v>
      </c>
      <c r="D26" s="77">
        <f t="shared" si="2"/>
        <v>25000</v>
      </c>
      <c r="E26" s="77">
        <f t="shared" si="4"/>
        <v>600000</v>
      </c>
      <c r="G26" s="158">
        <v>16</v>
      </c>
      <c r="H26" s="77">
        <v>46875</v>
      </c>
      <c r="I26" s="176">
        <v>21875.000000000004</v>
      </c>
      <c r="J26" s="77">
        <v>25000</v>
      </c>
      <c r="K26" s="177">
        <v>600000</v>
      </c>
    </row>
    <row r="27" spans="1:11" x14ac:dyDescent="0.3">
      <c r="A27" s="71">
        <f t="shared" si="0"/>
        <v>17</v>
      </c>
      <c r="B27" s="77">
        <f t="shared" si="3"/>
        <v>46000</v>
      </c>
      <c r="C27" s="77">
        <f t="shared" si="1"/>
        <v>21000.000000000004</v>
      </c>
      <c r="D27" s="77">
        <f t="shared" si="2"/>
        <v>25000</v>
      </c>
      <c r="E27" s="77">
        <f t="shared" si="4"/>
        <v>575000</v>
      </c>
      <c r="G27" s="158">
        <v>17</v>
      </c>
      <c r="H27" s="77">
        <v>46000</v>
      </c>
      <c r="I27" s="176">
        <v>21000.000000000004</v>
      </c>
      <c r="J27" s="77">
        <v>25000</v>
      </c>
      <c r="K27" s="177">
        <v>575000</v>
      </c>
    </row>
    <row r="28" spans="1:11" x14ac:dyDescent="0.3">
      <c r="A28" s="71">
        <f t="shared" si="0"/>
        <v>18</v>
      </c>
      <c r="B28" s="77">
        <f t="shared" si="3"/>
        <v>45125</v>
      </c>
      <c r="C28" s="77">
        <f t="shared" si="1"/>
        <v>20125.000000000004</v>
      </c>
      <c r="D28" s="77">
        <f t="shared" si="2"/>
        <v>25000</v>
      </c>
      <c r="E28" s="77">
        <f t="shared" si="4"/>
        <v>550000</v>
      </c>
      <c r="G28" s="158">
        <v>18</v>
      </c>
      <c r="H28" s="77">
        <v>45125</v>
      </c>
      <c r="I28" s="176">
        <v>20125.000000000004</v>
      </c>
      <c r="J28" s="77">
        <v>25000</v>
      </c>
      <c r="K28" s="177">
        <v>550000</v>
      </c>
    </row>
    <row r="29" spans="1:11" x14ac:dyDescent="0.3">
      <c r="A29" s="71">
        <f t="shared" si="0"/>
        <v>19</v>
      </c>
      <c r="B29" s="77">
        <f t="shared" si="3"/>
        <v>44250</v>
      </c>
      <c r="C29" s="77">
        <f t="shared" si="1"/>
        <v>19250.000000000004</v>
      </c>
      <c r="D29" s="77">
        <f t="shared" si="2"/>
        <v>25000</v>
      </c>
      <c r="E29" s="77">
        <f t="shared" si="4"/>
        <v>525000</v>
      </c>
      <c r="G29" s="158">
        <v>19</v>
      </c>
      <c r="H29" s="77">
        <v>44250</v>
      </c>
      <c r="I29" s="176">
        <v>19250.000000000004</v>
      </c>
      <c r="J29" s="77">
        <v>25000</v>
      </c>
      <c r="K29" s="177">
        <v>525000</v>
      </c>
    </row>
    <row r="30" spans="1:11" x14ac:dyDescent="0.3">
      <c r="A30" s="71">
        <f t="shared" si="0"/>
        <v>20</v>
      </c>
      <c r="B30" s="77">
        <f t="shared" si="3"/>
        <v>43375</v>
      </c>
      <c r="C30" s="77">
        <f t="shared" si="1"/>
        <v>18375</v>
      </c>
      <c r="D30" s="77">
        <f t="shared" si="2"/>
        <v>25000</v>
      </c>
      <c r="E30" s="77">
        <f t="shared" si="4"/>
        <v>500000</v>
      </c>
      <c r="G30" s="158">
        <v>20</v>
      </c>
      <c r="H30" s="77">
        <v>43375</v>
      </c>
      <c r="I30" s="176">
        <v>18375</v>
      </c>
      <c r="J30" s="77">
        <v>25000</v>
      </c>
      <c r="K30" s="177">
        <v>500000</v>
      </c>
    </row>
    <row r="31" spans="1:11" x14ac:dyDescent="0.3">
      <c r="A31" s="71">
        <f t="shared" si="0"/>
        <v>21</v>
      </c>
      <c r="B31" s="77">
        <f t="shared" si="3"/>
        <v>42500</v>
      </c>
      <c r="C31" s="77">
        <f t="shared" si="1"/>
        <v>17500</v>
      </c>
      <c r="D31" s="77">
        <f t="shared" si="2"/>
        <v>25000</v>
      </c>
      <c r="E31" s="77">
        <f t="shared" si="4"/>
        <v>475000</v>
      </c>
      <c r="G31" s="158">
        <v>21</v>
      </c>
      <c r="H31" s="77">
        <v>42500</v>
      </c>
      <c r="I31" s="176">
        <v>17500</v>
      </c>
      <c r="J31" s="77">
        <v>25000</v>
      </c>
      <c r="K31" s="177">
        <v>475000</v>
      </c>
    </row>
    <row r="32" spans="1:11" x14ac:dyDescent="0.3">
      <c r="A32" s="71">
        <f t="shared" si="0"/>
        <v>22</v>
      </c>
      <c r="B32" s="77">
        <f t="shared" si="3"/>
        <v>41625</v>
      </c>
      <c r="C32" s="77">
        <f t="shared" si="1"/>
        <v>16625</v>
      </c>
      <c r="D32" s="77">
        <f t="shared" si="2"/>
        <v>25000</v>
      </c>
      <c r="E32" s="77">
        <f t="shared" si="4"/>
        <v>450000</v>
      </c>
      <c r="G32" s="158">
        <v>22</v>
      </c>
      <c r="H32" s="77">
        <v>41625</v>
      </c>
      <c r="I32" s="176">
        <v>16625</v>
      </c>
      <c r="J32" s="77">
        <v>25000</v>
      </c>
      <c r="K32" s="177">
        <v>450000</v>
      </c>
    </row>
    <row r="33" spans="1:11" x14ac:dyDescent="0.3">
      <c r="A33" s="71">
        <f t="shared" si="0"/>
        <v>23</v>
      </c>
      <c r="B33" s="77">
        <f t="shared" si="3"/>
        <v>40750</v>
      </c>
      <c r="C33" s="77">
        <f t="shared" si="1"/>
        <v>15750.000000000002</v>
      </c>
      <c r="D33" s="77">
        <f t="shared" si="2"/>
        <v>25000</v>
      </c>
      <c r="E33" s="77">
        <f t="shared" si="4"/>
        <v>425000</v>
      </c>
      <c r="G33" s="158">
        <v>23</v>
      </c>
      <c r="H33" s="77">
        <v>40750</v>
      </c>
      <c r="I33" s="176">
        <v>15750.000000000002</v>
      </c>
      <c r="J33" s="77">
        <v>25000</v>
      </c>
      <c r="K33" s="177">
        <v>425000</v>
      </c>
    </row>
    <row r="34" spans="1:11" x14ac:dyDescent="0.3">
      <c r="A34" s="71">
        <f t="shared" si="0"/>
        <v>24</v>
      </c>
      <c r="B34" s="77">
        <f t="shared" si="3"/>
        <v>39875</v>
      </c>
      <c r="C34" s="77">
        <f t="shared" si="1"/>
        <v>14875.000000000002</v>
      </c>
      <c r="D34" s="77">
        <f t="shared" si="2"/>
        <v>25000</v>
      </c>
      <c r="E34" s="77">
        <f t="shared" si="4"/>
        <v>400000</v>
      </c>
      <c r="G34" s="158">
        <v>24</v>
      </c>
      <c r="H34" s="77">
        <v>39875</v>
      </c>
      <c r="I34" s="176">
        <v>14875.000000000002</v>
      </c>
      <c r="J34" s="77">
        <v>25000</v>
      </c>
      <c r="K34" s="177">
        <v>400000</v>
      </c>
    </row>
    <row r="35" spans="1:11" x14ac:dyDescent="0.3">
      <c r="A35" s="71">
        <f t="shared" si="0"/>
        <v>25</v>
      </c>
      <c r="B35" s="77">
        <f t="shared" si="3"/>
        <v>39000</v>
      </c>
      <c r="C35" s="77">
        <f t="shared" si="1"/>
        <v>14000.000000000002</v>
      </c>
      <c r="D35" s="77">
        <f t="shared" si="2"/>
        <v>25000</v>
      </c>
      <c r="E35" s="77">
        <f t="shared" si="4"/>
        <v>375000</v>
      </c>
      <c r="G35" s="158">
        <v>25</v>
      </c>
      <c r="H35" s="77">
        <v>39000</v>
      </c>
      <c r="I35" s="176">
        <v>14000.000000000002</v>
      </c>
      <c r="J35" s="77">
        <v>25000</v>
      </c>
      <c r="K35" s="177">
        <v>375000</v>
      </c>
    </row>
    <row r="36" spans="1:11" x14ac:dyDescent="0.3">
      <c r="A36" s="71">
        <f t="shared" si="0"/>
        <v>26</v>
      </c>
      <c r="B36" s="77">
        <f t="shared" si="3"/>
        <v>38125</v>
      </c>
      <c r="C36" s="77">
        <f t="shared" si="1"/>
        <v>13125.000000000002</v>
      </c>
      <c r="D36" s="77">
        <f t="shared" si="2"/>
        <v>25000</v>
      </c>
      <c r="E36" s="77">
        <f t="shared" si="4"/>
        <v>350000</v>
      </c>
      <c r="G36" s="158">
        <v>26</v>
      </c>
      <c r="H36" s="77">
        <v>38125</v>
      </c>
      <c r="I36" s="176">
        <v>13125.000000000002</v>
      </c>
      <c r="J36" s="77">
        <v>25000</v>
      </c>
      <c r="K36" s="177">
        <v>350000</v>
      </c>
    </row>
    <row r="37" spans="1:11" x14ac:dyDescent="0.3">
      <c r="A37" s="71">
        <f t="shared" si="0"/>
        <v>27</v>
      </c>
      <c r="B37" s="77">
        <f t="shared" si="3"/>
        <v>37250</v>
      </c>
      <c r="C37" s="77">
        <f t="shared" si="1"/>
        <v>12250.000000000002</v>
      </c>
      <c r="D37" s="77">
        <f t="shared" si="2"/>
        <v>25000</v>
      </c>
      <c r="E37" s="77">
        <f t="shared" si="4"/>
        <v>325000</v>
      </c>
      <c r="G37" s="158">
        <v>27</v>
      </c>
      <c r="H37" s="77">
        <v>37250</v>
      </c>
      <c r="I37" s="176">
        <v>12250.000000000002</v>
      </c>
      <c r="J37" s="77">
        <v>25000</v>
      </c>
      <c r="K37" s="177">
        <v>325000</v>
      </c>
    </row>
    <row r="38" spans="1:11" x14ac:dyDescent="0.3">
      <c r="A38" s="71">
        <f t="shared" si="0"/>
        <v>28</v>
      </c>
      <c r="B38" s="77">
        <f t="shared" si="3"/>
        <v>36375</v>
      </c>
      <c r="C38" s="77">
        <f t="shared" si="1"/>
        <v>11375.000000000002</v>
      </c>
      <c r="D38" s="77">
        <f t="shared" si="2"/>
        <v>25000</v>
      </c>
      <c r="E38" s="77">
        <f t="shared" si="4"/>
        <v>300000</v>
      </c>
      <c r="G38" s="158">
        <v>28</v>
      </c>
      <c r="H38" s="77">
        <v>36375</v>
      </c>
      <c r="I38" s="176">
        <v>11375.000000000002</v>
      </c>
      <c r="J38" s="77">
        <v>25000</v>
      </c>
      <c r="K38" s="177">
        <v>300000</v>
      </c>
    </row>
    <row r="39" spans="1:11" x14ac:dyDescent="0.3">
      <c r="A39" s="71">
        <f t="shared" si="0"/>
        <v>29</v>
      </c>
      <c r="B39" s="77">
        <f t="shared" si="3"/>
        <v>35500</v>
      </c>
      <c r="C39" s="77">
        <f t="shared" si="1"/>
        <v>10500.000000000002</v>
      </c>
      <c r="D39" s="77">
        <f t="shared" si="2"/>
        <v>25000</v>
      </c>
      <c r="E39" s="77">
        <f t="shared" si="4"/>
        <v>275000</v>
      </c>
      <c r="G39" s="158">
        <v>29</v>
      </c>
      <c r="H39" s="77">
        <v>35500</v>
      </c>
      <c r="I39" s="176">
        <v>10500.000000000002</v>
      </c>
      <c r="J39" s="77">
        <v>25000</v>
      </c>
      <c r="K39" s="177">
        <v>275000</v>
      </c>
    </row>
    <row r="40" spans="1:11" x14ac:dyDescent="0.3">
      <c r="A40" s="71">
        <f t="shared" si="0"/>
        <v>30</v>
      </c>
      <c r="B40" s="77">
        <f t="shared" si="3"/>
        <v>34625</v>
      </c>
      <c r="C40" s="77">
        <f t="shared" si="1"/>
        <v>9625.0000000000018</v>
      </c>
      <c r="D40" s="77">
        <f t="shared" si="2"/>
        <v>25000</v>
      </c>
      <c r="E40" s="77">
        <f t="shared" si="4"/>
        <v>250000</v>
      </c>
      <c r="G40" s="158">
        <v>30</v>
      </c>
      <c r="H40" s="77">
        <v>34625</v>
      </c>
      <c r="I40" s="176">
        <v>9625.0000000000018</v>
      </c>
      <c r="J40" s="77">
        <v>25000</v>
      </c>
      <c r="K40" s="177">
        <v>250000</v>
      </c>
    </row>
    <row r="41" spans="1:11" x14ac:dyDescent="0.3">
      <c r="A41" s="71">
        <f t="shared" si="0"/>
        <v>31</v>
      </c>
      <c r="B41" s="77">
        <f t="shared" si="3"/>
        <v>33750</v>
      </c>
      <c r="C41" s="77">
        <f t="shared" si="1"/>
        <v>8750</v>
      </c>
      <c r="D41" s="77">
        <f t="shared" si="2"/>
        <v>25000</v>
      </c>
      <c r="E41" s="77">
        <f t="shared" si="4"/>
        <v>225000</v>
      </c>
      <c r="G41" s="158">
        <v>31</v>
      </c>
      <c r="H41" s="77">
        <v>33750</v>
      </c>
      <c r="I41" s="176">
        <v>8750</v>
      </c>
      <c r="J41" s="77">
        <v>25000</v>
      </c>
      <c r="K41" s="177">
        <v>225000</v>
      </c>
    </row>
    <row r="42" spans="1:11" x14ac:dyDescent="0.3">
      <c r="A42" s="71">
        <f t="shared" si="0"/>
        <v>32</v>
      </c>
      <c r="B42" s="77">
        <f t="shared" si="3"/>
        <v>32875</v>
      </c>
      <c r="C42" s="77">
        <f t="shared" si="1"/>
        <v>7875.0000000000009</v>
      </c>
      <c r="D42" s="77">
        <f t="shared" si="2"/>
        <v>25000</v>
      </c>
      <c r="E42" s="77">
        <f t="shared" si="4"/>
        <v>200000</v>
      </c>
      <c r="G42" s="158">
        <v>32</v>
      </c>
      <c r="H42" s="77">
        <v>32875</v>
      </c>
      <c r="I42" s="176">
        <v>7875.0000000000009</v>
      </c>
      <c r="J42" s="77">
        <v>25000</v>
      </c>
      <c r="K42" s="177">
        <v>200000</v>
      </c>
    </row>
    <row r="43" spans="1:11" x14ac:dyDescent="0.3">
      <c r="A43" s="71">
        <f t="shared" si="0"/>
        <v>33</v>
      </c>
      <c r="B43" s="77">
        <f t="shared" si="3"/>
        <v>32000</v>
      </c>
      <c r="C43" s="77">
        <f t="shared" si="1"/>
        <v>7000.0000000000009</v>
      </c>
      <c r="D43" s="77">
        <f t="shared" si="2"/>
        <v>25000</v>
      </c>
      <c r="E43" s="77">
        <f t="shared" si="4"/>
        <v>175000</v>
      </c>
      <c r="G43" s="158">
        <v>33</v>
      </c>
      <c r="H43" s="77">
        <v>32000</v>
      </c>
      <c r="I43" s="176">
        <v>7000.0000000000009</v>
      </c>
      <c r="J43" s="77">
        <v>25000</v>
      </c>
      <c r="K43" s="177">
        <v>175000</v>
      </c>
    </row>
    <row r="44" spans="1:11" x14ac:dyDescent="0.3">
      <c r="A44" s="71">
        <f t="shared" si="0"/>
        <v>34</v>
      </c>
      <c r="B44" s="77">
        <f t="shared" si="3"/>
        <v>31125</v>
      </c>
      <c r="C44" s="77">
        <f t="shared" si="1"/>
        <v>6125.0000000000009</v>
      </c>
      <c r="D44" s="77">
        <f t="shared" si="2"/>
        <v>25000</v>
      </c>
      <c r="E44" s="77">
        <f t="shared" si="4"/>
        <v>150000</v>
      </c>
      <c r="G44" s="158">
        <v>34</v>
      </c>
      <c r="H44" s="77">
        <v>31125</v>
      </c>
      <c r="I44" s="176">
        <v>6125.0000000000009</v>
      </c>
      <c r="J44" s="77">
        <v>25000</v>
      </c>
      <c r="K44" s="177">
        <v>150000</v>
      </c>
    </row>
    <row r="45" spans="1:11" x14ac:dyDescent="0.3">
      <c r="A45" s="71">
        <f t="shared" si="0"/>
        <v>35</v>
      </c>
      <c r="B45" s="77">
        <f t="shared" si="3"/>
        <v>30250</v>
      </c>
      <c r="C45" s="77">
        <f t="shared" si="1"/>
        <v>5250.0000000000009</v>
      </c>
      <c r="D45" s="77">
        <f t="shared" si="2"/>
        <v>25000</v>
      </c>
      <c r="E45" s="77">
        <f t="shared" si="4"/>
        <v>125000</v>
      </c>
      <c r="G45" s="158">
        <v>35</v>
      </c>
      <c r="H45" s="77">
        <v>30250</v>
      </c>
      <c r="I45" s="176">
        <v>5250.0000000000009</v>
      </c>
      <c r="J45" s="77">
        <v>25000</v>
      </c>
      <c r="K45" s="177">
        <v>125000</v>
      </c>
    </row>
    <row r="46" spans="1:11" x14ac:dyDescent="0.3">
      <c r="A46" s="71">
        <f t="shared" si="0"/>
        <v>36</v>
      </c>
      <c r="B46" s="77">
        <f t="shared" si="3"/>
        <v>29375</v>
      </c>
      <c r="C46" s="77">
        <f t="shared" si="1"/>
        <v>4375</v>
      </c>
      <c r="D46" s="77">
        <f t="shared" si="2"/>
        <v>25000</v>
      </c>
      <c r="E46" s="77">
        <f t="shared" si="4"/>
        <v>100000</v>
      </c>
      <c r="G46" s="158">
        <v>36</v>
      </c>
      <c r="H46" s="77">
        <v>29375</v>
      </c>
      <c r="I46" s="176">
        <v>4375</v>
      </c>
      <c r="J46" s="77">
        <v>25000</v>
      </c>
      <c r="K46" s="177">
        <v>100000</v>
      </c>
    </row>
    <row r="47" spans="1:11" x14ac:dyDescent="0.3">
      <c r="A47" s="71">
        <f t="shared" si="0"/>
        <v>37</v>
      </c>
      <c r="B47" s="77">
        <f t="shared" si="3"/>
        <v>28500</v>
      </c>
      <c r="C47" s="77">
        <f t="shared" si="1"/>
        <v>3500.0000000000005</v>
      </c>
      <c r="D47" s="77">
        <f t="shared" si="2"/>
        <v>25000</v>
      </c>
      <c r="E47" s="77">
        <f t="shared" si="4"/>
        <v>75000</v>
      </c>
      <c r="G47" s="158">
        <v>37</v>
      </c>
      <c r="H47" s="77">
        <v>28500</v>
      </c>
      <c r="I47" s="176">
        <v>3500.0000000000005</v>
      </c>
      <c r="J47" s="77">
        <v>25000</v>
      </c>
      <c r="K47" s="177">
        <v>75000</v>
      </c>
    </row>
    <row r="48" spans="1:11" x14ac:dyDescent="0.3">
      <c r="A48" s="71">
        <f t="shared" si="0"/>
        <v>38</v>
      </c>
      <c r="B48" s="77">
        <f t="shared" si="3"/>
        <v>27625</v>
      </c>
      <c r="C48" s="77">
        <f t="shared" si="1"/>
        <v>2625.0000000000005</v>
      </c>
      <c r="D48" s="77">
        <f t="shared" si="2"/>
        <v>25000</v>
      </c>
      <c r="E48" s="77">
        <f t="shared" si="4"/>
        <v>50000</v>
      </c>
      <c r="G48" s="158">
        <v>38</v>
      </c>
      <c r="H48" s="77">
        <v>27625</v>
      </c>
      <c r="I48" s="176">
        <v>2625.0000000000005</v>
      </c>
      <c r="J48" s="77">
        <v>25000</v>
      </c>
      <c r="K48" s="177">
        <v>50000</v>
      </c>
    </row>
    <row r="49" spans="1:11" x14ac:dyDescent="0.3">
      <c r="A49" s="71">
        <f t="shared" si="0"/>
        <v>39</v>
      </c>
      <c r="B49" s="77">
        <f t="shared" si="3"/>
        <v>26750</v>
      </c>
      <c r="C49" s="77">
        <f t="shared" si="1"/>
        <v>1750.0000000000002</v>
      </c>
      <c r="D49" s="77">
        <f t="shared" si="2"/>
        <v>25000</v>
      </c>
      <c r="E49" s="77">
        <f t="shared" si="4"/>
        <v>25000</v>
      </c>
      <c r="G49" s="158">
        <v>39</v>
      </c>
      <c r="H49" s="77">
        <v>26750</v>
      </c>
      <c r="I49" s="176">
        <v>1750.0000000000002</v>
      </c>
      <c r="J49" s="77">
        <v>25000</v>
      </c>
      <c r="K49" s="177">
        <v>25000</v>
      </c>
    </row>
    <row r="50" spans="1:11" ht="15" thickBot="1" x14ac:dyDescent="0.35">
      <c r="A50" s="71">
        <f t="shared" si="0"/>
        <v>40</v>
      </c>
      <c r="B50" s="77">
        <f t="shared" si="3"/>
        <v>25875</v>
      </c>
      <c r="C50" s="77">
        <f t="shared" si="1"/>
        <v>875.00000000000011</v>
      </c>
      <c r="D50" s="77">
        <f t="shared" si="2"/>
        <v>25000</v>
      </c>
      <c r="E50" s="77">
        <f t="shared" si="4"/>
        <v>0</v>
      </c>
      <c r="G50" s="161">
        <v>40</v>
      </c>
      <c r="H50" s="174">
        <v>25875</v>
      </c>
      <c r="I50" s="178">
        <v>875.00000000000011</v>
      </c>
      <c r="J50" s="174">
        <v>25000</v>
      </c>
      <c r="K50" s="179">
        <v>0</v>
      </c>
    </row>
    <row r="51" spans="1:11" ht="15" thickTop="1" x14ac:dyDescent="0.3"/>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00FF"/>
  </sheetPr>
  <dimension ref="A1:E53"/>
  <sheetViews>
    <sheetView zoomScale="145" zoomScaleNormal="145" workbookViewId="0"/>
  </sheetViews>
  <sheetFormatPr defaultColWidth="22.88671875" defaultRowHeight="13.2" x14ac:dyDescent="0.25"/>
  <cols>
    <col min="1" max="1" width="24.77734375" style="69" customWidth="1"/>
    <col min="2" max="2" width="14.21875" style="69" bestFit="1" customWidth="1"/>
    <col min="3" max="3" width="15.77734375" style="69" customWidth="1"/>
    <col min="4" max="4" width="28.33203125" style="69" customWidth="1"/>
    <col min="5" max="5" width="12.6640625" style="69" bestFit="1" customWidth="1"/>
    <col min="6" max="256" width="22.88671875" style="69"/>
    <col min="257" max="257" width="22.6640625" style="69" bestFit="1" customWidth="1"/>
    <col min="258" max="258" width="13.44140625" style="69" bestFit="1" customWidth="1"/>
    <col min="259" max="259" width="7.33203125" style="69" bestFit="1" customWidth="1"/>
    <col min="260" max="260" width="28.33203125" style="69" customWidth="1"/>
    <col min="261" max="261" width="12.6640625" style="69" bestFit="1" customWidth="1"/>
    <col min="262" max="512" width="22.88671875" style="69"/>
    <col min="513" max="513" width="22.6640625" style="69" bestFit="1" customWidth="1"/>
    <col min="514" max="514" width="13.44140625" style="69" bestFit="1" customWidth="1"/>
    <col min="515" max="515" width="7.33203125" style="69" bestFit="1" customWidth="1"/>
    <col min="516" max="516" width="28.33203125" style="69" customWidth="1"/>
    <col min="517" max="517" width="12.6640625" style="69" bestFit="1" customWidth="1"/>
    <col min="518" max="768" width="22.88671875" style="69"/>
    <col min="769" max="769" width="22.6640625" style="69" bestFit="1" customWidth="1"/>
    <col min="770" max="770" width="13.44140625" style="69" bestFit="1" customWidth="1"/>
    <col min="771" max="771" width="7.33203125" style="69" bestFit="1" customWidth="1"/>
    <col min="772" max="772" width="28.33203125" style="69" customWidth="1"/>
    <col min="773" max="773" width="12.6640625" style="69" bestFit="1" customWidth="1"/>
    <col min="774" max="1024" width="22.88671875" style="69"/>
    <col min="1025" max="1025" width="22.6640625" style="69" bestFit="1" customWidth="1"/>
    <col min="1026" max="1026" width="13.44140625" style="69" bestFit="1" customWidth="1"/>
    <col min="1027" max="1027" width="7.33203125" style="69" bestFit="1" customWidth="1"/>
    <col min="1028" max="1028" width="28.33203125" style="69" customWidth="1"/>
    <col min="1029" max="1029" width="12.6640625" style="69" bestFit="1" customWidth="1"/>
    <col min="1030" max="1280" width="22.88671875" style="69"/>
    <col min="1281" max="1281" width="22.6640625" style="69" bestFit="1" customWidth="1"/>
    <col min="1282" max="1282" width="13.44140625" style="69" bestFit="1" customWidth="1"/>
    <col min="1283" max="1283" width="7.33203125" style="69" bestFit="1" customWidth="1"/>
    <col min="1284" max="1284" width="28.33203125" style="69" customWidth="1"/>
    <col min="1285" max="1285" width="12.6640625" style="69" bestFit="1" customWidth="1"/>
    <col min="1286" max="1536" width="22.88671875" style="69"/>
    <col min="1537" max="1537" width="22.6640625" style="69" bestFit="1" customWidth="1"/>
    <col min="1538" max="1538" width="13.44140625" style="69" bestFit="1" customWidth="1"/>
    <col min="1539" max="1539" width="7.33203125" style="69" bestFit="1" customWidth="1"/>
    <col min="1540" max="1540" width="28.33203125" style="69" customWidth="1"/>
    <col min="1541" max="1541" width="12.6640625" style="69" bestFit="1" customWidth="1"/>
    <col min="1542" max="1792" width="22.88671875" style="69"/>
    <col min="1793" max="1793" width="22.6640625" style="69" bestFit="1" customWidth="1"/>
    <col min="1794" max="1794" width="13.44140625" style="69" bestFit="1" customWidth="1"/>
    <col min="1795" max="1795" width="7.33203125" style="69" bestFit="1" customWidth="1"/>
    <col min="1796" max="1796" width="28.33203125" style="69" customWidth="1"/>
    <col min="1797" max="1797" width="12.6640625" style="69" bestFit="1" customWidth="1"/>
    <col min="1798" max="2048" width="22.88671875" style="69"/>
    <col min="2049" max="2049" width="22.6640625" style="69" bestFit="1" customWidth="1"/>
    <col min="2050" max="2050" width="13.44140625" style="69" bestFit="1" customWidth="1"/>
    <col min="2051" max="2051" width="7.33203125" style="69" bestFit="1" customWidth="1"/>
    <col min="2052" max="2052" width="28.33203125" style="69" customWidth="1"/>
    <col min="2053" max="2053" width="12.6640625" style="69" bestFit="1" customWidth="1"/>
    <col min="2054" max="2304" width="22.88671875" style="69"/>
    <col min="2305" max="2305" width="22.6640625" style="69" bestFit="1" customWidth="1"/>
    <col min="2306" max="2306" width="13.44140625" style="69" bestFit="1" customWidth="1"/>
    <col min="2307" max="2307" width="7.33203125" style="69" bestFit="1" customWidth="1"/>
    <col min="2308" max="2308" width="28.33203125" style="69" customWidth="1"/>
    <col min="2309" max="2309" width="12.6640625" style="69" bestFit="1" customWidth="1"/>
    <col min="2310" max="2560" width="22.88671875" style="69"/>
    <col min="2561" max="2561" width="22.6640625" style="69" bestFit="1" customWidth="1"/>
    <col min="2562" max="2562" width="13.44140625" style="69" bestFit="1" customWidth="1"/>
    <col min="2563" max="2563" width="7.33203125" style="69" bestFit="1" customWidth="1"/>
    <col min="2564" max="2564" width="28.33203125" style="69" customWidth="1"/>
    <col min="2565" max="2565" width="12.6640625" style="69" bestFit="1" customWidth="1"/>
    <col min="2566" max="2816" width="22.88671875" style="69"/>
    <col min="2817" max="2817" width="22.6640625" style="69" bestFit="1" customWidth="1"/>
    <col min="2818" max="2818" width="13.44140625" style="69" bestFit="1" customWidth="1"/>
    <col min="2819" max="2819" width="7.33203125" style="69" bestFit="1" customWidth="1"/>
    <col min="2820" max="2820" width="28.33203125" style="69" customWidth="1"/>
    <col min="2821" max="2821" width="12.6640625" style="69" bestFit="1" customWidth="1"/>
    <col min="2822" max="3072" width="22.88671875" style="69"/>
    <col min="3073" max="3073" width="22.6640625" style="69" bestFit="1" customWidth="1"/>
    <col min="3074" max="3074" width="13.44140625" style="69" bestFit="1" customWidth="1"/>
    <col min="3075" max="3075" width="7.33203125" style="69" bestFit="1" customWidth="1"/>
    <col min="3076" max="3076" width="28.33203125" style="69" customWidth="1"/>
    <col min="3077" max="3077" width="12.6640625" style="69" bestFit="1" customWidth="1"/>
    <col min="3078" max="3328" width="22.88671875" style="69"/>
    <col min="3329" max="3329" width="22.6640625" style="69" bestFit="1" customWidth="1"/>
    <col min="3330" max="3330" width="13.44140625" style="69" bestFit="1" customWidth="1"/>
    <col min="3331" max="3331" width="7.33203125" style="69" bestFit="1" customWidth="1"/>
    <col min="3332" max="3332" width="28.33203125" style="69" customWidth="1"/>
    <col min="3333" max="3333" width="12.6640625" style="69" bestFit="1" customWidth="1"/>
    <col min="3334" max="3584" width="22.88671875" style="69"/>
    <col min="3585" max="3585" width="22.6640625" style="69" bestFit="1" customWidth="1"/>
    <col min="3586" max="3586" width="13.44140625" style="69" bestFit="1" customWidth="1"/>
    <col min="3587" max="3587" width="7.33203125" style="69" bestFit="1" customWidth="1"/>
    <col min="3588" max="3588" width="28.33203125" style="69" customWidth="1"/>
    <col min="3589" max="3589" width="12.6640625" style="69" bestFit="1" customWidth="1"/>
    <col min="3590" max="3840" width="22.88671875" style="69"/>
    <col min="3841" max="3841" width="22.6640625" style="69" bestFit="1" customWidth="1"/>
    <col min="3842" max="3842" width="13.44140625" style="69" bestFit="1" customWidth="1"/>
    <col min="3843" max="3843" width="7.33203125" style="69" bestFit="1" customWidth="1"/>
    <col min="3844" max="3844" width="28.33203125" style="69" customWidth="1"/>
    <col min="3845" max="3845" width="12.6640625" style="69" bestFit="1" customWidth="1"/>
    <col min="3846" max="4096" width="22.88671875" style="69"/>
    <col min="4097" max="4097" width="22.6640625" style="69" bestFit="1" customWidth="1"/>
    <col min="4098" max="4098" width="13.44140625" style="69" bestFit="1" customWidth="1"/>
    <col min="4099" max="4099" width="7.33203125" style="69" bestFit="1" customWidth="1"/>
    <col min="4100" max="4100" width="28.33203125" style="69" customWidth="1"/>
    <col min="4101" max="4101" width="12.6640625" style="69" bestFit="1" customWidth="1"/>
    <col min="4102" max="4352" width="22.88671875" style="69"/>
    <col min="4353" max="4353" width="22.6640625" style="69" bestFit="1" customWidth="1"/>
    <col min="4354" max="4354" width="13.44140625" style="69" bestFit="1" customWidth="1"/>
    <col min="4355" max="4355" width="7.33203125" style="69" bestFit="1" customWidth="1"/>
    <col min="4356" max="4356" width="28.33203125" style="69" customWidth="1"/>
    <col min="4357" max="4357" width="12.6640625" style="69" bestFit="1" customWidth="1"/>
    <col min="4358" max="4608" width="22.88671875" style="69"/>
    <col min="4609" max="4609" width="22.6640625" style="69" bestFit="1" customWidth="1"/>
    <col min="4610" max="4610" width="13.44140625" style="69" bestFit="1" customWidth="1"/>
    <col min="4611" max="4611" width="7.33203125" style="69" bestFit="1" customWidth="1"/>
    <col min="4612" max="4612" width="28.33203125" style="69" customWidth="1"/>
    <col min="4613" max="4613" width="12.6640625" style="69" bestFit="1" customWidth="1"/>
    <col min="4614" max="4864" width="22.88671875" style="69"/>
    <col min="4865" max="4865" width="22.6640625" style="69" bestFit="1" customWidth="1"/>
    <col min="4866" max="4866" width="13.44140625" style="69" bestFit="1" customWidth="1"/>
    <col min="4867" max="4867" width="7.33203125" style="69" bestFit="1" customWidth="1"/>
    <col min="4868" max="4868" width="28.33203125" style="69" customWidth="1"/>
    <col min="4869" max="4869" width="12.6640625" style="69" bestFit="1" customWidth="1"/>
    <col min="4870" max="5120" width="22.88671875" style="69"/>
    <col min="5121" max="5121" width="22.6640625" style="69" bestFit="1" customWidth="1"/>
    <col min="5122" max="5122" width="13.44140625" style="69" bestFit="1" customWidth="1"/>
    <col min="5123" max="5123" width="7.33203125" style="69" bestFit="1" customWidth="1"/>
    <col min="5124" max="5124" width="28.33203125" style="69" customWidth="1"/>
    <col min="5125" max="5125" width="12.6640625" style="69" bestFit="1" customWidth="1"/>
    <col min="5126" max="5376" width="22.88671875" style="69"/>
    <col min="5377" max="5377" width="22.6640625" style="69" bestFit="1" customWidth="1"/>
    <col min="5378" max="5378" width="13.44140625" style="69" bestFit="1" customWidth="1"/>
    <col min="5379" max="5379" width="7.33203125" style="69" bestFit="1" customWidth="1"/>
    <col min="5380" max="5380" width="28.33203125" style="69" customWidth="1"/>
    <col min="5381" max="5381" width="12.6640625" style="69" bestFit="1" customWidth="1"/>
    <col min="5382" max="5632" width="22.88671875" style="69"/>
    <col min="5633" max="5633" width="22.6640625" style="69" bestFit="1" customWidth="1"/>
    <col min="5634" max="5634" width="13.44140625" style="69" bestFit="1" customWidth="1"/>
    <col min="5635" max="5635" width="7.33203125" style="69" bestFit="1" customWidth="1"/>
    <col min="5636" max="5636" width="28.33203125" style="69" customWidth="1"/>
    <col min="5637" max="5637" width="12.6640625" style="69" bestFit="1" customWidth="1"/>
    <col min="5638" max="5888" width="22.88671875" style="69"/>
    <col min="5889" max="5889" width="22.6640625" style="69" bestFit="1" customWidth="1"/>
    <col min="5890" max="5890" width="13.44140625" style="69" bestFit="1" customWidth="1"/>
    <col min="5891" max="5891" width="7.33203125" style="69" bestFit="1" customWidth="1"/>
    <col min="5892" max="5892" width="28.33203125" style="69" customWidth="1"/>
    <col min="5893" max="5893" width="12.6640625" style="69" bestFit="1" customWidth="1"/>
    <col min="5894" max="6144" width="22.88671875" style="69"/>
    <col min="6145" max="6145" width="22.6640625" style="69" bestFit="1" customWidth="1"/>
    <col min="6146" max="6146" width="13.44140625" style="69" bestFit="1" customWidth="1"/>
    <col min="6147" max="6147" width="7.33203125" style="69" bestFit="1" customWidth="1"/>
    <col min="6148" max="6148" width="28.33203125" style="69" customWidth="1"/>
    <col min="6149" max="6149" width="12.6640625" style="69" bestFit="1" customWidth="1"/>
    <col min="6150" max="6400" width="22.88671875" style="69"/>
    <col min="6401" max="6401" width="22.6640625" style="69" bestFit="1" customWidth="1"/>
    <col min="6402" max="6402" width="13.44140625" style="69" bestFit="1" customWidth="1"/>
    <col min="6403" max="6403" width="7.33203125" style="69" bestFit="1" customWidth="1"/>
    <col min="6404" max="6404" width="28.33203125" style="69" customWidth="1"/>
    <col min="6405" max="6405" width="12.6640625" style="69" bestFit="1" customWidth="1"/>
    <col min="6406" max="6656" width="22.88671875" style="69"/>
    <col min="6657" max="6657" width="22.6640625" style="69" bestFit="1" customWidth="1"/>
    <col min="6658" max="6658" width="13.44140625" style="69" bestFit="1" customWidth="1"/>
    <col min="6659" max="6659" width="7.33203125" style="69" bestFit="1" customWidth="1"/>
    <col min="6660" max="6660" width="28.33203125" style="69" customWidth="1"/>
    <col min="6661" max="6661" width="12.6640625" style="69" bestFit="1" customWidth="1"/>
    <col min="6662" max="6912" width="22.88671875" style="69"/>
    <col min="6913" max="6913" width="22.6640625" style="69" bestFit="1" customWidth="1"/>
    <col min="6914" max="6914" width="13.44140625" style="69" bestFit="1" customWidth="1"/>
    <col min="6915" max="6915" width="7.33203125" style="69" bestFit="1" customWidth="1"/>
    <col min="6916" max="6916" width="28.33203125" style="69" customWidth="1"/>
    <col min="6917" max="6917" width="12.6640625" style="69" bestFit="1" customWidth="1"/>
    <col min="6918" max="7168" width="22.88671875" style="69"/>
    <col min="7169" max="7169" width="22.6640625" style="69" bestFit="1" customWidth="1"/>
    <col min="7170" max="7170" width="13.44140625" style="69" bestFit="1" customWidth="1"/>
    <col min="7171" max="7171" width="7.33203125" style="69" bestFit="1" customWidth="1"/>
    <col min="7172" max="7172" width="28.33203125" style="69" customWidth="1"/>
    <col min="7173" max="7173" width="12.6640625" style="69" bestFit="1" customWidth="1"/>
    <col min="7174" max="7424" width="22.88671875" style="69"/>
    <col min="7425" max="7425" width="22.6640625" style="69" bestFit="1" customWidth="1"/>
    <col min="7426" max="7426" width="13.44140625" style="69" bestFit="1" customWidth="1"/>
    <col min="7427" max="7427" width="7.33203125" style="69" bestFit="1" customWidth="1"/>
    <col min="7428" max="7428" width="28.33203125" style="69" customWidth="1"/>
    <col min="7429" max="7429" width="12.6640625" style="69" bestFit="1" customWidth="1"/>
    <col min="7430" max="7680" width="22.88671875" style="69"/>
    <col min="7681" max="7681" width="22.6640625" style="69" bestFit="1" customWidth="1"/>
    <col min="7682" max="7682" width="13.44140625" style="69" bestFit="1" customWidth="1"/>
    <col min="7683" max="7683" width="7.33203125" style="69" bestFit="1" customWidth="1"/>
    <col min="7684" max="7684" width="28.33203125" style="69" customWidth="1"/>
    <col min="7685" max="7685" width="12.6640625" style="69" bestFit="1" customWidth="1"/>
    <col min="7686" max="7936" width="22.88671875" style="69"/>
    <col min="7937" max="7937" width="22.6640625" style="69" bestFit="1" customWidth="1"/>
    <col min="7938" max="7938" width="13.44140625" style="69" bestFit="1" customWidth="1"/>
    <col min="7939" max="7939" width="7.33203125" style="69" bestFit="1" customWidth="1"/>
    <col min="7940" max="7940" width="28.33203125" style="69" customWidth="1"/>
    <col min="7941" max="7941" width="12.6640625" style="69" bestFit="1" customWidth="1"/>
    <col min="7942" max="8192" width="22.88671875" style="69"/>
    <col min="8193" max="8193" width="22.6640625" style="69" bestFit="1" customWidth="1"/>
    <col min="8194" max="8194" width="13.44140625" style="69" bestFit="1" customWidth="1"/>
    <col min="8195" max="8195" width="7.33203125" style="69" bestFit="1" customWidth="1"/>
    <col min="8196" max="8196" width="28.33203125" style="69" customWidth="1"/>
    <col min="8197" max="8197" width="12.6640625" style="69" bestFit="1" customWidth="1"/>
    <col min="8198" max="8448" width="22.88671875" style="69"/>
    <col min="8449" max="8449" width="22.6640625" style="69" bestFit="1" customWidth="1"/>
    <col min="8450" max="8450" width="13.44140625" style="69" bestFit="1" customWidth="1"/>
    <col min="8451" max="8451" width="7.33203125" style="69" bestFit="1" customWidth="1"/>
    <col min="8452" max="8452" width="28.33203125" style="69" customWidth="1"/>
    <col min="8453" max="8453" width="12.6640625" style="69" bestFit="1" customWidth="1"/>
    <col min="8454" max="8704" width="22.88671875" style="69"/>
    <col min="8705" max="8705" width="22.6640625" style="69" bestFit="1" customWidth="1"/>
    <col min="8706" max="8706" width="13.44140625" style="69" bestFit="1" customWidth="1"/>
    <col min="8707" max="8707" width="7.33203125" style="69" bestFit="1" customWidth="1"/>
    <col min="8708" max="8708" width="28.33203125" style="69" customWidth="1"/>
    <col min="8709" max="8709" width="12.6640625" style="69" bestFit="1" customWidth="1"/>
    <col min="8710" max="8960" width="22.88671875" style="69"/>
    <col min="8961" max="8961" width="22.6640625" style="69" bestFit="1" customWidth="1"/>
    <col min="8962" max="8962" width="13.44140625" style="69" bestFit="1" customWidth="1"/>
    <col min="8963" max="8963" width="7.33203125" style="69" bestFit="1" customWidth="1"/>
    <col min="8964" max="8964" width="28.33203125" style="69" customWidth="1"/>
    <col min="8965" max="8965" width="12.6640625" style="69" bestFit="1" customWidth="1"/>
    <col min="8966" max="9216" width="22.88671875" style="69"/>
    <col min="9217" max="9217" width="22.6640625" style="69" bestFit="1" customWidth="1"/>
    <col min="9218" max="9218" width="13.44140625" style="69" bestFit="1" customWidth="1"/>
    <col min="9219" max="9219" width="7.33203125" style="69" bestFit="1" customWidth="1"/>
    <col min="9220" max="9220" width="28.33203125" style="69" customWidth="1"/>
    <col min="9221" max="9221" width="12.6640625" style="69" bestFit="1" customWidth="1"/>
    <col min="9222" max="9472" width="22.88671875" style="69"/>
    <col min="9473" max="9473" width="22.6640625" style="69" bestFit="1" customWidth="1"/>
    <col min="9474" max="9474" width="13.44140625" style="69" bestFit="1" customWidth="1"/>
    <col min="9475" max="9475" width="7.33203125" style="69" bestFit="1" customWidth="1"/>
    <col min="9476" max="9476" width="28.33203125" style="69" customWidth="1"/>
    <col min="9477" max="9477" width="12.6640625" style="69" bestFit="1" customWidth="1"/>
    <col min="9478" max="9728" width="22.88671875" style="69"/>
    <col min="9729" max="9729" width="22.6640625" style="69" bestFit="1" customWidth="1"/>
    <col min="9730" max="9730" width="13.44140625" style="69" bestFit="1" customWidth="1"/>
    <col min="9731" max="9731" width="7.33203125" style="69" bestFit="1" customWidth="1"/>
    <col min="9732" max="9732" width="28.33203125" style="69" customWidth="1"/>
    <col min="9733" max="9733" width="12.6640625" style="69" bestFit="1" customWidth="1"/>
    <col min="9734" max="9984" width="22.88671875" style="69"/>
    <col min="9985" max="9985" width="22.6640625" style="69" bestFit="1" customWidth="1"/>
    <col min="9986" max="9986" width="13.44140625" style="69" bestFit="1" customWidth="1"/>
    <col min="9987" max="9987" width="7.33203125" style="69" bestFit="1" customWidth="1"/>
    <col min="9988" max="9988" width="28.33203125" style="69" customWidth="1"/>
    <col min="9989" max="9989" width="12.6640625" style="69" bestFit="1" customWidth="1"/>
    <col min="9990" max="10240" width="22.88671875" style="69"/>
    <col min="10241" max="10241" width="22.6640625" style="69" bestFit="1" customWidth="1"/>
    <col min="10242" max="10242" width="13.44140625" style="69" bestFit="1" customWidth="1"/>
    <col min="10243" max="10243" width="7.33203125" style="69" bestFit="1" customWidth="1"/>
    <col min="10244" max="10244" width="28.33203125" style="69" customWidth="1"/>
    <col min="10245" max="10245" width="12.6640625" style="69" bestFit="1" customWidth="1"/>
    <col min="10246" max="10496" width="22.88671875" style="69"/>
    <col min="10497" max="10497" width="22.6640625" style="69" bestFit="1" customWidth="1"/>
    <col min="10498" max="10498" width="13.44140625" style="69" bestFit="1" customWidth="1"/>
    <col min="10499" max="10499" width="7.33203125" style="69" bestFit="1" customWidth="1"/>
    <col min="10500" max="10500" width="28.33203125" style="69" customWidth="1"/>
    <col min="10501" max="10501" width="12.6640625" style="69" bestFit="1" customWidth="1"/>
    <col min="10502" max="10752" width="22.88671875" style="69"/>
    <col min="10753" max="10753" width="22.6640625" style="69" bestFit="1" customWidth="1"/>
    <col min="10754" max="10754" width="13.44140625" style="69" bestFit="1" customWidth="1"/>
    <col min="10755" max="10755" width="7.33203125" style="69" bestFit="1" customWidth="1"/>
    <col min="10756" max="10756" width="28.33203125" style="69" customWidth="1"/>
    <col min="10757" max="10757" width="12.6640625" style="69" bestFit="1" customWidth="1"/>
    <col min="10758" max="11008" width="22.88671875" style="69"/>
    <col min="11009" max="11009" width="22.6640625" style="69" bestFit="1" customWidth="1"/>
    <col min="11010" max="11010" width="13.44140625" style="69" bestFit="1" customWidth="1"/>
    <col min="11011" max="11011" width="7.33203125" style="69" bestFit="1" customWidth="1"/>
    <col min="11012" max="11012" width="28.33203125" style="69" customWidth="1"/>
    <col min="11013" max="11013" width="12.6640625" style="69" bestFit="1" customWidth="1"/>
    <col min="11014" max="11264" width="22.88671875" style="69"/>
    <col min="11265" max="11265" width="22.6640625" style="69" bestFit="1" customWidth="1"/>
    <col min="11266" max="11266" width="13.44140625" style="69" bestFit="1" customWidth="1"/>
    <col min="11267" max="11267" width="7.33203125" style="69" bestFit="1" customWidth="1"/>
    <col min="11268" max="11268" width="28.33203125" style="69" customWidth="1"/>
    <col min="11269" max="11269" width="12.6640625" style="69" bestFit="1" customWidth="1"/>
    <col min="11270" max="11520" width="22.88671875" style="69"/>
    <col min="11521" max="11521" width="22.6640625" style="69" bestFit="1" customWidth="1"/>
    <col min="11522" max="11522" width="13.44140625" style="69" bestFit="1" customWidth="1"/>
    <col min="11523" max="11523" width="7.33203125" style="69" bestFit="1" customWidth="1"/>
    <col min="11524" max="11524" width="28.33203125" style="69" customWidth="1"/>
    <col min="11525" max="11525" width="12.6640625" style="69" bestFit="1" customWidth="1"/>
    <col min="11526" max="11776" width="22.88671875" style="69"/>
    <col min="11777" max="11777" width="22.6640625" style="69" bestFit="1" customWidth="1"/>
    <col min="11778" max="11778" width="13.44140625" style="69" bestFit="1" customWidth="1"/>
    <col min="11779" max="11779" width="7.33203125" style="69" bestFit="1" customWidth="1"/>
    <col min="11780" max="11780" width="28.33203125" style="69" customWidth="1"/>
    <col min="11781" max="11781" width="12.6640625" style="69" bestFit="1" customWidth="1"/>
    <col min="11782" max="12032" width="22.88671875" style="69"/>
    <col min="12033" max="12033" width="22.6640625" style="69" bestFit="1" customWidth="1"/>
    <col min="12034" max="12034" width="13.44140625" style="69" bestFit="1" customWidth="1"/>
    <col min="12035" max="12035" width="7.33203125" style="69" bestFit="1" customWidth="1"/>
    <col min="12036" max="12036" width="28.33203125" style="69" customWidth="1"/>
    <col min="12037" max="12037" width="12.6640625" style="69" bestFit="1" customWidth="1"/>
    <col min="12038" max="12288" width="22.88671875" style="69"/>
    <col min="12289" max="12289" width="22.6640625" style="69" bestFit="1" customWidth="1"/>
    <col min="12290" max="12290" width="13.44140625" style="69" bestFit="1" customWidth="1"/>
    <col min="12291" max="12291" width="7.33203125" style="69" bestFit="1" customWidth="1"/>
    <col min="12292" max="12292" width="28.33203125" style="69" customWidth="1"/>
    <col min="12293" max="12293" width="12.6640625" style="69" bestFit="1" customWidth="1"/>
    <col min="12294" max="12544" width="22.88671875" style="69"/>
    <col min="12545" max="12545" width="22.6640625" style="69" bestFit="1" customWidth="1"/>
    <col min="12546" max="12546" width="13.44140625" style="69" bestFit="1" customWidth="1"/>
    <col min="12547" max="12547" width="7.33203125" style="69" bestFit="1" customWidth="1"/>
    <col min="12548" max="12548" width="28.33203125" style="69" customWidth="1"/>
    <col min="12549" max="12549" width="12.6640625" style="69" bestFit="1" customWidth="1"/>
    <col min="12550" max="12800" width="22.88671875" style="69"/>
    <col min="12801" max="12801" width="22.6640625" style="69" bestFit="1" customWidth="1"/>
    <col min="12802" max="12802" width="13.44140625" style="69" bestFit="1" customWidth="1"/>
    <col min="12803" max="12803" width="7.33203125" style="69" bestFit="1" customWidth="1"/>
    <col min="12804" max="12804" width="28.33203125" style="69" customWidth="1"/>
    <col min="12805" max="12805" width="12.6640625" style="69" bestFit="1" customWidth="1"/>
    <col min="12806" max="13056" width="22.88671875" style="69"/>
    <col min="13057" max="13057" width="22.6640625" style="69" bestFit="1" customWidth="1"/>
    <col min="13058" max="13058" width="13.44140625" style="69" bestFit="1" customWidth="1"/>
    <col min="13059" max="13059" width="7.33203125" style="69" bestFit="1" customWidth="1"/>
    <col min="13060" max="13060" width="28.33203125" style="69" customWidth="1"/>
    <col min="13061" max="13061" width="12.6640625" style="69" bestFit="1" customWidth="1"/>
    <col min="13062" max="13312" width="22.88671875" style="69"/>
    <col min="13313" max="13313" width="22.6640625" style="69" bestFit="1" customWidth="1"/>
    <col min="13314" max="13314" width="13.44140625" style="69" bestFit="1" customWidth="1"/>
    <col min="13315" max="13315" width="7.33203125" style="69" bestFit="1" customWidth="1"/>
    <col min="13316" max="13316" width="28.33203125" style="69" customWidth="1"/>
    <col min="13317" max="13317" width="12.6640625" style="69" bestFit="1" customWidth="1"/>
    <col min="13318" max="13568" width="22.88671875" style="69"/>
    <col min="13569" max="13569" width="22.6640625" style="69" bestFit="1" customWidth="1"/>
    <col min="13570" max="13570" width="13.44140625" style="69" bestFit="1" customWidth="1"/>
    <col min="13571" max="13571" width="7.33203125" style="69" bestFit="1" customWidth="1"/>
    <col min="13572" max="13572" width="28.33203125" style="69" customWidth="1"/>
    <col min="13573" max="13573" width="12.6640625" style="69" bestFit="1" customWidth="1"/>
    <col min="13574" max="13824" width="22.88671875" style="69"/>
    <col min="13825" max="13825" width="22.6640625" style="69" bestFit="1" customWidth="1"/>
    <col min="13826" max="13826" width="13.44140625" style="69" bestFit="1" customWidth="1"/>
    <col min="13827" max="13827" width="7.33203125" style="69" bestFit="1" customWidth="1"/>
    <col min="13828" max="13828" width="28.33203125" style="69" customWidth="1"/>
    <col min="13829" max="13829" width="12.6640625" style="69" bestFit="1" customWidth="1"/>
    <col min="13830" max="14080" width="22.88671875" style="69"/>
    <col min="14081" max="14081" width="22.6640625" style="69" bestFit="1" customWidth="1"/>
    <col min="14082" max="14082" width="13.44140625" style="69" bestFit="1" customWidth="1"/>
    <col min="14083" max="14083" width="7.33203125" style="69" bestFit="1" customWidth="1"/>
    <col min="14084" max="14084" width="28.33203125" style="69" customWidth="1"/>
    <col min="14085" max="14085" width="12.6640625" style="69" bestFit="1" customWidth="1"/>
    <col min="14086" max="14336" width="22.88671875" style="69"/>
    <col min="14337" max="14337" width="22.6640625" style="69" bestFit="1" customWidth="1"/>
    <col min="14338" max="14338" width="13.44140625" style="69" bestFit="1" customWidth="1"/>
    <col min="14339" max="14339" width="7.33203125" style="69" bestFit="1" customWidth="1"/>
    <col min="14340" max="14340" width="28.33203125" style="69" customWidth="1"/>
    <col min="14341" max="14341" width="12.6640625" style="69" bestFit="1" customWidth="1"/>
    <col min="14342" max="14592" width="22.88671875" style="69"/>
    <col min="14593" max="14593" width="22.6640625" style="69" bestFit="1" customWidth="1"/>
    <col min="14594" max="14594" width="13.44140625" style="69" bestFit="1" customWidth="1"/>
    <col min="14595" max="14595" width="7.33203125" style="69" bestFit="1" customWidth="1"/>
    <col min="14596" max="14596" width="28.33203125" style="69" customWidth="1"/>
    <col min="14597" max="14597" width="12.6640625" style="69" bestFit="1" customWidth="1"/>
    <col min="14598" max="14848" width="22.88671875" style="69"/>
    <col min="14849" max="14849" width="22.6640625" style="69" bestFit="1" customWidth="1"/>
    <col min="14850" max="14850" width="13.44140625" style="69" bestFit="1" customWidth="1"/>
    <col min="14851" max="14851" width="7.33203125" style="69" bestFit="1" customWidth="1"/>
    <col min="14852" max="14852" width="28.33203125" style="69" customWidth="1"/>
    <col min="14853" max="14853" width="12.6640625" style="69" bestFit="1" customWidth="1"/>
    <col min="14854" max="15104" width="22.88671875" style="69"/>
    <col min="15105" max="15105" width="22.6640625" style="69" bestFit="1" customWidth="1"/>
    <col min="15106" max="15106" width="13.44140625" style="69" bestFit="1" customWidth="1"/>
    <col min="15107" max="15107" width="7.33203125" style="69" bestFit="1" customWidth="1"/>
    <col min="15108" max="15108" width="28.33203125" style="69" customWidth="1"/>
    <col min="15109" max="15109" width="12.6640625" style="69" bestFit="1" customWidth="1"/>
    <col min="15110" max="15360" width="22.88671875" style="69"/>
    <col min="15361" max="15361" width="22.6640625" style="69" bestFit="1" customWidth="1"/>
    <col min="15362" max="15362" width="13.44140625" style="69" bestFit="1" customWidth="1"/>
    <col min="15363" max="15363" width="7.33203125" style="69" bestFit="1" customWidth="1"/>
    <col min="15364" max="15364" width="28.33203125" style="69" customWidth="1"/>
    <col min="15365" max="15365" width="12.6640625" style="69" bestFit="1" customWidth="1"/>
    <col min="15366" max="15616" width="22.88671875" style="69"/>
    <col min="15617" max="15617" width="22.6640625" style="69" bestFit="1" customWidth="1"/>
    <col min="15618" max="15618" width="13.44140625" style="69" bestFit="1" customWidth="1"/>
    <col min="15619" max="15619" width="7.33203125" style="69" bestFit="1" customWidth="1"/>
    <col min="15620" max="15620" width="28.33203125" style="69" customWidth="1"/>
    <col min="15621" max="15621" width="12.6640625" style="69" bestFit="1" customWidth="1"/>
    <col min="15622" max="15872" width="22.88671875" style="69"/>
    <col min="15873" max="15873" width="22.6640625" style="69" bestFit="1" customWidth="1"/>
    <col min="15874" max="15874" width="13.44140625" style="69" bestFit="1" customWidth="1"/>
    <col min="15875" max="15875" width="7.33203125" style="69" bestFit="1" customWidth="1"/>
    <col min="15876" max="15876" width="28.33203125" style="69" customWidth="1"/>
    <col min="15877" max="15877" width="12.6640625" style="69" bestFit="1" customWidth="1"/>
    <col min="15878" max="16128" width="22.88671875" style="69"/>
    <col min="16129" max="16129" width="22.6640625" style="69" bestFit="1" customWidth="1"/>
    <col min="16130" max="16130" width="13.44140625" style="69" bestFit="1" customWidth="1"/>
    <col min="16131" max="16131" width="7.33203125" style="69" bestFit="1" customWidth="1"/>
    <col min="16132" max="16132" width="28.33203125" style="69" customWidth="1"/>
    <col min="16133" max="16133" width="12.6640625" style="69" bestFit="1" customWidth="1"/>
    <col min="16134" max="16384" width="22.88671875" style="69"/>
  </cols>
  <sheetData>
    <row r="1" spans="1:5" x14ac:dyDescent="0.25">
      <c r="A1" s="132" t="s">
        <v>214</v>
      </c>
      <c r="B1" s="134"/>
      <c r="D1" s="69">
        <f>-B7/(1+B3)^B6</f>
        <v>252572.46819458736</v>
      </c>
    </row>
    <row r="2" spans="1:5" x14ac:dyDescent="0.25">
      <c r="A2" s="132" t="s">
        <v>135</v>
      </c>
      <c r="B2" s="130">
        <v>7.0000000000000007E-2</v>
      </c>
    </row>
    <row r="3" spans="1:5" x14ac:dyDescent="0.25">
      <c r="A3" s="132" t="s">
        <v>136</v>
      </c>
      <c r="B3" s="131">
        <f>B2/B5</f>
        <v>3.5000000000000003E-2</v>
      </c>
    </row>
    <row r="4" spans="1:5" x14ac:dyDescent="0.25">
      <c r="A4" s="132" t="s">
        <v>10</v>
      </c>
      <c r="B4" s="75">
        <v>20</v>
      </c>
    </row>
    <row r="5" spans="1:5" x14ac:dyDescent="0.25">
      <c r="A5" s="132" t="s">
        <v>137</v>
      </c>
      <c r="B5" s="75">
        <v>2</v>
      </c>
    </row>
    <row r="6" spans="1:5" x14ac:dyDescent="0.25">
      <c r="A6" s="132" t="s">
        <v>12</v>
      </c>
      <c r="B6" s="131">
        <f>B4*B5</f>
        <v>40</v>
      </c>
    </row>
    <row r="7" spans="1:5" x14ac:dyDescent="0.25">
      <c r="A7" s="132" t="s">
        <v>213</v>
      </c>
      <c r="B7" s="133">
        <v>-1000000</v>
      </c>
      <c r="E7" s="81"/>
    </row>
    <row r="9" spans="1:5" x14ac:dyDescent="0.25">
      <c r="A9" s="136" t="s">
        <v>47</v>
      </c>
      <c r="B9" s="136" t="s">
        <v>215</v>
      </c>
      <c r="C9" s="136" t="s">
        <v>143</v>
      </c>
    </row>
    <row r="10" spans="1:5" customFormat="1" ht="14.4" x14ac:dyDescent="0.3">
      <c r="A10" s="1"/>
      <c r="B10" s="1"/>
      <c r="C10" s="13"/>
    </row>
    <row r="11" spans="1:5" customFormat="1" ht="14.4" x14ac:dyDescent="0.3">
      <c r="A11" s="1"/>
      <c r="B11" s="13"/>
      <c r="C11" s="13"/>
    </row>
    <row r="12" spans="1:5" customFormat="1" ht="14.4" x14ac:dyDescent="0.3">
      <c r="A12" s="1"/>
      <c r="B12" s="13"/>
      <c r="C12" s="13"/>
    </row>
    <row r="13" spans="1:5" customFormat="1" ht="14.4" x14ac:dyDescent="0.3">
      <c r="A13" s="1"/>
      <c r="B13" s="13"/>
      <c r="C13" s="13"/>
    </row>
    <row r="14" spans="1:5" customFormat="1" ht="14.4" x14ac:dyDescent="0.3">
      <c r="A14" s="1"/>
      <c r="B14" s="13"/>
      <c r="C14" s="13"/>
    </row>
    <row r="15" spans="1:5" customFormat="1" ht="14.4" x14ac:dyDescent="0.3">
      <c r="A15" s="1"/>
      <c r="B15" s="13"/>
      <c r="C15" s="13"/>
    </row>
    <row r="16" spans="1:5" customFormat="1" ht="14.4" x14ac:dyDescent="0.3">
      <c r="A16" s="1"/>
      <c r="B16" s="13"/>
      <c r="C16" s="13"/>
    </row>
    <row r="17" spans="1:3" customFormat="1" ht="14.4" x14ac:dyDescent="0.3">
      <c r="A17" s="1"/>
      <c r="B17" s="13"/>
      <c r="C17" s="13"/>
    </row>
    <row r="18" spans="1:3" customFormat="1" ht="14.4" x14ac:dyDescent="0.3">
      <c r="A18" s="1"/>
      <c r="B18" s="13"/>
      <c r="C18" s="13"/>
    </row>
    <row r="19" spans="1:3" customFormat="1" ht="14.4" x14ac:dyDescent="0.3">
      <c r="A19" s="1"/>
      <c r="B19" s="13"/>
      <c r="C19" s="13"/>
    </row>
    <row r="20" spans="1:3" customFormat="1" ht="14.4" x14ac:dyDescent="0.3">
      <c r="A20" s="1"/>
      <c r="B20" s="13"/>
      <c r="C20" s="13"/>
    </row>
    <row r="21" spans="1:3" customFormat="1" ht="14.4" x14ac:dyDescent="0.3">
      <c r="A21" s="1"/>
      <c r="B21" s="13"/>
      <c r="C21" s="13"/>
    </row>
    <row r="22" spans="1:3" customFormat="1" ht="14.4" x14ac:dyDescent="0.3">
      <c r="A22" s="1"/>
      <c r="B22" s="13"/>
      <c r="C22" s="13"/>
    </row>
    <row r="23" spans="1:3" customFormat="1" ht="14.4" x14ac:dyDescent="0.3">
      <c r="A23" s="1"/>
      <c r="B23" s="13"/>
      <c r="C23" s="13"/>
    </row>
    <row r="24" spans="1:3" customFormat="1" ht="14.4" x14ac:dyDescent="0.3">
      <c r="A24" s="1"/>
      <c r="B24" s="13"/>
      <c r="C24" s="13"/>
    </row>
    <row r="25" spans="1:3" customFormat="1" ht="14.4" x14ac:dyDescent="0.3">
      <c r="A25" s="1"/>
      <c r="B25" s="13"/>
      <c r="C25" s="13"/>
    </row>
    <row r="26" spans="1:3" customFormat="1" ht="14.4" x14ac:dyDescent="0.3">
      <c r="A26" s="1"/>
      <c r="B26" s="13"/>
      <c r="C26" s="13"/>
    </row>
    <row r="27" spans="1:3" customFormat="1" ht="14.4" x14ac:dyDescent="0.3">
      <c r="A27" s="1"/>
      <c r="B27" s="13"/>
      <c r="C27" s="13"/>
    </row>
    <row r="28" spans="1:3" customFormat="1" ht="14.4" x14ac:dyDescent="0.3">
      <c r="A28" s="1"/>
      <c r="B28" s="13"/>
      <c r="C28" s="13"/>
    </row>
    <row r="29" spans="1:3" customFormat="1" ht="14.4" x14ac:dyDescent="0.3">
      <c r="A29" s="1"/>
      <c r="B29" s="13"/>
      <c r="C29" s="13"/>
    </row>
    <row r="30" spans="1:3" customFormat="1" ht="14.4" x14ac:dyDescent="0.3">
      <c r="A30" s="1"/>
      <c r="B30" s="13"/>
      <c r="C30" s="13"/>
    </row>
    <row r="31" spans="1:3" customFormat="1" ht="14.4" x14ac:dyDescent="0.3">
      <c r="A31" s="1"/>
      <c r="B31" s="13"/>
      <c r="C31" s="13"/>
    </row>
    <row r="32" spans="1:3" customFormat="1" ht="14.4" x14ac:dyDescent="0.3">
      <c r="A32" s="1"/>
      <c r="B32" s="13"/>
      <c r="C32" s="13"/>
    </row>
    <row r="33" spans="1:3" customFormat="1" ht="14.4" x14ac:dyDescent="0.3">
      <c r="A33" s="1"/>
      <c r="B33" s="13"/>
      <c r="C33" s="13"/>
    </row>
    <row r="34" spans="1:3" customFormat="1" ht="14.4" x14ac:dyDescent="0.3">
      <c r="A34" s="1"/>
      <c r="B34" s="13"/>
      <c r="C34" s="13"/>
    </row>
    <row r="35" spans="1:3" customFormat="1" ht="14.4" x14ac:dyDescent="0.3">
      <c r="A35" s="1"/>
      <c r="B35" s="13"/>
      <c r="C35" s="13"/>
    </row>
    <row r="36" spans="1:3" customFormat="1" ht="14.4" x14ac:dyDescent="0.3">
      <c r="A36" s="1"/>
      <c r="B36" s="13"/>
      <c r="C36" s="13"/>
    </row>
    <row r="37" spans="1:3" customFormat="1" ht="14.4" x14ac:dyDescent="0.3">
      <c r="A37" s="1"/>
      <c r="B37" s="13"/>
      <c r="C37" s="13"/>
    </row>
    <row r="38" spans="1:3" customFormat="1" ht="14.4" x14ac:dyDescent="0.3">
      <c r="A38" s="1"/>
      <c r="B38" s="13"/>
      <c r="C38" s="13"/>
    </row>
    <row r="39" spans="1:3" customFormat="1" ht="14.4" x14ac:dyDescent="0.3">
      <c r="A39" s="1"/>
      <c r="B39" s="13"/>
      <c r="C39" s="13"/>
    </row>
    <row r="40" spans="1:3" customFormat="1" ht="14.4" x14ac:dyDescent="0.3">
      <c r="A40" s="1"/>
      <c r="B40" s="13"/>
      <c r="C40" s="13"/>
    </row>
    <row r="41" spans="1:3" customFormat="1" ht="14.4" x14ac:dyDescent="0.3">
      <c r="A41" s="1"/>
      <c r="B41" s="13"/>
      <c r="C41" s="13"/>
    </row>
    <row r="42" spans="1:3" customFormat="1" ht="14.4" x14ac:dyDescent="0.3">
      <c r="A42" s="1"/>
      <c r="B42" s="13"/>
      <c r="C42" s="13"/>
    </row>
    <row r="43" spans="1:3" customFormat="1" ht="14.4" x14ac:dyDescent="0.3">
      <c r="A43" s="1"/>
      <c r="B43" s="13"/>
      <c r="C43" s="13"/>
    </row>
    <row r="44" spans="1:3" customFormat="1" ht="14.4" x14ac:dyDescent="0.3">
      <c r="A44" s="1"/>
      <c r="B44" s="13"/>
      <c r="C44" s="13"/>
    </row>
    <row r="45" spans="1:3" customFormat="1" ht="14.4" x14ac:dyDescent="0.3">
      <c r="A45" s="1"/>
      <c r="B45" s="13"/>
      <c r="C45" s="13"/>
    </row>
    <row r="46" spans="1:3" customFormat="1" ht="14.4" x14ac:dyDescent="0.3">
      <c r="A46" s="1"/>
      <c r="B46" s="13"/>
      <c r="C46" s="13"/>
    </row>
    <row r="47" spans="1:3" customFormat="1" ht="14.4" x14ac:dyDescent="0.3">
      <c r="A47" s="1"/>
      <c r="B47" s="13"/>
      <c r="C47" s="13"/>
    </row>
    <row r="48" spans="1:3" customFormat="1" ht="14.4" x14ac:dyDescent="0.3">
      <c r="A48" s="1"/>
      <c r="B48" s="13"/>
      <c r="C48" s="13"/>
    </row>
    <row r="49" spans="1:3" customFormat="1" ht="14.4" x14ac:dyDescent="0.3">
      <c r="A49" s="1"/>
      <c r="B49" s="13"/>
      <c r="C49" s="13"/>
    </row>
    <row r="50" spans="1:3" customFormat="1" ht="14.4" x14ac:dyDescent="0.3">
      <c r="A50" s="1"/>
      <c r="B50" s="13"/>
      <c r="C50" s="13"/>
    </row>
    <row r="51" spans="1:3" customFormat="1" ht="14.4" x14ac:dyDescent="0.3"/>
    <row r="52" spans="1:3" customFormat="1" ht="14.4" x14ac:dyDescent="0.3"/>
    <row r="53" spans="1:3" customFormat="1" ht="14.4" x14ac:dyDescent="0.3"/>
  </sheetData>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K53"/>
  <sheetViews>
    <sheetView zoomScaleNormal="100" workbookViewId="0"/>
  </sheetViews>
  <sheetFormatPr defaultColWidth="22.88671875" defaultRowHeight="13.2" x14ac:dyDescent="0.25"/>
  <cols>
    <col min="1" max="1" width="24.77734375" style="69" customWidth="1"/>
    <col min="2" max="2" width="15.6640625" style="69" customWidth="1"/>
    <col min="3" max="3" width="15.77734375" style="69" customWidth="1"/>
    <col min="4" max="4" width="10.88671875" style="69" customWidth="1"/>
    <col min="5" max="5" width="1.5546875" style="69" customWidth="1"/>
    <col min="6" max="8" width="22.88671875" style="69"/>
    <col min="9" max="9" width="10.77734375" style="69" customWidth="1"/>
    <col min="10" max="10" width="3.88671875" style="69" customWidth="1"/>
    <col min="11" max="256" width="22.88671875" style="69"/>
    <col min="257" max="257" width="22.6640625" style="69" bestFit="1" customWidth="1"/>
    <col min="258" max="258" width="13.44140625" style="69" bestFit="1" customWidth="1"/>
    <col min="259" max="259" width="7.33203125" style="69" bestFit="1" customWidth="1"/>
    <col min="260" max="260" width="28.33203125" style="69" customWidth="1"/>
    <col min="261" max="261" width="12.6640625" style="69" bestFit="1" customWidth="1"/>
    <col min="262" max="512" width="22.88671875" style="69"/>
    <col min="513" max="513" width="22.6640625" style="69" bestFit="1" customWidth="1"/>
    <col min="514" max="514" width="13.44140625" style="69" bestFit="1" customWidth="1"/>
    <col min="515" max="515" width="7.33203125" style="69" bestFit="1" customWidth="1"/>
    <col min="516" max="516" width="28.33203125" style="69" customWidth="1"/>
    <col min="517" max="517" width="12.6640625" style="69" bestFit="1" customWidth="1"/>
    <col min="518" max="768" width="22.88671875" style="69"/>
    <col min="769" max="769" width="22.6640625" style="69" bestFit="1" customWidth="1"/>
    <col min="770" max="770" width="13.44140625" style="69" bestFit="1" customWidth="1"/>
    <col min="771" max="771" width="7.33203125" style="69" bestFit="1" customWidth="1"/>
    <col min="772" max="772" width="28.33203125" style="69" customWidth="1"/>
    <col min="773" max="773" width="12.6640625" style="69" bestFit="1" customWidth="1"/>
    <col min="774" max="1024" width="22.88671875" style="69"/>
    <col min="1025" max="1025" width="22.6640625" style="69" bestFit="1" customWidth="1"/>
    <col min="1026" max="1026" width="13.44140625" style="69" bestFit="1" customWidth="1"/>
    <col min="1027" max="1027" width="7.33203125" style="69" bestFit="1" customWidth="1"/>
    <col min="1028" max="1028" width="28.33203125" style="69" customWidth="1"/>
    <col min="1029" max="1029" width="12.6640625" style="69" bestFit="1" customWidth="1"/>
    <col min="1030" max="1280" width="22.88671875" style="69"/>
    <col min="1281" max="1281" width="22.6640625" style="69" bestFit="1" customWidth="1"/>
    <col min="1282" max="1282" width="13.44140625" style="69" bestFit="1" customWidth="1"/>
    <col min="1283" max="1283" width="7.33203125" style="69" bestFit="1" customWidth="1"/>
    <col min="1284" max="1284" width="28.33203125" style="69" customWidth="1"/>
    <col min="1285" max="1285" width="12.6640625" style="69" bestFit="1" customWidth="1"/>
    <col min="1286" max="1536" width="22.88671875" style="69"/>
    <col min="1537" max="1537" width="22.6640625" style="69" bestFit="1" customWidth="1"/>
    <col min="1538" max="1538" width="13.44140625" style="69" bestFit="1" customWidth="1"/>
    <col min="1539" max="1539" width="7.33203125" style="69" bestFit="1" customWidth="1"/>
    <col min="1540" max="1540" width="28.33203125" style="69" customWidth="1"/>
    <col min="1541" max="1541" width="12.6640625" style="69" bestFit="1" customWidth="1"/>
    <col min="1542" max="1792" width="22.88671875" style="69"/>
    <col min="1793" max="1793" width="22.6640625" style="69" bestFit="1" customWidth="1"/>
    <col min="1794" max="1794" width="13.44140625" style="69" bestFit="1" customWidth="1"/>
    <col min="1795" max="1795" width="7.33203125" style="69" bestFit="1" customWidth="1"/>
    <col min="1796" max="1796" width="28.33203125" style="69" customWidth="1"/>
    <col min="1797" max="1797" width="12.6640625" style="69" bestFit="1" customWidth="1"/>
    <col min="1798" max="2048" width="22.88671875" style="69"/>
    <col min="2049" max="2049" width="22.6640625" style="69" bestFit="1" customWidth="1"/>
    <col min="2050" max="2050" width="13.44140625" style="69" bestFit="1" customWidth="1"/>
    <col min="2051" max="2051" width="7.33203125" style="69" bestFit="1" customWidth="1"/>
    <col min="2052" max="2052" width="28.33203125" style="69" customWidth="1"/>
    <col min="2053" max="2053" width="12.6640625" style="69" bestFit="1" customWidth="1"/>
    <col min="2054" max="2304" width="22.88671875" style="69"/>
    <col min="2305" max="2305" width="22.6640625" style="69" bestFit="1" customWidth="1"/>
    <col min="2306" max="2306" width="13.44140625" style="69" bestFit="1" customWidth="1"/>
    <col min="2307" max="2307" width="7.33203125" style="69" bestFit="1" customWidth="1"/>
    <col min="2308" max="2308" width="28.33203125" style="69" customWidth="1"/>
    <col min="2309" max="2309" width="12.6640625" style="69" bestFit="1" customWidth="1"/>
    <col min="2310" max="2560" width="22.88671875" style="69"/>
    <col min="2561" max="2561" width="22.6640625" style="69" bestFit="1" customWidth="1"/>
    <col min="2562" max="2562" width="13.44140625" style="69" bestFit="1" customWidth="1"/>
    <col min="2563" max="2563" width="7.33203125" style="69" bestFit="1" customWidth="1"/>
    <col min="2564" max="2564" width="28.33203125" style="69" customWidth="1"/>
    <col min="2565" max="2565" width="12.6640625" style="69" bestFit="1" customWidth="1"/>
    <col min="2566" max="2816" width="22.88671875" style="69"/>
    <col min="2817" max="2817" width="22.6640625" style="69" bestFit="1" customWidth="1"/>
    <col min="2818" max="2818" width="13.44140625" style="69" bestFit="1" customWidth="1"/>
    <col min="2819" max="2819" width="7.33203125" style="69" bestFit="1" customWidth="1"/>
    <col min="2820" max="2820" width="28.33203125" style="69" customWidth="1"/>
    <col min="2821" max="2821" width="12.6640625" style="69" bestFit="1" customWidth="1"/>
    <col min="2822" max="3072" width="22.88671875" style="69"/>
    <col min="3073" max="3073" width="22.6640625" style="69" bestFit="1" customWidth="1"/>
    <col min="3074" max="3074" width="13.44140625" style="69" bestFit="1" customWidth="1"/>
    <col min="3075" max="3075" width="7.33203125" style="69" bestFit="1" customWidth="1"/>
    <col min="3076" max="3076" width="28.33203125" style="69" customWidth="1"/>
    <col min="3077" max="3077" width="12.6640625" style="69" bestFit="1" customWidth="1"/>
    <col min="3078" max="3328" width="22.88671875" style="69"/>
    <col min="3329" max="3329" width="22.6640625" style="69" bestFit="1" customWidth="1"/>
    <col min="3330" max="3330" width="13.44140625" style="69" bestFit="1" customWidth="1"/>
    <col min="3331" max="3331" width="7.33203125" style="69" bestFit="1" customWidth="1"/>
    <col min="3332" max="3332" width="28.33203125" style="69" customWidth="1"/>
    <col min="3333" max="3333" width="12.6640625" style="69" bestFit="1" customWidth="1"/>
    <col min="3334" max="3584" width="22.88671875" style="69"/>
    <col min="3585" max="3585" width="22.6640625" style="69" bestFit="1" customWidth="1"/>
    <col min="3586" max="3586" width="13.44140625" style="69" bestFit="1" customWidth="1"/>
    <col min="3587" max="3587" width="7.33203125" style="69" bestFit="1" customWidth="1"/>
    <col min="3588" max="3588" width="28.33203125" style="69" customWidth="1"/>
    <col min="3589" max="3589" width="12.6640625" style="69" bestFit="1" customWidth="1"/>
    <col min="3590" max="3840" width="22.88671875" style="69"/>
    <col min="3841" max="3841" width="22.6640625" style="69" bestFit="1" customWidth="1"/>
    <col min="3842" max="3842" width="13.44140625" style="69" bestFit="1" customWidth="1"/>
    <col min="3843" max="3843" width="7.33203125" style="69" bestFit="1" customWidth="1"/>
    <col min="3844" max="3844" width="28.33203125" style="69" customWidth="1"/>
    <col min="3845" max="3845" width="12.6640625" style="69" bestFit="1" customWidth="1"/>
    <col min="3846" max="4096" width="22.88671875" style="69"/>
    <col min="4097" max="4097" width="22.6640625" style="69" bestFit="1" customWidth="1"/>
    <col min="4098" max="4098" width="13.44140625" style="69" bestFit="1" customWidth="1"/>
    <col min="4099" max="4099" width="7.33203125" style="69" bestFit="1" customWidth="1"/>
    <col min="4100" max="4100" width="28.33203125" style="69" customWidth="1"/>
    <col min="4101" max="4101" width="12.6640625" style="69" bestFit="1" customWidth="1"/>
    <col min="4102" max="4352" width="22.88671875" style="69"/>
    <col min="4353" max="4353" width="22.6640625" style="69" bestFit="1" customWidth="1"/>
    <col min="4354" max="4354" width="13.44140625" style="69" bestFit="1" customWidth="1"/>
    <col min="4355" max="4355" width="7.33203125" style="69" bestFit="1" customWidth="1"/>
    <col min="4356" max="4356" width="28.33203125" style="69" customWidth="1"/>
    <col min="4357" max="4357" width="12.6640625" style="69" bestFit="1" customWidth="1"/>
    <col min="4358" max="4608" width="22.88671875" style="69"/>
    <col min="4609" max="4609" width="22.6640625" style="69" bestFit="1" customWidth="1"/>
    <col min="4610" max="4610" width="13.44140625" style="69" bestFit="1" customWidth="1"/>
    <col min="4611" max="4611" width="7.33203125" style="69" bestFit="1" customWidth="1"/>
    <col min="4612" max="4612" width="28.33203125" style="69" customWidth="1"/>
    <col min="4613" max="4613" width="12.6640625" style="69" bestFit="1" customWidth="1"/>
    <col min="4614" max="4864" width="22.88671875" style="69"/>
    <col min="4865" max="4865" width="22.6640625" style="69" bestFit="1" customWidth="1"/>
    <col min="4866" max="4866" width="13.44140625" style="69" bestFit="1" customWidth="1"/>
    <col min="4867" max="4867" width="7.33203125" style="69" bestFit="1" customWidth="1"/>
    <col min="4868" max="4868" width="28.33203125" style="69" customWidth="1"/>
    <col min="4869" max="4869" width="12.6640625" style="69" bestFit="1" customWidth="1"/>
    <col min="4870" max="5120" width="22.88671875" style="69"/>
    <col min="5121" max="5121" width="22.6640625" style="69" bestFit="1" customWidth="1"/>
    <col min="5122" max="5122" width="13.44140625" style="69" bestFit="1" customWidth="1"/>
    <col min="5123" max="5123" width="7.33203125" style="69" bestFit="1" customWidth="1"/>
    <col min="5124" max="5124" width="28.33203125" style="69" customWidth="1"/>
    <col min="5125" max="5125" width="12.6640625" style="69" bestFit="1" customWidth="1"/>
    <col min="5126" max="5376" width="22.88671875" style="69"/>
    <col min="5377" max="5377" width="22.6640625" style="69" bestFit="1" customWidth="1"/>
    <col min="5378" max="5378" width="13.44140625" style="69" bestFit="1" customWidth="1"/>
    <col min="5379" max="5379" width="7.33203125" style="69" bestFit="1" customWidth="1"/>
    <col min="5380" max="5380" width="28.33203125" style="69" customWidth="1"/>
    <col min="5381" max="5381" width="12.6640625" style="69" bestFit="1" customWidth="1"/>
    <col min="5382" max="5632" width="22.88671875" style="69"/>
    <col min="5633" max="5633" width="22.6640625" style="69" bestFit="1" customWidth="1"/>
    <col min="5634" max="5634" width="13.44140625" style="69" bestFit="1" customWidth="1"/>
    <col min="5635" max="5635" width="7.33203125" style="69" bestFit="1" customWidth="1"/>
    <col min="5636" max="5636" width="28.33203125" style="69" customWidth="1"/>
    <col min="5637" max="5637" width="12.6640625" style="69" bestFit="1" customWidth="1"/>
    <col min="5638" max="5888" width="22.88671875" style="69"/>
    <col min="5889" max="5889" width="22.6640625" style="69" bestFit="1" customWidth="1"/>
    <col min="5890" max="5890" width="13.44140625" style="69" bestFit="1" customWidth="1"/>
    <col min="5891" max="5891" width="7.33203125" style="69" bestFit="1" customWidth="1"/>
    <col min="5892" max="5892" width="28.33203125" style="69" customWidth="1"/>
    <col min="5893" max="5893" width="12.6640625" style="69" bestFit="1" customWidth="1"/>
    <col min="5894" max="6144" width="22.88671875" style="69"/>
    <col min="6145" max="6145" width="22.6640625" style="69" bestFit="1" customWidth="1"/>
    <col min="6146" max="6146" width="13.44140625" style="69" bestFit="1" customWidth="1"/>
    <col min="6147" max="6147" width="7.33203125" style="69" bestFit="1" customWidth="1"/>
    <col min="6148" max="6148" width="28.33203125" style="69" customWidth="1"/>
    <col min="6149" max="6149" width="12.6640625" style="69" bestFit="1" customWidth="1"/>
    <col min="6150" max="6400" width="22.88671875" style="69"/>
    <col min="6401" max="6401" width="22.6640625" style="69" bestFit="1" customWidth="1"/>
    <col min="6402" max="6402" width="13.44140625" style="69" bestFit="1" customWidth="1"/>
    <col min="6403" max="6403" width="7.33203125" style="69" bestFit="1" customWidth="1"/>
    <col min="6404" max="6404" width="28.33203125" style="69" customWidth="1"/>
    <col min="6405" max="6405" width="12.6640625" style="69" bestFit="1" customWidth="1"/>
    <col min="6406" max="6656" width="22.88671875" style="69"/>
    <col min="6657" max="6657" width="22.6640625" style="69" bestFit="1" customWidth="1"/>
    <col min="6658" max="6658" width="13.44140625" style="69" bestFit="1" customWidth="1"/>
    <col min="6659" max="6659" width="7.33203125" style="69" bestFit="1" customWidth="1"/>
    <col min="6660" max="6660" width="28.33203125" style="69" customWidth="1"/>
    <col min="6661" max="6661" width="12.6640625" style="69" bestFit="1" customWidth="1"/>
    <col min="6662" max="6912" width="22.88671875" style="69"/>
    <col min="6913" max="6913" width="22.6640625" style="69" bestFit="1" customWidth="1"/>
    <col min="6914" max="6914" width="13.44140625" style="69" bestFit="1" customWidth="1"/>
    <col min="6915" max="6915" width="7.33203125" style="69" bestFit="1" customWidth="1"/>
    <col min="6916" max="6916" width="28.33203125" style="69" customWidth="1"/>
    <col min="6917" max="6917" width="12.6640625" style="69" bestFit="1" customWidth="1"/>
    <col min="6918" max="7168" width="22.88671875" style="69"/>
    <col min="7169" max="7169" width="22.6640625" style="69" bestFit="1" customWidth="1"/>
    <col min="7170" max="7170" width="13.44140625" style="69" bestFit="1" customWidth="1"/>
    <col min="7171" max="7171" width="7.33203125" style="69" bestFit="1" customWidth="1"/>
    <col min="7172" max="7172" width="28.33203125" style="69" customWidth="1"/>
    <col min="7173" max="7173" width="12.6640625" style="69" bestFit="1" customWidth="1"/>
    <col min="7174" max="7424" width="22.88671875" style="69"/>
    <col min="7425" max="7425" width="22.6640625" style="69" bestFit="1" customWidth="1"/>
    <col min="7426" max="7426" width="13.44140625" style="69" bestFit="1" customWidth="1"/>
    <col min="7427" max="7427" width="7.33203125" style="69" bestFit="1" customWidth="1"/>
    <col min="7428" max="7428" width="28.33203125" style="69" customWidth="1"/>
    <col min="7429" max="7429" width="12.6640625" style="69" bestFit="1" customWidth="1"/>
    <col min="7430" max="7680" width="22.88671875" style="69"/>
    <col min="7681" max="7681" width="22.6640625" style="69" bestFit="1" customWidth="1"/>
    <col min="7682" max="7682" width="13.44140625" style="69" bestFit="1" customWidth="1"/>
    <col min="7683" max="7683" width="7.33203125" style="69" bestFit="1" customWidth="1"/>
    <col min="7684" max="7684" width="28.33203125" style="69" customWidth="1"/>
    <col min="7685" max="7685" width="12.6640625" style="69" bestFit="1" customWidth="1"/>
    <col min="7686" max="7936" width="22.88671875" style="69"/>
    <col min="7937" max="7937" width="22.6640625" style="69" bestFit="1" customWidth="1"/>
    <col min="7938" max="7938" width="13.44140625" style="69" bestFit="1" customWidth="1"/>
    <col min="7939" max="7939" width="7.33203125" style="69" bestFit="1" customWidth="1"/>
    <col min="7940" max="7940" width="28.33203125" style="69" customWidth="1"/>
    <col min="7941" max="7941" width="12.6640625" style="69" bestFit="1" customWidth="1"/>
    <col min="7942" max="8192" width="22.88671875" style="69"/>
    <col min="8193" max="8193" width="22.6640625" style="69" bestFit="1" customWidth="1"/>
    <col min="8194" max="8194" width="13.44140625" style="69" bestFit="1" customWidth="1"/>
    <col min="8195" max="8195" width="7.33203125" style="69" bestFit="1" customWidth="1"/>
    <col min="8196" max="8196" width="28.33203125" style="69" customWidth="1"/>
    <col min="8197" max="8197" width="12.6640625" style="69" bestFit="1" customWidth="1"/>
    <col min="8198" max="8448" width="22.88671875" style="69"/>
    <col min="8449" max="8449" width="22.6640625" style="69" bestFit="1" customWidth="1"/>
    <col min="8450" max="8450" width="13.44140625" style="69" bestFit="1" customWidth="1"/>
    <col min="8451" max="8451" width="7.33203125" style="69" bestFit="1" customWidth="1"/>
    <col min="8452" max="8452" width="28.33203125" style="69" customWidth="1"/>
    <col min="8453" max="8453" width="12.6640625" style="69" bestFit="1" customWidth="1"/>
    <col min="8454" max="8704" width="22.88671875" style="69"/>
    <col min="8705" max="8705" width="22.6640625" style="69" bestFit="1" customWidth="1"/>
    <col min="8706" max="8706" width="13.44140625" style="69" bestFit="1" customWidth="1"/>
    <col min="8707" max="8707" width="7.33203125" style="69" bestFit="1" customWidth="1"/>
    <col min="8708" max="8708" width="28.33203125" style="69" customWidth="1"/>
    <col min="8709" max="8709" width="12.6640625" style="69" bestFit="1" customWidth="1"/>
    <col min="8710" max="8960" width="22.88671875" style="69"/>
    <col min="8961" max="8961" width="22.6640625" style="69" bestFit="1" customWidth="1"/>
    <col min="8962" max="8962" width="13.44140625" style="69" bestFit="1" customWidth="1"/>
    <col min="8963" max="8963" width="7.33203125" style="69" bestFit="1" customWidth="1"/>
    <col min="8964" max="8964" width="28.33203125" style="69" customWidth="1"/>
    <col min="8965" max="8965" width="12.6640625" style="69" bestFit="1" customWidth="1"/>
    <col min="8966" max="9216" width="22.88671875" style="69"/>
    <col min="9217" max="9217" width="22.6640625" style="69" bestFit="1" customWidth="1"/>
    <col min="9218" max="9218" width="13.44140625" style="69" bestFit="1" customWidth="1"/>
    <col min="9219" max="9219" width="7.33203125" style="69" bestFit="1" customWidth="1"/>
    <col min="9220" max="9220" width="28.33203125" style="69" customWidth="1"/>
    <col min="9221" max="9221" width="12.6640625" style="69" bestFit="1" customWidth="1"/>
    <col min="9222" max="9472" width="22.88671875" style="69"/>
    <col min="9473" max="9473" width="22.6640625" style="69" bestFit="1" customWidth="1"/>
    <col min="9474" max="9474" width="13.44140625" style="69" bestFit="1" customWidth="1"/>
    <col min="9475" max="9475" width="7.33203125" style="69" bestFit="1" customWidth="1"/>
    <col min="9476" max="9476" width="28.33203125" style="69" customWidth="1"/>
    <col min="9477" max="9477" width="12.6640625" style="69" bestFit="1" customWidth="1"/>
    <col min="9478" max="9728" width="22.88671875" style="69"/>
    <col min="9729" max="9729" width="22.6640625" style="69" bestFit="1" customWidth="1"/>
    <col min="9730" max="9730" width="13.44140625" style="69" bestFit="1" customWidth="1"/>
    <col min="9731" max="9731" width="7.33203125" style="69" bestFit="1" customWidth="1"/>
    <col min="9732" max="9732" width="28.33203125" style="69" customWidth="1"/>
    <col min="9733" max="9733" width="12.6640625" style="69" bestFit="1" customWidth="1"/>
    <col min="9734" max="9984" width="22.88671875" style="69"/>
    <col min="9985" max="9985" width="22.6640625" style="69" bestFit="1" customWidth="1"/>
    <col min="9986" max="9986" width="13.44140625" style="69" bestFit="1" customWidth="1"/>
    <col min="9987" max="9987" width="7.33203125" style="69" bestFit="1" customWidth="1"/>
    <col min="9988" max="9988" width="28.33203125" style="69" customWidth="1"/>
    <col min="9989" max="9989" width="12.6640625" style="69" bestFit="1" customWidth="1"/>
    <col min="9990" max="10240" width="22.88671875" style="69"/>
    <col min="10241" max="10241" width="22.6640625" style="69" bestFit="1" customWidth="1"/>
    <col min="10242" max="10242" width="13.44140625" style="69" bestFit="1" customWidth="1"/>
    <col min="10243" max="10243" width="7.33203125" style="69" bestFit="1" customWidth="1"/>
    <col min="10244" max="10244" width="28.33203125" style="69" customWidth="1"/>
    <col min="10245" max="10245" width="12.6640625" style="69" bestFit="1" customWidth="1"/>
    <col min="10246" max="10496" width="22.88671875" style="69"/>
    <col min="10497" max="10497" width="22.6640625" style="69" bestFit="1" customWidth="1"/>
    <col min="10498" max="10498" width="13.44140625" style="69" bestFit="1" customWidth="1"/>
    <col min="10499" max="10499" width="7.33203125" style="69" bestFit="1" customWidth="1"/>
    <col min="10500" max="10500" width="28.33203125" style="69" customWidth="1"/>
    <col min="10501" max="10501" width="12.6640625" style="69" bestFit="1" customWidth="1"/>
    <col min="10502" max="10752" width="22.88671875" style="69"/>
    <col min="10753" max="10753" width="22.6640625" style="69" bestFit="1" customWidth="1"/>
    <col min="10754" max="10754" width="13.44140625" style="69" bestFit="1" customWidth="1"/>
    <col min="10755" max="10755" width="7.33203125" style="69" bestFit="1" customWidth="1"/>
    <col min="10756" max="10756" width="28.33203125" style="69" customWidth="1"/>
    <col min="10757" max="10757" width="12.6640625" style="69" bestFit="1" customWidth="1"/>
    <col min="10758" max="11008" width="22.88671875" style="69"/>
    <col min="11009" max="11009" width="22.6640625" style="69" bestFit="1" customWidth="1"/>
    <col min="11010" max="11010" width="13.44140625" style="69" bestFit="1" customWidth="1"/>
    <col min="11011" max="11011" width="7.33203125" style="69" bestFit="1" customWidth="1"/>
    <col min="11012" max="11012" width="28.33203125" style="69" customWidth="1"/>
    <col min="11013" max="11013" width="12.6640625" style="69" bestFit="1" customWidth="1"/>
    <col min="11014" max="11264" width="22.88671875" style="69"/>
    <col min="11265" max="11265" width="22.6640625" style="69" bestFit="1" customWidth="1"/>
    <col min="11266" max="11266" width="13.44140625" style="69" bestFit="1" customWidth="1"/>
    <col min="11267" max="11267" width="7.33203125" style="69" bestFit="1" customWidth="1"/>
    <col min="11268" max="11268" width="28.33203125" style="69" customWidth="1"/>
    <col min="11269" max="11269" width="12.6640625" style="69" bestFit="1" customWidth="1"/>
    <col min="11270" max="11520" width="22.88671875" style="69"/>
    <col min="11521" max="11521" width="22.6640625" style="69" bestFit="1" customWidth="1"/>
    <col min="11522" max="11522" width="13.44140625" style="69" bestFit="1" customWidth="1"/>
    <col min="11523" max="11523" width="7.33203125" style="69" bestFit="1" customWidth="1"/>
    <col min="11524" max="11524" width="28.33203125" style="69" customWidth="1"/>
    <col min="11525" max="11525" width="12.6640625" style="69" bestFit="1" customWidth="1"/>
    <col min="11526" max="11776" width="22.88671875" style="69"/>
    <col min="11777" max="11777" width="22.6640625" style="69" bestFit="1" customWidth="1"/>
    <col min="11778" max="11778" width="13.44140625" style="69" bestFit="1" customWidth="1"/>
    <col min="11779" max="11779" width="7.33203125" style="69" bestFit="1" customWidth="1"/>
    <col min="11780" max="11780" width="28.33203125" style="69" customWidth="1"/>
    <col min="11781" max="11781" width="12.6640625" style="69" bestFit="1" customWidth="1"/>
    <col min="11782" max="12032" width="22.88671875" style="69"/>
    <col min="12033" max="12033" width="22.6640625" style="69" bestFit="1" customWidth="1"/>
    <col min="12034" max="12034" width="13.44140625" style="69" bestFit="1" customWidth="1"/>
    <col min="12035" max="12035" width="7.33203125" style="69" bestFit="1" customWidth="1"/>
    <col min="12036" max="12036" width="28.33203125" style="69" customWidth="1"/>
    <col min="12037" max="12037" width="12.6640625" style="69" bestFit="1" customWidth="1"/>
    <col min="12038" max="12288" width="22.88671875" style="69"/>
    <col min="12289" max="12289" width="22.6640625" style="69" bestFit="1" customWidth="1"/>
    <col min="12290" max="12290" width="13.44140625" style="69" bestFit="1" customWidth="1"/>
    <col min="12291" max="12291" width="7.33203125" style="69" bestFit="1" customWidth="1"/>
    <col min="12292" max="12292" width="28.33203125" style="69" customWidth="1"/>
    <col min="12293" max="12293" width="12.6640625" style="69" bestFit="1" customWidth="1"/>
    <col min="12294" max="12544" width="22.88671875" style="69"/>
    <col min="12545" max="12545" width="22.6640625" style="69" bestFit="1" customWidth="1"/>
    <col min="12546" max="12546" width="13.44140625" style="69" bestFit="1" customWidth="1"/>
    <col min="12547" max="12547" width="7.33203125" style="69" bestFit="1" customWidth="1"/>
    <col min="12548" max="12548" width="28.33203125" style="69" customWidth="1"/>
    <col min="12549" max="12549" width="12.6640625" style="69" bestFit="1" customWidth="1"/>
    <col min="12550" max="12800" width="22.88671875" style="69"/>
    <col min="12801" max="12801" width="22.6640625" style="69" bestFit="1" customWidth="1"/>
    <col min="12802" max="12802" width="13.44140625" style="69" bestFit="1" customWidth="1"/>
    <col min="12803" max="12803" width="7.33203125" style="69" bestFit="1" customWidth="1"/>
    <col min="12804" max="12804" width="28.33203125" style="69" customWidth="1"/>
    <col min="12805" max="12805" width="12.6640625" style="69" bestFit="1" customWidth="1"/>
    <col min="12806" max="13056" width="22.88671875" style="69"/>
    <col min="13057" max="13057" width="22.6640625" style="69" bestFit="1" customWidth="1"/>
    <col min="13058" max="13058" width="13.44140625" style="69" bestFit="1" customWidth="1"/>
    <col min="13059" max="13059" width="7.33203125" style="69" bestFit="1" customWidth="1"/>
    <col min="13060" max="13060" width="28.33203125" style="69" customWidth="1"/>
    <col min="13061" max="13061" width="12.6640625" style="69" bestFit="1" customWidth="1"/>
    <col min="13062" max="13312" width="22.88671875" style="69"/>
    <col min="13313" max="13313" width="22.6640625" style="69" bestFit="1" customWidth="1"/>
    <col min="13314" max="13314" width="13.44140625" style="69" bestFit="1" customWidth="1"/>
    <col min="13315" max="13315" width="7.33203125" style="69" bestFit="1" customWidth="1"/>
    <col min="13316" max="13316" width="28.33203125" style="69" customWidth="1"/>
    <col min="13317" max="13317" width="12.6640625" style="69" bestFit="1" customWidth="1"/>
    <col min="13318" max="13568" width="22.88671875" style="69"/>
    <col min="13569" max="13569" width="22.6640625" style="69" bestFit="1" customWidth="1"/>
    <col min="13570" max="13570" width="13.44140625" style="69" bestFit="1" customWidth="1"/>
    <col min="13571" max="13571" width="7.33203125" style="69" bestFit="1" customWidth="1"/>
    <col min="13572" max="13572" width="28.33203125" style="69" customWidth="1"/>
    <col min="13573" max="13573" width="12.6640625" style="69" bestFit="1" customWidth="1"/>
    <col min="13574" max="13824" width="22.88671875" style="69"/>
    <col min="13825" max="13825" width="22.6640625" style="69" bestFit="1" customWidth="1"/>
    <col min="13826" max="13826" width="13.44140625" style="69" bestFit="1" customWidth="1"/>
    <col min="13827" max="13827" width="7.33203125" style="69" bestFit="1" customWidth="1"/>
    <col min="13828" max="13828" width="28.33203125" style="69" customWidth="1"/>
    <col min="13829" max="13829" width="12.6640625" style="69" bestFit="1" customWidth="1"/>
    <col min="13830" max="14080" width="22.88671875" style="69"/>
    <col min="14081" max="14081" width="22.6640625" style="69" bestFit="1" customWidth="1"/>
    <col min="14082" max="14082" width="13.44140625" style="69" bestFit="1" customWidth="1"/>
    <col min="14083" max="14083" width="7.33203125" style="69" bestFit="1" customWidth="1"/>
    <col min="14084" max="14084" width="28.33203125" style="69" customWidth="1"/>
    <col min="14085" max="14085" width="12.6640625" style="69" bestFit="1" customWidth="1"/>
    <col min="14086" max="14336" width="22.88671875" style="69"/>
    <col min="14337" max="14337" width="22.6640625" style="69" bestFit="1" customWidth="1"/>
    <col min="14338" max="14338" width="13.44140625" style="69" bestFit="1" customWidth="1"/>
    <col min="14339" max="14339" width="7.33203125" style="69" bestFit="1" customWidth="1"/>
    <col min="14340" max="14340" width="28.33203125" style="69" customWidth="1"/>
    <col min="14341" max="14341" width="12.6640625" style="69" bestFit="1" customWidth="1"/>
    <col min="14342" max="14592" width="22.88671875" style="69"/>
    <col min="14593" max="14593" width="22.6640625" style="69" bestFit="1" customWidth="1"/>
    <col min="14594" max="14594" width="13.44140625" style="69" bestFit="1" customWidth="1"/>
    <col min="14595" max="14595" width="7.33203125" style="69" bestFit="1" customWidth="1"/>
    <col min="14596" max="14596" width="28.33203125" style="69" customWidth="1"/>
    <col min="14597" max="14597" width="12.6640625" style="69" bestFit="1" customWidth="1"/>
    <col min="14598" max="14848" width="22.88671875" style="69"/>
    <col min="14849" max="14849" width="22.6640625" style="69" bestFit="1" customWidth="1"/>
    <col min="14850" max="14850" width="13.44140625" style="69" bestFit="1" customWidth="1"/>
    <col min="14851" max="14851" width="7.33203125" style="69" bestFit="1" customWidth="1"/>
    <col min="14852" max="14852" width="28.33203125" style="69" customWidth="1"/>
    <col min="14853" max="14853" width="12.6640625" style="69" bestFit="1" customWidth="1"/>
    <col min="14854" max="15104" width="22.88671875" style="69"/>
    <col min="15105" max="15105" width="22.6640625" style="69" bestFit="1" customWidth="1"/>
    <col min="15106" max="15106" width="13.44140625" style="69" bestFit="1" customWidth="1"/>
    <col min="15107" max="15107" width="7.33203125" style="69" bestFit="1" customWidth="1"/>
    <col min="15108" max="15108" width="28.33203125" style="69" customWidth="1"/>
    <col min="15109" max="15109" width="12.6640625" style="69" bestFit="1" customWidth="1"/>
    <col min="15110" max="15360" width="22.88671875" style="69"/>
    <col min="15361" max="15361" width="22.6640625" style="69" bestFit="1" customWidth="1"/>
    <col min="15362" max="15362" width="13.44140625" style="69" bestFit="1" customWidth="1"/>
    <col min="15363" max="15363" width="7.33203125" style="69" bestFit="1" customWidth="1"/>
    <col min="15364" max="15364" width="28.33203125" style="69" customWidth="1"/>
    <col min="15365" max="15365" width="12.6640625" style="69" bestFit="1" customWidth="1"/>
    <col min="15366" max="15616" width="22.88671875" style="69"/>
    <col min="15617" max="15617" width="22.6640625" style="69" bestFit="1" customWidth="1"/>
    <col min="15618" max="15618" width="13.44140625" style="69" bestFit="1" customWidth="1"/>
    <col min="15619" max="15619" width="7.33203125" style="69" bestFit="1" customWidth="1"/>
    <col min="15620" max="15620" width="28.33203125" style="69" customWidth="1"/>
    <col min="15621" max="15621" width="12.6640625" style="69" bestFit="1" customWidth="1"/>
    <col min="15622" max="15872" width="22.88671875" style="69"/>
    <col min="15873" max="15873" width="22.6640625" style="69" bestFit="1" customWidth="1"/>
    <col min="15874" max="15874" width="13.44140625" style="69" bestFit="1" customWidth="1"/>
    <col min="15875" max="15875" width="7.33203125" style="69" bestFit="1" customWidth="1"/>
    <col min="15876" max="15876" width="28.33203125" style="69" customWidth="1"/>
    <col min="15877" max="15877" width="12.6640625" style="69" bestFit="1" customWidth="1"/>
    <col min="15878" max="16128" width="22.88671875" style="69"/>
    <col min="16129" max="16129" width="22.6640625" style="69" bestFit="1" customWidth="1"/>
    <col min="16130" max="16130" width="13.44140625" style="69" bestFit="1" customWidth="1"/>
    <col min="16131" max="16131" width="7.33203125" style="69" bestFit="1" customWidth="1"/>
    <col min="16132" max="16132" width="28.33203125" style="69" customWidth="1"/>
    <col min="16133" max="16133" width="12.6640625" style="69" bestFit="1" customWidth="1"/>
    <col min="16134" max="16384" width="22.88671875" style="69"/>
  </cols>
  <sheetData>
    <row r="1" spans="1:11" ht="13.8" thickTop="1" x14ac:dyDescent="0.25">
      <c r="A1" s="132" t="s">
        <v>214</v>
      </c>
      <c r="B1" s="134">
        <f>PV(B3,B6,,B7)</f>
        <v>252572.46819458736</v>
      </c>
      <c r="D1" s="69">
        <f>-B7/(1+B3)^B6</f>
        <v>252572.46819458736</v>
      </c>
      <c r="F1" s="180" t="s">
        <v>214</v>
      </c>
      <c r="G1" s="181">
        <f>PV(G3,G6,,G7)</f>
        <v>252572.46819458736</v>
      </c>
      <c r="H1" s="150"/>
      <c r="I1" s="151"/>
    </row>
    <row r="2" spans="1:11" x14ac:dyDescent="0.25">
      <c r="A2" s="132" t="s">
        <v>135</v>
      </c>
      <c r="B2" s="130">
        <v>7.0000000000000007E-2</v>
      </c>
      <c r="F2" s="182" t="s">
        <v>135</v>
      </c>
      <c r="G2" s="130">
        <v>7.0000000000000007E-2</v>
      </c>
      <c r="H2" s="145"/>
      <c r="I2" s="153"/>
    </row>
    <row r="3" spans="1:11" x14ac:dyDescent="0.25">
      <c r="A3" s="132" t="s">
        <v>136</v>
      </c>
      <c r="B3" s="131">
        <f>B2/B5</f>
        <v>3.5000000000000003E-2</v>
      </c>
      <c r="F3" s="182" t="s">
        <v>136</v>
      </c>
      <c r="G3" s="131">
        <f>G2/G5</f>
        <v>3.5000000000000003E-2</v>
      </c>
      <c r="H3" s="145"/>
      <c r="I3" s="153"/>
    </row>
    <row r="4" spans="1:11" x14ac:dyDescent="0.25">
      <c r="A4" s="132" t="s">
        <v>10</v>
      </c>
      <c r="B4" s="75">
        <v>20</v>
      </c>
      <c r="F4" s="182" t="s">
        <v>10</v>
      </c>
      <c r="G4" s="75">
        <v>20</v>
      </c>
      <c r="H4" s="145"/>
      <c r="I4" s="153"/>
    </row>
    <row r="5" spans="1:11" x14ac:dyDescent="0.25">
      <c r="A5" s="132" t="s">
        <v>137</v>
      </c>
      <c r="B5" s="75">
        <v>2</v>
      </c>
      <c r="F5" s="182" t="s">
        <v>137</v>
      </c>
      <c r="G5" s="75">
        <v>2</v>
      </c>
      <c r="H5" s="145"/>
      <c r="I5" s="153"/>
    </row>
    <row r="6" spans="1:11" x14ac:dyDescent="0.25">
      <c r="A6" s="132" t="s">
        <v>12</v>
      </c>
      <c r="B6" s="131">
        <f>B4*B5</f>
        <v>40</v>
      </c>
      <c r="F6" s="182" t="s">
        <v>12</v>
      </c>
      <c r="G6" s="131">
        <f>G4*G5</f>
        <v>40</v>
      </c>
      <c r="H6" s="145"/>
      <c r="I6" s="183" t="s">
        <v>220</v>
      </c>
    </row>
    <row r="7" spans="1:11" x14ac:dyDescent="0.25">
      <c r="A7" s="132" t="s">
        <v>213</v>
      </c>
      <c r="B7" s="133">
        <v>-1000000</v>
      </c>
      <c r="E7" s="81"/>
      <c r="F7" s="182" t="s">
        <v>213</v>
      </c>
      <c r="G7" s="133">
        <v>-1000000</v>
      </c>
      <c r="H7" s="145"/>
      <c r="I7" s="153"/>
    </row>
    <row r="8" spans="1:11" x14ac:dyDescent="0.25">
      <c r="F8" s="170"/>
      <c r="G8" s="145"/>
      <c r="H8" s="145"/>
      <c r="I8" s="153"/>
    </row>
    <row r="9" spans="1:11" x14ac:dyDescent="0.25">
      <c r="A9" s="136" t="s">
        <v>47</v>
      </c>
      <c r="B9" s="136" t="s">
        <v>215</v>
      </c>
      <c r="C9" s="136" t="s">
        <v>143</v>
      </c>
      <c r="F9" s="169" t="s">
        <v>47</v>
      </c>
      <c r="G9" s="136" t="s">
        <v>215</v>
      </c>
      <c r="H9" s="136" t="s">
        <v>143</v>
      </c>
      <c r="I9" s="153"/>
    </row>
    <row r="10" spans="1:11" customFormat="1" ht="14.4" x14ac:dyDescent="0.3">
      <c r="A10" s="1">
        <v>0</v>
      </c>
      <c r="B10" s="1"/>
      <c r="C10" s="13">
        <f>B1</f>
        <v>252572.46819458736</v>
      </c>
      <c r="F10" s="184" cm="1">
        <f t="array" ref="F10:F50">_xlfn.SEQUENCE(G6+1,,0)</f>
        <v>0</v>
      </c>
      <c r="G10" s="1"/>
      <c r="H10" s="13" cm="1">
        <f t="array" ref="H10:H50">G1*(1+G3)^_xlfn.ANCHORARRAY(F10)</f>
        <v>252572.46819458736</v>
      </c>
      <c r="I10" s="185"/>
      <c r="K10" s="9"/>
    </row>
    <row r="11" spans="1:11" customFormat="1" ht="14.4" x14ac:dyDescent="0.3">
      <c r="A11" s="1">
        <v>1</v>
      </c>
      <c r="B11" s="13">
        <f>C10*$B$3</f>
        <v>8840.0363868105578</v>
      </c>
      <c r="C11" s="13">
        <f>C10+B11</f>
        <v>261412.50458139792</v>
      </c>
      <c r="F11" s="184">
        <v>1</v>
      </c>
      <c r="G11" s="13" cm="1">
        <f t="array" ref="G11:G50">_xlfn.DROP(_xlfn.ANCHORARRAY(H10),1)-_xlfn.DROP(_xlfn.ANCHORARRAY(H10),-1)</f>
        <v>8840.0363868105342</v>
      </c>
      <c r="H11" s="13">
        <v>261412.50458139789</v>
      </c>
      <c r="I11" s="185"/>
    </row>
    <row r="12" spans="1:11" customFormat="1" ht="14.4" x14ac:dyDescent="0.3">
      <c r="A12" s="1">
        <v>2</v>
      </c>
      <c r="B12" s="13">
        <f t="shared" ref="B12:B50" si="0">C11*$B$3</f>
        <v>9149.4376603489291</v>
      </c>
      <c r="C12" s="13">
        <f t="shared" ref="C12:C50" si="1">C11+B12</f>
        <v>270561.94224174687</v>
      </c>
      <c r="F12" s="184">
        <v>2</v>
      </c>
      <c r="G12" s="13">
        <v>9149.4376603489218</v>
      </c>
      <c r="H12" s="13">
        <v>270561.94224174682</v>
      </c>
      <c r="I12" s="185"/>
    </row>
    <row r="13" spans="1:11" customFormat="1" ht="14.4" x14ac:dyDescent="0.3">
      <c r="A13" s="1">
        <v>3</v>
      </c>
      <c r="B13" s="13">
        <f t="shared" si="0"/>
        <v>9469.6679784611406</v>
      </c>
      <c r="C13" s="13">
        <f t="shared" si="1"/>
        <v>280031.61022020801</v>
      </c>
      <c r="F13" s="184">
        <v>3</v>
      </c>
      <c r="G13" s="13">
        <v>9469.6679784610751</v>
      </c>
      <c r="H13" s="13">
        <v>280031.61022020789</v>
      </c>
      <c r="I13" s="185"/>
    </row>
    <row r="14" spans="1:11" customFormat="1" ht="14.4" x14ac:dyDescent="0.3">
      <c r="A14" s="1">
        <v>4</v>
      </c>
      <c r="B14" s="13">
        <f t="shared" si="0"/>
        <v>9801.1063577072819</v>
      </c>
      <c r="C14" s="13">
        <f t="shared" si="1"/>
        <v>289832.7165779153</v>
      </c>
      <c r="F14" s="184">
        <v>4</v>
      </c>
      <c r="G14" s="13">
        <v>9801.1063577072928</v>
      </c>
      <c r="H14" s="13">
        <v>289832.71657791518</v>
      </c>
      <c r="I14" s="185"/>
    </row>
    <row r="15" spans="1:11" customFormat="1" ht="14.4" x14ac:dyDescent="0.3">
      <c r="A15" s="1">
        <v>5</v>
      </c>
      <c r="B15" s="13">
        <f t="shared" si="0"/>
        <v>10144.145080227036</v>
      </c>
      <c r="C15" s="13">
        <f t="shared" si="1"/>
        <v>299976.86165814236</v>
      </c>
      <c r="F15" s="184">
        <v>5</v>
      </c>
      <c r="G15" s="13">
        <v>10144.145080226997</v>
      </c>
      <c r="H15" s="13">
        <v>299976.86165814218</v>
      </c>
      <c r="I15" s="185"/>
    </row>
    <row r="16" spans="1:11" customFormat="1" ht="14.4" x14ac:dyDescent="0.3">
      <c r="A16" s="1">
        <v>6</v>
      </c>
      <c r="B16" s="13">
        <f t="shared" si="0"/>
        <v>10499.190158034984</v>
      </c>
      <c r="C16" s="13">
        <f t="shared" si="1"/>
        <v>310476.05181617732</v>
      </c>
      <c r="F16" s="184">
        <v>6</v>
      </c>
      <c r="G16" s="13">
        <v>10499.190158034966</v>
      </c>
      <c r="H16" s="13">
        <v>310476.05181617715</v>
      </c>
      <c r="I16" s="185"/>
    </row>
    <row r="17" spans="1:9" customFormat="1" ht="14.4" x14ac:dyDescent="0.3">
      <c r="A17" s="1">
        <v>7</v>
      </c>
      <c r="B17" s="13">
        <f t="shared" si="0"/>
        <v>10866.661813566207</v>
      </c>
      <c r="C17" s="13">
        <f t="shared" si="1"/>
        <v>321342.71362974355</v>
      </c>
      <c r="F17" s="184">
        <v>7</v>
      </c>
      <c r="G17" s="13">
        <v>10866.66181356617</v>
      </c>
      <c r="H17" s="13">
        <v>321342.71362974332</v>
      </c>
      <c r="I17" s="185"/>
    </row>
    <row r="18" spans="1:9" customFormat="1" ht="14.4" x14ac:dyDescent="0.3">
      <c r="A18" s="1">
        <v>8</v>
      </c>
      <c r="B18" s="13">
        <f t="shared" si="0"/>
        <v>11246.994977041026</v>
      </c>
      <c r="C18" s="13">
        <f t="shared" si="1"/>
        <v>332589.70860678458</v>
      </c>
      <c r="F18" s="184">
        <v>8</v>
      </c>
      <c r="G18" s="13">
        <v>11246.994977040973</v>
      </c>
      <c r="H18" s="13">
        <v>332589.70860678429</v>
      </c>
      <c r="I18" s="185"/>
    </row>
    <row r="19" spans="1:9" customFormat="1" ht="14.4" x14ac:dyDescent="0.3">
      <c r="A19" s="1">
        <v>9</v>
      </c>
      <c r="B19" s="13">
        <f t="shared" si="0"/>
        <v>11640.639801237461</v>
      </c>
      <c r="C19" s="13">
        <f t="shared" si="1"/>
        <v>344230.34840802202</v>
      </c>
      <c r="F19" s="184">
        <v>9</v>
      </c>
      <c r="G19" s="13">
        <v>11640.639801237383</v>
      </c>
      <c r="H19" s="13">
        <v>344230.34840802167</v>
      </c>
      <c r="I19" s="185"/>
    </row>
    <row r="20" spans="1:9" customFormat="1" ht="14.4" x14ac:dyDescent="0.3">
      <c r="A20" s="1">
        <v>10</v>
      </c>
      <c r="B20" s="13">
        <f t="shared" si="0"/>
        <v>12048.062194280772</v>
      </c>
      <c r="C20" s="13">
        <f t="shared" si="1"/>
        <v>356278.41060230281</v>
      </c>
      <c r="F20" s="184">
        <v>10</v>
      </c>
      <c r="G20" s="13">
        <v>12048.062194280734</v>
      </c>
      <c r="H20" s="13">
        <v>356278.41060230241</v>
      </c>
      <c r="I20" s="185"/>
    </row>
    <row r="21" spans="1:9" customFormat="1" ht="14.4" x14ac:dyDescent="0.3">
      <c r="A21" s="1">
        <v>11</v>
      </c>
      <c r="B21" s="13">
        <f t="shared" si="0"/>
        <v>12469.7443710806</v>
      </c>
      <c r="C21" s="13">
        <f t="shared" si="1"/>
        <v>368748.15497338341</v>
      </c>
      <c r="F21" s="184">
        <v>11</v>
      </c>
      <c r="G21" s="13">
        <v>12469.744371080596</v>
      </c>
      <c r="H21" s="13">
        <v>368748.154973383</v>
      </c>
      <c r="I21" s="185"/>
    </row>
    <row r="22" spans="1:9" customFormat="1" ht="14.4" x14ac:dyDescent="0.3">
      <c r="A22" s="1">
        <v>12</v>
      </c>
      <c r="B22" s="13">
        <f t="shared" si="0"/>
        <v>12906.185424068421</v>
      </c>
      <c r="C22" s="13">
        <f t="shared" si="1"/>
        <v>381654.34039745183</v>
      </c>
      <c r="F22" s="184">
        <v>12</v>
      </c>
      <c r="G22" s="13">
        <v>12906.185424068419</v>
      </c>
      <c r="H22" s="13">
        <v>381654.34039745142</v>
      </c>
      <c r="I22" s="185"/>
    </row>
    <row r="23" spans="1:9" customFormat="1" ht="14.4" x14ac:dyDescent="0.3">
      <c r="A23" s="1">
        <v>13</v>
      </c>
      <c r="B23" s="13">
        <f t="shared" si="0"/>
        <v>13357.901913910815</v>
      </c>
      <c r="C23" s="13">
        <f t="shared" si="1"/>
        <v>395012.24231136264</v>
      </c>
      <c r="F23" s="184">
        <v>13</v>
      </c>
      <c r="G23" s="13">
        <v>13357.901913910697</v>
      </c>
      <c r="H23" s="13">
        <v>395012.24231136212</v>
      </c>
      <c r="I23" s="185"/>
    </row>
    <row r="24" spans="1:9" customFormat="1" ht="14.4" x14ac:dyDescent="0.3">
      <c r="A24" s="1">
        <v>14</v>
      </c>
      <c r="B24" s="13">
        <f t="shared" si="0"/>
        <v>13825.428480897694</v>
      </c>
      <c r="C24" s="13">
        <f t="shared" si="1"/>
        <v>408837.67079226032</v>
      </c>
      <c r="F24" s="184">
        <v>14</v>
      </c>
      <c r="G24" s="13">
        <v>13825.428480897739</v>
      </c>
      <c r="H24" s="13">
        <v>408837.67079225986</v>
      </c>
      <c r="I24" s="185"/>
    </row>
    <row r="25" spans="1:9" customFormat="1" ht="14.4" x14ac:dyDescent="0.3">
      <c r="A25" s="1">
        <v>15</v>
      </c>
      <c r="B25" s="13">
        <f t="shared" si="0"/>
        <v>14309.318477729114</v>
      </c>
      <c r="C25" s="13">
        <f t="shared" si="1"/>
        <v>423146.98926998943</v>
      </c>
      <c r="F25" s="184">
        <v>15</v>
      </c>
      <c r="G25" s="13">
        <v>14309.318477729044</v>
      </c>
      <c r="H25" s="13">
        <v>423146.9892699889</v>
      </c>
      <c r="I25" s="185"/>
    </row>
    <row r="26" spans="1:9" customFormat="1" ht="14.4" x14ac:dyDescent="0.3">
      <c r="A26" s="1">
        <v>16</v>
      </c>
      <c r="B26" s="13">
        <f t="shared" si="0"/>
        <v>14810.144624449631</v>
      </c>
      <c r="C26" s="13">
        <f t="shared" si="1"/>
        <v>437957.13389443903</v>
      </c>
      <c r="F26" s="184">
        <v>16</v>
      </c>
      <c r="G26" s="13">
        <v>14810.144624449487</v>
      </c>
      <c r="H26" s="13">
        <v>437957.13389443839</v>
      </c>
      <c r="I26" s="185"/>
    </row>
    <row r="27" spans="1:9" customFormat="1" ht="14.4" x14ac:dyDescent="0.3">
      <c r="A27" s="1">
        <v>17</v>
      </c>
      <c r="B27" s="13">
        <f t="shared" si="0"/>
        <v>15328.499686305368</v>
      </c>
      <c r="C27" s="13">
        <f t="shared" si="1"/>
        <v>453285.63358074438</v>
      </c>
      <c r="F27" s="184">
        <v>17</v>
      </c>
      <c r="G27" s="13">
        <v>15328.499686305353</v>
      </c>
      <c r="H27" s="13">
        <v>453285.63358074374</v>
      </c>
      <c r="I27" s="185"/>
    </row>
    <row r="28" spans="1:9" customFormat="1" ht="14.4" x14ac:dyDescent="0.3">
      <c r="A28" s="1">
        <v>18</v>
      </c>
      <c r="B28" s="13">
        <f t="shared" si="0"/>
        <v>15864.997175326054</v>
      </c>
      <c r="C28" s="13">
        <f t="shared" si="1"/>
        <v>469150.63075607043</v>
      </c>
      <c r="F28" s="184">
        <v>18</v>
      </c>
      <c r="G28" s="13">
        <v>15864.997175325989</v>
      </c>
      <c r="H28" s="13">
        <v>469150.63075606973</v>
      </c>
      <c r="I28" s="185"/>
    </row>
    <row r="29" spans="1:9" customFormat="1" ht="14.4" x14ac:dyDescent="0.3">
      <c r="A29" s="1">
        <v>19</v>
      </c>
      <c r="B29" s="13">
        <f t="shared" si="0"/>
        <v>16420.272076462468</v>
      </c>
      <c r="C29" s="13">
        <f t="shared" si="1"/>
        <v>485570.90283253288</v>
      </c>
      <c r="F29" s="184">
        <v>19</v>
      </c>
      <c r="G29" s="13">
        <v>16420.272076462395</v>
      </c>
      <c r="H29" s="13">
        <v>485570.90283253213</v>
      </c>
      <c r="I29" s="185"/>
    </row>
    <row r="30" spans="1:9" customFormat="1" ht="14.4" x14ac:dyDescent="0.3">
      <c r="A30" s="1">
        <v>20</v>
      </c>
      <c r="B30" s="13">
        <f t="shared" si="0"/>
        <v>16994.981599138653</v>
      </c>
      <c r="C30" s="13">
        <f t="shared" si="1"/>
        <v>502565.88443167153</v>
      </c>
      <c r="F30" s="184">
        <v>20</v>
      </c>
      <c r="G30" s="13">
        <v>16994.981599138584</v>
      </c>
      <c r="H30" s="13">
        <v>502565.88443167071</v>
      </c>
      <c r="I30" s="185"/>
    </row>
    <row r="31" spans="1:9" customFormat="1" ht="14.4" x14ac:dyDescent="0.3">
      <c r="A31" s="1">
        <v>21</v>
      </c>
      <c r="B31" s="13">
        <f t="shared" si="0"/>
        <v>17589.805955108506</v>
      </c>
      <c r="C31" s="13">
        <f t="shared" si="1"/>
        <v>520155.69038678001</v>
      </c>
      <c r="F31" s="184">
        <v>21</v>
      </c>
      <c r="G31" s="13">
        <v>17589.805955108372</v>
      </c>
      <c r="H31" s="13">
        <v>520155.69038677908</v>
      </c>
      <c r="I31" s="185"/>
    </row>
    <row r="32" spans="1:9" customFormat="1" ht="14.4" x14ac:dyDescent="0.3">
      <c r="A32" s="1">
        <v>22</v>
      </c>
      <c r="B32" s="13">
        <f t="shared" si="0"/>
        <v>18205.449163537302</v>
      </c>
      <c r="C32" s="13">
        <f t="shared" si="1"/>
        <v>538361.13955031731</v>
      </c>
      <c r="F32" s="184">
        <v>22</v>
      </c>
      <c r="G32" s="13">
        <v>18205.449163537298</v>
      </c>
      <c r="H32" s="13">
        <v>538361.13955031638</v>
      </c>
      <c r="I32" s="185"/>
    </row>
    <row r="33" spans="1:9" customFormat="1" ht="14.4" x14ac:dyDescent="0.3">
      <c r="A33" s="1">
        <v>23</v>
      </c>
      <c r="B33" s="13">
        <f t="shared" si="0"/>
        <v>18842.639884261109</v>
      </c>
      <c r="C33" s="13">
        <f t="shared" si="1"/>
        <v>557203.77943457838</v>
      </c>
      <c r="F33" s="184">
        <v>23</v>
      </c>
      <c r="G33" s="13">
        <v>18842.639884261065</v>
      </c>
      <c r="H33" s="13">
        <v>557203.77943457745</v>
      </c>
      <c r="I33" s="185"/>
    </row>
    <row r="34" spans="1:9" customFormat="1" ht="14.4" x14ac:dyDescent="0.3">
      <c r="A34" s="1">
        <v>24</v>
      </c>
      <c r="B34" s="13">
        <f t="shared" si="0"/>
        <v>19502.132280210244</v>
      </c>
      <c r="C34" s="13">
        <f t="shared" si="1"/>
        <v>576705.91171478864</v>
      </c>
      <c r="F34" s="184">
        <v>24</v>
      </c>
      <c r="G34" s="13">
        <v>19502.132280210033</v>
      </c>
      <c r="H34" s="13">
        <v>576705.91171478748</v>
      </c>
      <c r="I34" s="185"/>
    </row>
    <row r="35" spans="1:9" customFormat="1" ht="14.4" x14ac:dyDescent="0.3">
      <c r="A35" s="1">
        <v>25</v>
      </c>
      <c r="B35" s="13">
        <f t="shared" si="0"/>
        <v>20184.706910017605</v>
      </c>
      <c r="C35" s="13">
        <f t="shared" si="1"/>
        <v>596890.61862480629</v>
      </c>
      <c r="F35" s="184">
        <v>25</v>
      </c>
      <c r="G35" s="13">
        <v>20184.706910017529</v>
      </c>
      <c r="H35" s="13">
        <v>596890.61862480501</v>
      </c>
      <c r="I35" s="185"/>
    </row>
    <row r="36" spans="1:9" customFormat="1" ht="14.4" x14ac:dyDescent="0.3">
      <c r="A36" s="1">
        <v>26</v>
      </c>
      <c r="B36" s="13">
        <f t="shared" si="0"/>
        <v>20891.171651868222</v>
      </c>
      <c r="C36" s="13">
        <f t="shared" si="1"/>
        <v>617781.79027667455</v>
      </c>
      <c r="F36" s="184">
        <v>26</v>
      </c>
      <c r="G36" s="13">
        <v>20891.17165186815</v>
      </c>
      <c r="H36" s="13">
        <v>617781.79027667316</v>
      </c>
      <c r="I36" s="185"/>
    </row>
    <row r="37" spans="1:9" customFormat="1" ht="14.4" x14ac:dyDescent="0.3">
      <c r="A37" s="1">
        <v>27</v>
      </c>
      <c r="B37" s="13">
        <f t="shared" si="0"/>
        <v>21622.362659683611</v>
      </c>
      <c r="C37" s="13">
        <f t="shared" si="1"/>
        <v>639404.15293635812</v>
      </c>
      <c r="F37" s="184">
        <v>27</v>
      </c>
      <c r="G37" s="13">
        <v>21622.362659683567</v>
      </c>
      <c r="H37" s="13">
        <v>639404.15293635672</v>
      </c>
      <c r="I37" s="185"/>
    </row>
    <row r="38" spans="1:9" customFormat="1" ht="14.4" x14ac:dyDescent="0.3">
      <c r="A38" s="1">
        <v>28</v>
      </c>
      <c r="B38" s="13">
        <f t="shared" si="0"/>
        <v>22379.145352772535</v>
      </c>
      <c r="C38" s="13">
        <f t="shared" si="1"/>
        <v>661783.29828913067</v>
      </c>
      <c r="F38" s="184">
        <v>28</v>
      </c>
      <c r="G38" s="13">
        <v>22379.145352772553</v>
      </c>
      <c r="H38" s="13">
        <v>661783.29828912928</v>
      </c>
      <c r="I38" s="185"/>
    </row>
    <row r="39" spans="1:9" customFormat="1" ht="14.4" x14ac:dyDescent="0.3">
      <c r="A39" s="1">
        <v>29</v>
      </c>
      <c r="B39" s="13">
        <f t="shared" si="0"/>
        <v>23162.415440119577</v>
      </c>
      <c r="C39" s="13">
        <f t="shared" si="1"/>
        <v>684945.71372925024</v>
      </c>
      <c r="F39" s="184">
        <v>29</v>
      </c>
      <c r="G39" s="13">
        <v>23162.415440119337</v>
      </c>
      <c r="H39" s="13">
        <v>684945.71372924861</v>
      </c>
      <c r="I39" s="185"/>
    </row>
    <row r="40" spans="1:9" customFormat="1" ht="14.4" x14ac:dyDescent="0.3">
      <c r="A40" s="1">
        <v>30</v>
      </c>
      <c r="B40" s="13">
        <f t="shared" si="0"/>
        <v>23973.099980523762</v>
      </c>
      <c r="C40" s="13">
        <f t="shared" si="1"/>
        <v>708918.81370977405</v>
      </c>
      <c r="F40" s="184">
        <v>30</v>
      </c>
      <c r="G40" s="13">
        <v>23973.099980523693</v>
      </c>
      <c r="H40" s="13">
        <v>708918.81370977231</v>
      </c>
      <c r="I40" s="185"/>
    </row>
    <row r="41" spans="1:9" customFormat="1" ht="14.4" x14ac:dyDescent="0.3">
      <c r="A41" s="1">
        <v>31</v>
      </c>
      <c r="B41" s="13">
        <f t="shared" si="0"/>
        <v>24812.158479842095</v>
      </c>
      <c r="C41" s="13">
        <f t="shared" si="1"/>
        <v>733730.97218961618</v>
      </c>
      <c r="F41" s="184">
        <v>31</v>
      </c>
      <c r="G41" s="13">
        <v>24812.158479842008</v>
      </c>
      <c r="H41" s="13">
        <v>733730.97218961432</v>
      </c>
      <c r="I41" s="185"/>
    </row>
    <row r="42" spans="1:9" customFormat="1" ht="14.4" x14ac:dyDescent="0.3">
      <c r="A42" s="1">
        <v>32</v>
      </c>
      <c r="B42" s="13">
        <f t="shared" si="0"/>
        <v>25680.58402663657</v>
      </c>
      <c r="C42" s="13">
        <f t="shared" si="1"/>
        <v>759411.55621625273</v>
      </c>
      <c r="F42" s="184">
        <v>32</v>
      </c>
      <c r="G42" s="13">
        <v>25680.584026636323</v>
      </c>
      <c r="H42" s="13">
        <v>759411.55621625064</v>
      </c>
      <c r="I42" s="185"/>
    </row>
    <row r="43" spans="1:9" customFormat="1" ht="14.4" x14ac:dyDescent="0.3">
      <c r="A43" s="1">
        <v>33</v>
      </c>
      <c r="B43" s="13">
        <f t="shared" si="0"/>
        <v>26579.404467568849</v>
      </c>
      <c r="C43" s="13">
        <f t="shared" si="1"/>
        <v>785990.96068382158</v>
      </c>
      <c r="F43" s="184">
        <v>33</v>
      </c>
      <c r="G43" s="13">
        <v>26579.404467568616</v>
      </c>
      <c r="H43" s="13">
        <v>785990.96068381926</v>
      </c>
      <c r="I43" s="185"/>
    </row>
    <row r="44" spans="1:9" customFormat="1" ht="14.4" x14ac:dyDescent="0.3">
      <c r="A44" s="1">
        <v>34</v>
      </c>
      <c r="B44" s="13">
        <f t="shared" si="0"/>
        <v>27509.683623933757</v>
      </c>
      <c r="C44" s="13">
        <f t="shared" si="1"/>
        <v>813500.6443077554</v>
      </c>
      <c r="F44" s="184">
        <v>34</v>
      </c>
      <c r="G44" s="13">
        <v>27509.683623933699</v>
      </c>
      <c r="H44" s="13">
        <v>813500.64430775295</v>
      </c>
      <c r="I44" s="185"/>
    </row>
    <row r="45" spans="1:9" customFormat="1" ht="14.4" x14ac:dyDescent="0.3">
      <c r="A45" s="1">
        <v>35</v>
      </c>
      <c r="B45" s="13">
        <f t="shared" si="0"/>
        <v>28472.522550771442</v>
      </c>
      <c r="C45" s="13">
        <f t="shared" si="1"/>
        <v>841973.16685852688</v>
      </c>
      <c r="F45" s="184">
        <v>35</v>
      </c>
      <c r="G45" s="13">
        <v>28472.522550771246</v>
      </c>
      <c r="H45" s="13">
        <v>841973.1668585242</v>
      </c>
      <c r="I45" s="185"/>
    </row>
    <row r="46" spans="1:9" customFormat="1" ht="14.4" x14ac:dyDescent="0.3">
      <c r="A46" s="1">
        <v>36</v>
      </c>
      <c r="B46" s="13">
        <f t="shared" si="0"/>
        <v>29469.060840048445</v>
      </c>
      <c r="C46" s="13">
        <f t="shared" si="1"/>
        <v>871442.22769857536</v>
      </c>
      <c r="F46" s="184">
        <v>36</v>
      </c>
      <c r="G46" s="13">
        <v>29469.060840048362</v>
      </c>
      <c r="H46" s="13">
        <v>871442.22769857256</v>
      </c>
      <c r="I46" s="185"/>
    </row>
    <row r="47" spans="1:9" customFormat="1" ht="14.4" x14ac:dyDescent="0.3">
      <c r="A47" s="1">
        <v>37</v>
      </c>
      <c r="B47" s="13">
        <f t="shared" si="0"/>
        <v>30500.477969450141</v>
      </c>
      <c r="C47" s="13">
        <f t="shared" si="1"/>
        <v>901942.70566802553</v>
      </c>
      <c r="F47" s="184">
        <v>37</v>
      </c>
      <c r="G47" s="13">
        <v>30500.477969449945</v>
      </c>
      <c r="H47" s="13">
        <v>901942.70566802251</v>
      </c>
      <c r="I47" s="185"/>
    </row>
    <row r="48" spans="1:9" customFormat="1" ht="14.4" x14ac:dyDescent="0.3">
      <c r="A48" s="1">
        <v>38</v>
      </c>
      <c r="B48" s="13">
        <f t="shared" si="0"/>
        <v>31567.994698380895</v>
      </c>
      <c r="C48" s="13">
        <f t="shared" si="1"/>
        <v>933510.70036640647</v>
      </c>
      <c r="F48" s="184">
        <v>38</v>
      </c>
      <c r="G48" s="13">
        <v>31567.994698380819</v>
      </c>
      <c r="H48" s="13">
        <v>933510.70036640333</v>
      </c>
      <c r="I48" s="185"/>
    </row>
    <row r="49" spans="1:9" customFormat="1" ht="14.4" x14ac:dyDescent="0.3">
      <c r="A49" s="1">
        <v>39</v>
      </c>
      <c r="B49" s="13">
        <f t="shared" si="0"/>
        <v>32672.87451282423</v>
      </c>
      <c r="C49" s="13">
        <f t="shared" si="1"/>
        <v>966183.5748792307</v>
      </c>
      <c r="F49" s="184">
        <v>39</v>
      </c>
      <c r="G49" s="13">
        <v>32672.874512823881</v>
      </c>
      <c r="H49" s="13">
        <v>966183.57487922721</v>
      </c>
      <c r="I49" s="185"/>
    </row>
    <row r="50" spans="1:9" customFormat="1" ht="15" thickBot="1" x14ac:dyDescent="0.35">
      <c r="A50" s="1">
        <v>40</v>
      </c>
      <c r="B50" s="13">
        <f t="shared" si="0"/>
        <v>33816.425120773078</v>
      </c>
      <c r="C50" s="13">
        <f t="shared" si="1"/>
        <v>1000000.0000000037</v>
      </c>
      <c r="F50" s="186">
        <v>40</v>
      </c>
      <c r="G50" s="164">
        <v>33816.425120772794</v>
      </c>
      <c r="H50" s="164">
        <v>1000000</v>
      </c>
      <c r="I50" s="187"/>
    </row>
    <row r="51" spans="1:9" customFormat="1" ht="15" thickTop="1" x14ac:dyDescent="0.3"/>
    <row r="52" spans="1:9" customFormat="1" ht="14.4" x14ac:dyDescent="0.3"/>
    <row r="53" spans="1:9" customFormat="1" ht="14.4" x14ac:dyDescent="0.3"/>
  </sheetData>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F53"/>
  <sheetViews>
    <sheetView zoomScale="115" zoomScaleNormal="115" workbookViewId="0"/>
  </sheetViews>
  <sheetFormatPr defaultColWidth="22.88671875" defaultRowHeight="13.2" x14ac:dyDescent="0.25"/>
  <cols>
    <col min="1" max="1" width="22.6640625" style="69" bestFit="1" customWidth="1"/>
    <col min="2" max="2" width="13.44140625" style="69" bestFit="1" customWidth="1"/>
    <col min="3" max="3" width="7.33203125" style="69" bestFit="1" customWidth="1"/>
    <col min="4" max="4" width="37.77734375" style="69" customWidth="1"/>
    <col min="5" max="5" width="12.6640625" style="69" bestFit="1" customWidth="1"/>
    <col min="6" max="256" width="22.88671875" style="69"/>
    <col min="257" max="257" width="22.6640625" style="69" bestFit="1" customWidth="1"/>
    <col min="258" max="258" width="13.44140625" style="69" bestFit="1" customWidth="1"/>
    <col min="259" max="259" width="7.33203125" style="69" bestFit="1" customWidth="1"/>
    <col min="260" max="260" width="28.33203125" style="69" customWidth="1"/>
    <col min="261" max="261" width="12.6640625" style="69" bestFit="1" customWidth="1"/>
    <col min="262" max="512" width="22.88671875" style="69"/>
    <col min="513" max="513" width="22.6640625" style="69" bestFit="1" customWidth="1"/>
    <col min="514" max="514" width="13.44140625" style="69" bestFit="1" customWidth="1"/>
    <col min="515" max="515" width="7.33203125" style="69" bestFit="1" customWidth="1"/>
    <col min="516" max="516" width="28.33203125" style="69" customWidth="1"/>
    <col min="517" max="517" width="12.6640625" style="69" bestFit="1" customWidth="1"/>
    <col min="518" max="768" width="22.88671875" style="69"/>
    <col min="769" max="769" width="22.6640625" style="69" bestFit="1" customWidth="1"/>
    <col min="770" max="770" width="13.44140625" style="69" bestFit="1" customWidth="1"/>
    <col min="771" max="771" width="7.33203125" style="69" bestFit="1" customWidth="1"/>
    <col min="772" max="772" width="28.33203125" style="69" customWidth="1"/>
    <col min="773" max="773" width="12.6640625" style="69" bestFit="1" customWidth="1"/>
    <col min="774" max="1024" width="22.88671875" style="69"/>
    <col min="1025" max="1025" width="22.6640625" style="69" bestFit="1" customWidth="1"/>
    <col min="1026" max="1026" width="13.44140625" style="69" bestFit="1" customWidth="1"/>
    <col min="1027" max="1027" width="7.33203125" style="69" bestFit="1" customWidth="1"/>
    <col min="1028" max="1028" width="28.33203125" style="69" customWidth="1"/>
    <col min="1029" max="1029" width="12.6640625" style="69" bestFit="1" customWidth="1"/>
    <col min="1030" max="1280" width="22.88671875" style="69"/>
    <col min="1281" max="1281" width="22.6640625" style="69" bestFit="1" customWidth="1"/>
    <col min="1282" max="1282" width="13.44140625" style="69" bestFit="1" customWidth="1"/>
    <col min="1283" max="1283" width="7.33203125" style="69" bestFit="1" customWidth="1"/>
    <col min="1284" max="1284" width="28.33203125" style="69" customWidth="1"/>
    <col min="1285" max="1285" width="12.6640625" style="69" bestFit="1" customWidth="1"/>
    <col min="1286" max="1536" width="22.88671875" style="69"/>
    <col min="1537" max="1537" width="22.6640625" style="69" bestFit="1" customWidth="1"/>
    <col min="1538" max="1538" width="13.44140625" style="69" bestFit="1" customWidth="1"/>
    <col min="1539" max="1539" width="7.33203125" style="69" bestFit="1" customWidth="1"/>
    <col min="1540" max="1540" width="28.33203125" style="69" customWidth="1"/>
    <col min="1541" max="1541" width="12.6640625" style="69" bestFit="1" customWidth="1"/>
    <col min="1542" max="1792" width="22.88671875" style="69"/>
    <col min="1793" max="1793" width="22.6640625" style="69" bestFit="1" customWidth="1"/>
    <col min="1794" max="1794" width="13.44140625" style="69" bestFit="1" customWidth="1"/>
    <col min="1795" max="1795" width="7.33203125" style="69" bestFit="1" customWidth="1"/>
    <col min="1796" max="1796" width="28.33203125" style="69" customWidth="1"/>
    <col min="1797" max="1797" width="12.6640625" style="69" bestFit="1" customWidth="1"/>
    <col min="1798" max="2048" width="22.88671875" style="69"/>
    <col min="2049" max="2049" width="22.6640625" style="69" bestFit="1" customWidth="1"/>
    <col min="2050" max="2050" width="13.44140625" style="69" bestFit="1" customWidth="1"/>
    <col min="2051" max="2051" width="7.33203125" style="69" bestFit="1" customWidth="1"/>
    <col min="2052" max="2052" width="28.33203125" style="69" customWidth="1"/>
    <col min="2053" max="2053" width="12.6640625" style="69" bestFit="1" customWidth="1"/>
    <col min="2054" max="2304" width="22.88671875" style="69"/>
    <col min="2305" max="2305" width="22.6640625" style="69" bestFit="1" customWidth="1"/>
    <col min="2306" max="2306" width="13.44140625" style="69" bestFit="1" customWidth="1"/>
    <col min="2307" max="2307" width="7.33203125" style="69" bestFit="1" customWidth="1"/>
    <col min="2308" max="2308" width="28.33203125" style="69" customWidth="1"/>
    <col min="2309" max="2309" width="12.6640625" style="69" bestFit="1" customWidth="1"/>
    <col min="2310" max="2560" width="22.88671875" style="69"/>
    <col min="2561" max="2561" width="22.6640625" style="69" bestFit="1" customWidth="1"/>
    <col min="2562" max="2562" width="13.44140625" style="69" bestFit="1" customWidth="1"/>
    <col min="2563" max="2563" width="7.33203125" style="69" bestFit="1" customWidth="1"/>
    <col min="2564" max="2564" width="28.33203125" style="69" customWidth="1"/>
    <col min="2565" max="2565" width="12.6640625" style="69" bestFit="1" customWidth="1"/>
    <col min="2566" max="2816" width="22.88671875" style="69"/>
    <col min="2817" max="2817" width="22.6640625" style="69" bestFit="1" customWidth="1"/>
    <col min="2818" max="2818" width="13.44140625" style="69" bestFit="1" customWidth="1"/>
    <col min="2819" max="2819" width="7.33203125" style="69" bestFit="1" customWidth="1"/>
    <col min="2820" max="2820" width="28.33203125" style="69" customWidth="1"/>
    <col min="2821" max="2821" width="12.6640625" style="69" bestFit="1" customWidth="1"/>
    <col min="2822" max="3072" width="22.88671875" style="69"/>
    <col min="3073" max="3073" width="22.6640625" style="69" bestFit="1" customWidth="1"/>
    <col min="3074" max="3074" width="13.44140625" style="69" bestFit="1" customWidth="1"/>
    <col min="3075" max="3075" width="7.33203125" style="69" bestFit="1" customWidth="1"/>
    <col min="3076" max="3076" width="28.33203125" style="69" customWidth="1"/>
    <col min="3077" max="3077" width="12.6640625" style="69" bestFit="1" customWidth="1"/>
    <col min="3078" max="3328" width="22.88671875" style="69"/>
    <col min="3329" max="3329" width="22.6640625" style="69" bestFit="1" customWidth="1"/>
    <col min="3330" max="3330" width="13.44140625" style="69" bestFit="1" customWidth="1"/>
    <col min="3331" max="3331" width="7.33203125" style="69" bestFit="1" customWidth="1"/>
    <col min="3332" max="3332" width="28.33203125" style="69" customWidth="1"/>
    <col min="3333" max="3333" width="12.6640625" style="69" bestFit="1" customWidth="1"/>
    <col min="3334" max="3584" width="22.88671875" style="69"/>
    <col min="3585" max="3585" width="22.6640625" style="69" bestFit="1" customWidth="1"/>
    <col min="3586" max="3586" width="13.44140625" style="69" bestFit="1" customWidth="1"/>
    <col min="3587" max="3587" width="7.33203125" style="69" bestFit="1" customWidth="1"/>
    <col min="3588" max="3588" width="28.33203125" style="69" customWidth="1"/>
    <col min="3589" max="3589" width="12.6640625" style="69" bestFit="1" customWidth="1"/>
    <col min="3590" max="3840" width="22.88671875" style="69"/>
    <col min="3841" max="3841" width="22.6640625" style="69" bestFit="1" customWidth="1"/>
    <col min="3842" max="3842" width="13.44140625" style="69" bestFit="1" customWidth="1"/>
    <col min="3843" max="3843" width="7.33203125" style="69" bestFit="1" customWidth="1"/>
    <col min="3844" max="3844" width="28.33203125" style="69" customWidth="1"/>
    <col min="3845" max="3845" width="12.6640625" style="69" bestFit="1" customWidth="1"/>
    <col min="3846" max="4096" width="22.88671875" style="69"/>
    <col min="4097" max="4097" width="22.6640625" style="69" bestFit="1" customWidth="1"/>
    <col min="4098" max="4098" width="13.44140625" style="69" bestFit="1" customWidth="1"/>
    <col min="4099" max="4099" width="7.33203125" style="69" bestFit="1" customWidth="1"/>
    <col min="4100" max="4100" width="28.33203125" style="69" customWidth="1"/>
    <col min="4101" max="4101" width="12.6640625" style="69" bestFit="1" customWidth="1"/>
    <col min="4102" max="4352" width="22.88671875" style="69"/>
    <col min="4353" max="4353" width="22.6640625" style="69" bestFit="1" customWidth="1"/>
    <col min="4354" max="4354" width="13.44140625" style="69" bestFit="1" customWidth="1"/>
    <col min="4355" max="4355" width="7.33203125" style="69" bestFit="1" customWidth="1"/>
    <col min="4356" max="4356" width="28.33203125" style="69" customWidth="1"/>
    <col min="4357" max="4357" width="12.6640625" style="69" bestFit="1" customWidth="1"/>
    <col min="4358" max="4608" width="22.88671875" style="69"/>
    <col min="4609" max="4609" width="22.6640625" style="69" bestFit="1" customWidth="1"/>
    <col min="4610" max="4610" width="13.44140625" style="69" bestFit="1" customWidth="1"/>
    <col min="4611" max="4611" width="7.33203125" style="69" bestFit="1" customWidth="1"/>
    <col min="4612" max="4612" width="28.33203125" style="69" customWidth="1"/>
    <col min="4613" max="4613" width="12.6640625" style="69" bestFit="1" customWidth="1"/>
    <col min="4614" max="4864" width="22.88671875" style="69"/>
    <col min="4865" max="4865" width="22.6640625" style="69" bestFit="1" customWidth="1"/>
    <col min="4866" max="4866" width="13.44140625" style="69" bestFit="1" customWidth="1"/>
    <col min="4867" max="4867" width="7.33203125" style="69" bestFit="1" customWidth="1"/>
    <col min="4868" max="4868" width="28.33203125" style="69" customWidth="1"/>
    <col min="4869" max="4869" width="12.6640625" style="69" bestFit="1" customWidth="1"/>
    <col min="4870" max="5120" width="22.88671875" style="69"/>
    <col min="5121" max="5121" width="22.6640625" style="69" bestFit="1" customWidth="1"/>
    <col min="5122" max="5122" width="13.44140625" style="69" bestFit="1" customWidth="1"/>
    <col min="5123" max="5123" width="7.33203125" style="69" bestFit="1" customWidth="1"/>
    <col min="5124" max="5124" width="28.33203125" style="69" customWidth="1"/>
    <col min="5125" max="5125" width="12.6640625" style="69" bestFit="1" customWidth="1"/>
    <col min="5126" max="5376" width="22.88671875" style="69"/>
    <col min="5377" max="5377" width="22.6640625" style="69" bestFit="1" customWidth="1"/>
    <col min="5378" max="5378" width="13.44140625" style="69" bestFit="1" customWidth="1"/>
    <col min="5379" max="5379" width="7.33203125" style="69" bestFit="1" customWidth="1"/>
    <col min="5380" max="5380" width="28.33203125" style="69" customWidth="1"/>
    <col min="5381" max="5381" width="12.6640625" style="69" bestFit="1" customWidth="1"/>
    <col min="5382" max="5632" width="22.88671875" style="69"/>
    <col min="5633" max="5633" width="22.6640625" style="69" bestFit="1" customWidth="1"/>
    <col min="5634" max="5634" width="13.44140625" style="69" bestFit="1" customWidth="1"/>
    <col min="5635" max="5635" width="7.33203125" style="69" bestFit="1" customWidth="1"/>
    <col min="5636" max="5636" width="28.33203125" style="69" customWidth="1"/>
    <col min="5637" max="5637" width="12.6640625" style="69" bestFit="1" customWidth="1"/>
    <col min="5638" max="5888" width="22.88671875" style="69"/>
    <col min="5889" max="5889" width="22.6640625" style="69" bestFit="1" customWidth="1"/>
    <col min="5890" max="5890" width="13.44140625" style="69" bestFit="1" customWidth="1"/>
    <col min="5891" max="5891" width="7.33203125" style="69" bestFit="1" customWidth="1"/>
    <col min="5892" max="5892" width="28.33203125" style="69" customWidth="1"/>
    <col min="5893" max="5893" width="12.6640625" style="69" bestFit="1" customWidth="1"/>
    <col min="5894" max="6144" width="22.88671875" style="69"/>
    <col min="6145" max="6145" width="22.6640625" style="69" bestFit="1" customWidth="1"/>
    <col min="6146" max="6146" width="13.44140625" style="69" bestFit="1" customWidth="1"/>
    <col min="6147" max="6147" width="7.33203125" style="69" bestFit="1" customWidth="1"/>
    <col min="6148" max="6148" width="28.33203125" style="69" customWidth="1"/>
    <col min="6149" max="6149" width="12.6640625" style="69" bestFit="1" customWidth="1"/>
    <col min="6150" max="6400" width="22.88671875" style="69"/>
    <col min="6401" max="6401" width="22.6640625" style="69" bestFit="1" customWidth="1"/>
    <col min="6402" max="6402" width="13.44140625" style="69" bestFit="1" customWidth="1"/>
    <col min="6403" max="6403" width="7.33203125" style="69" bestFit="1" customWidth="1"/>
    <col min="6404" max="6404" width="28.33203125" style="69" customWidth="1"/>
    <col min="6405" max="6405" width="12.6640625" style="69" bestFit="1" customWidth="1"/>
    <col min="6406" max="6656" width="22.88671875" style="69"/>
    <col min="6657" max="6657" width="22.6640625" style="69" bestFit="1" customWidth="1"/>
    <col min="6658" max="6658" width="13.44140625" style="69" bestFit="1" customWidth="1"/>
    <col min="6659" max="6659" width="7.33203125" style="69" bestFit="1" customWidth="1"/>
    <col min="6660" max="6660" width="28.33203125" style="69" customWidth="1"/>
    <col min="6661" max="6661" width="12.6640625" style="69" bestFit="1" customWidth="1"/>
    <col min="6662" max="6912" width="22.88671875" style="69"/>
    <col min="6913" max="6913" width="22.6640625" style="69" bestFit="1" customWidth="1"/>
    <col min="6914" max="6914" width="13.44140625" style="69" bestFit="1" customWidth="1"/>
    <col min="6915" max="6915" width="7.33203125" style="69" bestFit="1" customWidth="1"/>
    <col min="6916" max="6916" width="28.33203125" style="69" customWidth="1"/>
    <col min="6917" max="6917" width="12.6640625" style="69" bestFit="1" customWidth="1"/>
    <col min="6918" max="7168" width="22.88671875" style="69"/>
    <col min="7169" max="7169" width="22.6640625" style="69" bestFit="1" customWidth="1"/>
    <col min="7170" max="7170" width="13.44140625" style="69" bestFit="1" customWidth="1"/>
    <col min="7171" max="7171" width="7.33203125" style="69" bestFit="1" customWidth="1"/>
    <col min="7172" max="7172" width="28.33203125" style="69" customWidth="1"/>
    <col min="7173" max="7173" width="12.6640625" style="69" bestFit="1" customWidth="1"/>
    <col min="7174" max="7424" width="22.88671875" style="69"/>
    <col min="7425" max="7425" width="22.6640625" style="69" bestFit="1" customWidth="1"/>
    <col min="7426" max="7426" width="13.44140625" style="69" bestFit="1" customWidth="1"/>
    <col min="7427" max="7427" width="7.33203125" style="69" bestFit="1" customWidth="1"/>
    <col min="7428" max="7428" width="28.33203125" style="69" customWidth="1"/>
    <col min="7429" max="7429" width="12.6640625" style="69" bestFit="1" customWidth="1"/>
    <col min="7430" max="7680" width="22.88671875" style="69"/>
    <col min="7681" max="7681" width="22.6640625" style="69" bestFit="1" customWidth="1"/>
    <col min="7682" max="7682" width="13.44140625" style="69" bestFit="1" customWidth="1"/>
    <col min="7683" max="7683" width="7.33203125" style="69" bestFit="1" customWidth="1"/>
    <col min="7684" max="7684" width="28.33203125" style="69" customWidth="1"/>
    <col min="7685" max="7685" width="12.6640625" style="69" bestFit="1" customWidth="1"/>
    <col min="7686" max="7936" width="22.88671875" style="69"/>
    <col min="7937" max="7937" width="22.6640625" style="69" bestFit="1" customWidth="1"/>
    <col min="7938" max="7938" width="13.44140625" style="69" bestFit="1" customWidth="1"/>
    <col min="7939" max="7939" width="7.33203125" style="69" bestFit="1" customWidth="1"/>
    <col min="7940" max="7940" width="28.33203125" style="69" customWidth="1"/>
    <col min="7941" max="7941" width="12.6640625" style="69" bestFit="1" customWidth="1"/>
    <col min="7942" max="8192" width="22.88671875" style="69"/>
    <col min="8193" max="8193" width="22.6640625" style="69" bestFit="1" customWidth="1"/>
    <col min="8194" max="8194" width="13.44140625" style="69" bestFit="1" customWidth="1"/>
    <col min="8195" max="8195" width="7.33203125" style="69" bestFit="1" customWidth="1"/>
    <col min="8196" max="8196" width="28.33203125" style="69" customWidth="1"/>
    <col min="8197" max="8197" width="12.6640625" style="69" bestFit="1" customWidth="1"/>
    <col min="8198" max="8448" width="22.88671875" style="69"/>
    <col min="8449" max="8449" width="22.6640625" style="69" bestFit="1" customWidth="1"/>
    <col min="8450" max="8450" width="13.44140625" style="69" bestFit="1" customWidth="1"/>
    <col min="8451" max="8451" width="7.33203125" style="69" bestFit="1" customWidth="1"/>
    <col min="8452" max="8452" width="28.33203125" style="69" customWidth="1"/>
    <col min="8453" max="8453" width="12.6640625" style="69" bestFit="1" customWidth="1"/>
    <col min="8454" max="8704" width="22.88671875" style="69"/>
    <col min="8705" max="8705" width="22.6640625" style="69" bestFit="1" customWidth="1"/>
    <col min="8706" max="8706" width="13.44140625" style="69" bestFit="1" customWidth="1"/>
    <col min="8707" max="8707" width="7.33203125" style="69" bestFit="1" customWidth="1"/>
    <col min="8708" max="8708" width="28.33203125" style="69" customWidth="1"/>
    <col min="8709" max="8709" width="12.6640625" style="69" bestFit="1" customWidth="1"/>
    <col min="8710" max="8960" width="22.88671875" style="69"/>
    <col min="8961" max="8961" width="22.6640625" style="69" bestFit="1" customWidth="1"/>
    <col min="8962" max="8962" width="13.44140625" style="69" bestFit="1" customWidth="1"/>
    <col min="8963" max="8963" width="7.33203125" style="69" bestFit="1" customWidth="1"/>
    <col min="8964" max="8964" width="28.33203125" style="69" customWidth="1"/>
    <col min="8965" max="8965" width="12.6640625" style="69" bestFit="1" customWidth="1"/>
    <col min="8966" max="9216" width="22.88671875" style="69"/>
    <col min="9217" max="9217" width="22.6640625" style="69" bestFit="1" customWidth="1"/>
    <col min="9218" max="9218" width="13.44140625" style="69" bestFit="1" customWidth="1"/>
    <col min="9219" max="9219" width="7.33203125" style="69" bestFit="1" customWidth="1"/>
    <col min="9220" max="9220" width="28.33203125" style="69" customWidth="1"/>
    <col min="9221" max="9221" width="12.6640625" style="69" bestFit="1" customWidth="1"/>
    <col min="9222" max="9472" width="22.88671875" style="69"/>
    <col min="9473" max="9473" width="22.6640625" style="69" bestFit="1" customWidth="1"/>
    <col min="9474" max="9474" width="13.44140625" style="69" bestFit="1" customWidth="1"/>
    <col min="9475" max="9475" width="7.33203125" style="69" bestFit="1" customWidth="1"/>
    <col min="9476" max="9476" width="28.33203125" style="69" customWidth="1"/>
    <col min="9477" max="9477" width="12.6640625" style="69" bestFit="1" customWidth="1"/>
    <col min="9478" max="9728" width="22.88671875" style="69"/>
    <col min="9729" max="9729" width="22.6640625" style="69" bestFit="1" customWidth="1"/>
    <col min="9730" max="9730" width="13.44140625" style="69" bestFit="1" customWidth="1"/>
    <col min="9731" max="9731" width="7.33203125" style="69" bestFit="1" customWidth="1"/>
    <col min="9732" max="9732" width="28.33203125" style="69" customWidth="1"/>
    <col min="9733" max="9733" width="12.6640625" style="69" bestFit="1" customWidth="1"/>
    <col min="9734" max="9984" width="22.88671875" style="69"/>
    <col min="9985" max="9985" width="22.6640625" style="69" bestFit="1" customWidth="1"/>
    <col min="9986" max="9986" width="13.44140625" style="69" bestFit="1" customWidth="1"/>
    <col min="9987" max="9987" width="7.33203125" style="69" bestFit="1" customWidth="1"/>
    <col min="9988" max="9988" width="28.33203125" style="69" customWidth="1"/>
    <col min="9989" max="9989" width="12.6640625" style="69" bestFit="1" customWidth="1"/>
    <col min="9990" max="10240" width="22.88671875" style="69"/>
    <col min="10241" max="10241" width="22.6640625" style="69" bestFit="1" customWidth="1"/>
    <col min="10242" max="10242" width="13.44140625" style="69" bestFit="1" customWidth="1"/>
    <col min="10243" max="10243" width="7.33203125" style="69" bestFit="1" customWidth="1"/>
    <col min="10244" max="10244" width="28.33203125" style="69" customWidth="1"/>
    <col min="10245" max="10245" width="12.6640625" style="69" bestFit="1" customWidth="1"/>
    <col min="10246" max="10496" width="22.88671875" style="69"/>
    <col min="10497" max="10497" width="22.6640625" style="69" bestFit="1" customWidth="1"/>
    <col min="10498" max="10498" width="13.44140625" style="69" bestFit="1" customWidth="1"/>
    <col min="10499" max="10499" width="7.33203125" style="69" bestFit="1" customWidth="1"/>
    <col min="10500" max="10500" width="28.33203125" style="69" customWidth="1"/>
    <col min="10501" max="10501" width="12.6640625" style="69" bestFit="1" customWidth="1"/>
    <col min="10502" max="10752" width="22.88671875" style="69"/>
    <col min="10753" max="10753" width="22.6640625" style="69" bestFit="1" customWidth="1"/>
    <col min="10754" max="10754" width="13.44140625" style="69" bestFit="1" customWidth="1"/>
    <col min="10755" max="10755" width="7.33203125" style="69" bestFit="1" customWidth="1"/>
    <col min="10756" max="10756" width="28.33203125" style="69" customWidth="1"/>
    <col min="10757" max="10757" width="12.6640625" style="69" bestFit="1" customWidth="1"/>
    <col min="10758" max="11008" width="22.88671875" style="69"/>
    <col min="11009" max="11009" width="22.6640625" style="69" bestFit="1" customWidth="1"/>
    <col min="11010" max="11010" width="13.44140625" style="69" bestFit="1" customWidth="1"/>
    <col min="11011" max="11011" width="7.33203125" style="69" bestFit="1" customWidth="1"/>
    <col min="11012" max="11012" width="28.33203125" style="69" customWidth="1"/>
    <col min="11013" max="11013" width="12.6640625" style="69" bestFit="1" customWidth="1"/>
    <col min="11014" max="11264" width="22.88671875" style="69"/>
    <col min="11265" max="11265" width="22.6640625" style="69" bestFit="1" customWidth="1"/>
    <col min="11266" max="11266" width="13.44140625" style="69" bestFit="1" customWidth="1"/>
    <col min="11267" max="11267" width="7.33203125" style="69" bestFit="1" customWidth="1"/>
    <col min="11268" max="11268" width="28.33203125" style="69" customWidth="1"/>
    <col min="11269" max="11269" width="12.6640625" style="69" bestFit="1" customWidth="1"/>
    <col min="11270" max="11520" width="22.88671875" style="69"/>
    <col min="11521" max="11521" width="22.6640625" style="69" bestFit="1" customWidth="1"/>
    <col min="11522" max="11522" width="13.44140625" style="69" bestFit="1" customWidth="1"/>
    <col min="11523" max="11523" width="7.33203125" style="69" bestFit="1" customWidth="1"/>
    <col min="11524" max="11524" width="28.33203125" style="69" customWidth="1"/>
    <col min="11525" max="11525" width="12.6640625" style="69" bestFit="1" customWidth="1"/>
    <col min="11526" max="11776" width="22.88671875" style="69"/>
    <col min="11777" max="11777" width="22.6640625" style="69" bestFit="1" customWidth="1"/>
    <col min="11778" max="11778" width="13.44140625" style="69" bestFit="1" customWidth="1"/>
    <col min="11779" max="11779" width="7.33203125" style="69" bestFit="1" customWidth="1"/>
    <col min="11780" max="11780" width="28.33203125" style="69" customWidth="1"/>
    <col min="11781" max="11781" width="12.6640625" style="69" bestFit="1" customWidth="1"/>
    <col min="11782" max="12032" width="22.88671875" style="69"/>
    <col min="12033" max="12033" width="22.6640625" style="69" bestFit="1" customWidth="1"/>
    <col min="12034" max="12034" width="13.44140625" style="69" bestFit="1" customWidth="1"/>
    <col min="12035" max="12035" width="7.33203125" style="69" bestFit="1" customWidth="1"/>
    <col min="12036" max="12036" width="28.33203125" style="69" customWidth="1"/>
    <col min="12037" max="12037" width="12.6640625" style="69" bestFit="1" customWidth="1"/>
    <col min="12038" max="12288" width="22.88671875" style="69"/>
    <col min="12289" max="12289" width="22.6640625" style="69" bestFit="1" customWidth="1"/>
    <col min="12290" max="12290" width="13.44140625" style="69" bestFit="1" customWidth="1"/>
    <col min="12291" max="12291" width="7.33203125" style="69" bestFit="1" customWidth="1"/>
    <col min="12292" max="12292" width="28.33203125" style="69" customWidth="1"/>
    <col min="12293" max="12293" width="12.6640625" style="69" bestFit="1" customWidth="1"/>
    <col min="12294" max="12544" width="22.88671875" style="69"/>
    <col min="12545" max="12545" width="22.6640625" style="69" bestFit="1" customWidth="1"/>
    <col min="12546" max="12546" width="13.44140625" style="69" bestFit="1" customWidth="1"/>
    <col min="12547" max="12547" width="7.33203125" style="69" bestFit="1" customWidth="1"/>
    <col min="12548" max="12548" width="28.33203125" style="69" customWidth="1"/>
    <col min="12549" max="12549" width="12.6640625" style="69" bestFit="1" customWidth="1"/>
    <col min="12550" max="12800" width="22.88671875" style="69"/>
    <col min="12801" max="12801" width="22.6640625" style="69" bestFit="1" customWidth="1"/>
    <col min="12802" max="12802" width="13.44140625" style="69" bestFit="1" customWidth="1"/>
    <col min="12803" max="12803" width="7.33203125" style="69" bestFit="1" customWidth="1"/>
    <col min="12804" max="12804" width="28.33203125" style="69" customWidth="1"/>
    <col min="12805" max="12805" width="12.6640625" style="69" bestFit="1" customWidth="1"/>
    <col min="12806" max="13056" width="22.88671875" style="69"/>
    <col min="13057" max="13057" width="22.6640625" style="69" bestFit="1" customWidth="1"/>
    <col min="13058" max="13058" width="13.44140625" style="69" bestFit="1" customWidth="1"/>
    <col min="13059" max="13059" width="7.33203125" style="69" bestFit="1" customWidth="1"/>
    <col min="13060" max="13060" width="28.33203125" style="69" customWidth="1"/>
    <col min="13061" max="13061" width="12.6640625" style="69" bestFit="1" customWidth="1"/>
    <col min="13062" max="13312" width="22.88671875" style="69"/>
    <col min="13313" max="13313" width="22.6640625" style="69" bestFit="1" customWidth="1"/>
    <col min="13314" max="13314" width="13.44140625" style="69" bestFit="1" customWidth="1"/>
    <col min="13315" max="13315" width="7.33203125" style="69" bestFit="1" customWidth="1"/>
    <col min="13316" max="13316" width="28.33203125" style="69" customWidth="1"/>
    <col min="13317" max="13317" width="12.6640625" style="69" bestFit="1" customWidth="1"/>
    <col min="13318" max="13568" width="22.88671875" style="69"/>
    <col min="13569" max="13569" width="22.6640625" style="69" bestFit="1" customWidth="1"/>
    <col min="13570" max="13570" width="13.44140625" style="69" bestFit="1" customWidth="1"/>
    <col min="13571" max="13571" width="7.33203125" style="69" bestFit="1" customWidth="1"/>
    <col min="13572" max="13572" width="28.33203125" style="69" customWidth="1"/>
    <col min="13573" max="13573" width="12.6640625" style="69" bestFit="1" customWidth="1"/>
    <col min="13574" max="13824" width="22.88671875" style="69"/>
    <col min="13825" max="13825" width="22.6640625" style="69" bestFit="1" customWidth="1"/>
    <col min="13826" max="13826" width="13.44140625" style="69" bestFit="1" customWidth="1"/>
    <col min="13827" max="13827" width="7.33203125" style="69" bestFit="1" customWidth="1"/>
    <col min="13828" max="13828" width="28.33203125" style="69" customWidth="1"/>
    <col min="13829" max="13829" width="12.6640625" style="69" bestFit="1" customWidth="1"/>
    <col min="13830" max="14080" width="22.88671875" style="69"/>
    <col min="14081" max="14081" width="22.6640625" style="69" bestFit="1" customWidth="1"/>
    <col min="14082" max="14082" width="13.44140625" style="69" bestFit="1" customWidth="1"/>
    <col min="14083" max="14083" width="7.33203125" style="69" bestFit="1" customWidth="1"/>
    <col min="14084" max="14084" width="28.33203125" style="69" customWidth="1"/>
    <col min="14085" max="14085" width="12.6640625" style="69" bestFit="1" customWidth="1"/>
    <col min="14086" max="14336" width="22.88671875" style="69"/>
    <col min="14337" max="14337" width="22.6640625" style="69" bestFit="1" customWidth="1"/>
    <col min="14338" max="14338" width="13.44140625" style="69" bestFit="1" customWidth="1"/>
    <col min="14339" max="14339" width="7.33203125" style="69" bestFit="1" customWidth="1"/>
    <col min="14340" max="14340" width="28.33203125" style="69" customWidth="1"/>
    <col min="14341" max="14341" width="12.6640625" style="69" bestFit="1" customWidth="1"/>
    <col min="14342" max="14592" width="22.88671875" style="69"/>
    <col min="14593" max="14593" width="22.6640625" style="69" bestFit="1" customWidth="1"/>
    <col min="14594" max="14594" width="13.44140625" style="69" bestFit="1" customWidth="1"/>
    <col min="14595" max="14595" width="7.33203125" style="69" bestFit="1" customWidth="1"/>
    <col min="14596" max="14596" width="28.33203125" style="69" customWidth="1"/>
    <col min="14597" max="14597" width="12.6640625" style="69" bestFit="1" customWidth="1"/>
    <col min="14598" max="14848" width="22.88671875" style="69"/>
    <col min="14849" max="14849" width="22.6640625" style="69" bestFit="1" customWidth="1"/>
    <col min="14850" max="14850" width="13.44140625" style="69" bestFit="1" customWidth="1"/>
    <col min="14851" max="14851" width="7.33203125" style="69" bestFit="1" customWidth="1"/>
    <col min="14852" max="14852" width="28.33203125" style="69" customWidth="1"/>
    <col min="14853" max="14853" width="12.6640625" style="69" bestFit="1" customWidth="1"/>
    <col min="14854" max="15104" width="22.88671875" style="69"/>
    <col min="15105" max="15105" width="22.6640625" style="69" bestFit="1" customWidth="1"/>
    <col min="15106" max="15106" width="13.44140625" style="69" bestFit="1" customWidth="1"/>
    <col min="15107" max="15107" width="7.33203125" style="69" bestFit="1" customWidth="1"/>
    <col min="15108" max="15108" width="28.33203125" style="69" customWidth="1"/>
    <col min="15109" max="15109" width="12.6640625" style="69" bestFit="1" customWidth="1"/>
    <col min="15110" max="15360" width="22.88671875" style="69"/>
    <col min="15361" max="15361" width="22.6640625" style="69" bestFit="1" customWidth="1"/>
    <col min="15362" max="15362" width="13.44140625" style="69" bestFit="1" customWidth="1"/>
    <col min="15363" max="15363" width="7.33203125" style="69" bestFit="1" customWidth="1"/>
    <col min="15364" max="15364" width="28.33203125" style="69" customWidth="1"/>
    <col min="15365" max="15365" width="12.6640625" style="69" bestFit="1" customWidth="1"/>
    <col min="15366" max="15616" width="22.88671875" style="69"/>
    <col min="15617" max="15617" width="22.6640625" style="69" bestFit="1" customWidth="1"/>
    <col min="15618" max="15618" width="13.44140625" style="69" bestFit="1" customWidth="1"/>
    <col min="15619" max="15619" width="7.33203125" style="69" bestFit="1" customWidth="1"/>
    <col min="15620" max="15620" width="28.33203125" style="69" customWidth="1"/>
    <col min="15621" max="15621" width="12.6640625" style="69" bestFit="1" customWidth="1"/>
    <col min="15622" max="15872" width="22.88671875" style="69"/>
    <col min="15873" max="15873" width="22.6640625" style="69" bestFit="1" customWidth="1"/>
    <col min="15874" max="15874" width="13.44140625" style="69" bestFit="1" customWidth="1"/>
    <col min="15875" max="15875" width="7.33203125" style="69" bestFit="1" customWidth="1"/>
    <col min="15876" max="15876" width="28.33203125" style="69" customWidth="1"/>
    <col min="15877" max="15877" width="12.6640625" style="69" bestFit="1" customWidth="1"/>
    <col min="15878" max="16128" width="22.88671875" style="69"/>
    <col min="16129" max="16129" width="22.6640625" style="69" bestFit="1" customWidth="1"/>
    <col min="16130" max="16130" width="13.44140625" style="69" bestFit="1" customWidth="1"/>
    <col min="16131" max="16131" width="7.33203125" style="69" bestFit="1" customWidth="1"/>
    <col min="16132" max="16132" width="28.33203125" style="69" customWidth="1"/>
    <col min="16133" max="16133" width="12.6640625" style="69" bestFit="1" customWidth="1"/>
    <col min="16134" max="16384" width="22.88671875" style="69"/>
  </cols>
  <sheetData>
    <row r="1" spans="1:6" x14ac:dyDescent="0.25">
      <c r="A1" s="78" t="s">
        <v>144</v>
      </c>
      <c r="B1" s="79">
        <f>B7/(1+B3)^B6</f>
        <v>252572.46819458736</v>
      </c>
    </row>
    <row r="2" spans="1:6" x14ac:dyDescent="0.25">
      <c r="A2" s="78" t="s">
        <v>135</v>
      </c>
      <c r="B2" s="70">
        <v>7.0000000000000007E-2</v>
      </c>
    </row>
    <row r="3" spans="1:6" x14ac:dyDescent="0.25">
      <c r="A3" s="78" t="s">
        <v>136</v>
      </c>
      <c r="B3" s="71">
        <f>B2/B5</f>
        <v>3.5000000000000003E-2</v>
      </c>
    </row>
    <row r="4" spans="1:6" x14ac:dyDescent="0.25">
      <c r="A4" s="78" t="s">
        <v>10</v>
      </c>
      <c r="B4" s="72">
        <v>20</v>
      </c>
    </row>
    <row r="5" spans="1:6" x14ac:dyDescent="0.25">
      <c r="A5" s="78" t="s">
        <v>137</v>
      </c>
      <c r="B5" s="72">
        <v>2</v>
      </c>
    </row>
    <row r="6" spans="1:6" x14ac:dyDescent="0.25">
      <c r="A6" s="78" t="s">
        <v>12</v>
      </c>
      <c r="B6" s="71">
        <f>B4*B5</f>
        <v>40</v>
      </c>
    </row>
    <row r="7" spans="1:6" x14ac:dyDescent="0.25">
      <c r="A7" s="78" t="s">
        <v>145</v>
      </c>
      <c r="B7" s="80">
        <v>1000000</v>
      </c>
      <c r="E7" s="81"/>
    </row>
    <row r="12" spans="1:6" s="73" customFormat="1" ht="52.8" x14ac:dyDescent="0.25">
      <c r="C12" s="74" t="s">
        <v>47</v>
      </c>
      <c r="D12" s="74" t="s">
        <v>146</v>
      </c>
      <c r="E12" s="74" t="s">
        <v>141</v>
      </c>
    </row>
    <row r="13" spans="1:6" x14ac:dyDescent="0.25">
      <c r="C13" s="75">
        <v>0</v>
      </c>
      <c r="D13" s="71"/>
      <c r="E13" s="82">
        <f>B1</f>
        <v>252572.46819458736</v>
      </c>
      <c r="F13" s="83"/>
    </row>
    <row r="14" spans="1:6" x14ac:dyDescent="0.25">
      <c r="C14" s="71">
        <f>C13+1</f>
        <v>1</v>
      </c>
      <c r="D14" s="84">
        <f>E14-E13</f>
        <v>8840.0363868105342</v>
      </c>
      <c r="E14" s="84">
        <f t="shared" ref="E14:E53" si="0">E13*(1+B$3)</f>
        <v>261412.50458139789</v>
      </c>
      <c r="F14" s="81"/>
    </row>
    <row r="15" spans="1:6" x14ac:dyDescent="0.25">
      <c r="C15" s="71">
        <f t="shared" ref="C15:C53" si="1">C14+1</f>
        <v>2</v>
      </c>
      <c r="D15" s="84">
        <f t="shared" ref="D15:D53" si="2">E15-E14</f>
        <v>9149.4376603489218</v>
      </c>
      <c r="E15" s="84">
        <f t="shared" si="0"/>
        <v>270561.94224174682</v>
      </c>
      <c r="F15" s="81"/>
    </row>
    <row r="16" spans="1:6" x14ac:dyDescent="0.25">
      <c r="C16" s="71">
        <f t="shared" si="1"/>
        <v>3</v>
      </c>
      <c r="D16" s="84">
        <f>E16-E15</f>
        <v>9469.6679784611333</v>
      </c>
      <c r="E16" s="84">
        <f>E15*(1+B$3)</f>
        <v>280031.61022020795</v>
      </c>
    </row>
    <row r="17" spans="3:5" x14ac:dyDescent="0.25">
      <c r="C17" s="71">
        <f t="shared" si="1"/>
        <v>4</v>
      </c>
      <c r="D17" s="84">
        <f t="shared" si="2"/>
        <v>9801.1063577072346</v>
      </c>
      <c r="E17" s="84">
        <f t="shared" si="0"/>
        <v>289832.71657791518</v>
      </c>
    </row>
    <row r="18" spans="3:5" x14ac:dyDescent="0.25">
      <c r="C18" s="71">
        <f t="shared" si="1"/>
        <v>5</v>
      </c>
      <c r="D18" s="84">
        <f t="shared" si="2"/>
        <v>10144.145080226997</v>
      </c>
      <c r="E18" s="84">
        <f t="shared" si="0"/>
        <v>299976.86165814218</v>
      </c>
    </row>
    <row r="19" spans="3:5" x14ac:dyDescent="0.25">
      <c r="C19" s="71">
        <f t="shared" si="1"/>
        <v>6</v>
      </c>
      <c r="D19" s="84">
        <f t="shared" si="2"/>
        <v>10499.190158034966</v>
      </c>
      <c r="E19" s="84">
        <f t="shared" si="0"/>
        <v>310476.05181617715</v>
      </c>
    </row>
    <row r="20" spans="3:5" x14ac:dyDescent="0.25">
      <c r="C20" s="71">
        <f t="shared" si="1"/>
        <v>7</v>
      </c>
      <c r="D20" s="84">
        <f t="shared" si="2"/>
        <v>10866.66181356617</v>
      </c>
      <c r="E20" s="84">
        <f t="shared" si="0"/>
        <v>321342.71362974332</v>
      </c>
    </row>
    <row r="21" spans="3:5" x14ac:dyDescent="0.25">
      <c r="C21" s="71">
        <f t="shared" si="1"/>
        <v>8</v>
      </c>
      <c r="D21" s="84">
        <f t="shared" si="2"/>
        <v>11246.994977040973</v>
      </c>
      <c r="E21" s="84">
        <f t="shared" si="0"/>
        <v>332589.70860678429</v>
      </c>
    </row>
    <row r="22" spans="3:5" x14ac:dyDescent="0.25">
      <c r="C22" s="71">
        <f t="shared" si="1"/>
        <v>9</v>
      </c>
      <c r="D22" s="84">
        <f t="shared" si="2"/>
        <v>11640.639801237441</v>
      </c>
      <c r="E22" s="84">
        <f t="shared" si="0"/>
        <v>344230.34840802173</v>
      </c>
    </row>
    <row r="23" spans="3:5" x14ac:dyDescent="0.25">
      <c r="C23" s="71">
        <f t="shared" si="1"/>
        <v>10</v>
      </c>
      <c r="D23" s="84">
        <f t="shared" si="2"/>
        <v>12048.062194280734</v>
      </c>
      <c r="E23" s="84">
        <f t="shared" si="0"/>
        <v>356278.41060230247</v>
      </c>
    </row>
    <row r="24" spans="3:5" x14ac:dyDescent="0.25">
      <c r="C24" s="71">
        <f t="shared" si="1"/>
        <v>11</v>
      </c>
      <c r="D24" s="84">
        <f t="shared" si="2"/>
        <v>12469.744371080538</v>
      </c>
      <c r="E24" s="84">
        <f t="shared" si="0"/>
        <v>368748.154973383</v>
      </c>
    </row>
    <row r="25" spans="3:5" x14ac:dyDescent="0.25">
      <c r="C25" s="71">
        <f t="shared" si="1"/>
        <v>12</v>
      </c>
      <c r="D25" s="84">
        <f t="shared" si="2"/>
        <v>12906.185424068361</v>
      </c>
      <c r="E25" s="84">
        <f t="shared" si="0"/>
        <v>381654.34039745136</v>
      </c>
    </row>
    <row r="26" spans="3:5" x14ac:dyDescent="0.25">
      <c r="C26" s="71">
        <f t="shared" si="1"/>
        <v>13</v>
      </c>
      <c r="D26" s="84">
        <f t="shared" si="2"/>
        <v>13357.901913910755</v>
      </c>
      <c r="E26" s="84">
        <f t="shared" si="0"/>
        <v>395012.24231136212</v>
      </c>
    </row>
    <row r="27" spans="3:5" x14ac:dyDescent="0.25">
      <c r="C27" s="71">
        <f t="shared" si="1"/>
        <v>14</v>
      </c>
      <c r="D27" s="84">
        <f t="shared" si="2"/>
        <v>13825.428480897623</v>
      </c>
      <c r="E27" s="84">
        <f t="shared" si="0"/>
        <v>408837.67079225974</v>
      </c>
    </row>
    <row r="28" spans="3:5" x14ac:dyDescent="0.25">
      <c r="C28" s="71">
        <f t="shared" si="1"/>
        <v>15</v>
      </c>
      <c r="D28" s="84">
        <f t="shared" si="2"/>
        <v>14309.318477729044</v>
      </c>
      <c r="E28" s="84">
        <f t="shared" si="0"/>
        <v>423146.98926998879</v>
      </c>
    </row>
    <row r="29" spans="3:5" x14ac:dyDescent="0.25">
      <c r="C29" s="71">
        <f t="shared" si="1"/>
        <v>16</v>
      </c>
      <c r="D29" s="84">
        <f t="shared" si="2"/>
        <v>14810.144624449546</v>
      </c>
      <c r="E29" s="84">
        <f t="shared" si="0"/>
        <v>437957.13389443833</v>
      </c>
    </row>
    <row r="30" spans="3:5" x14ac:dyDescent="0.25">
      <c r="C30" s="71">
        <f t="shared" si="1"/>
        <v>17</v>
      </c>
      <c r="D30" s="84">
        <f t="shared" si="2"/>
        <v>15328.499686305295</v>
      </c>
      <c r="E30" s="84">
        <f t="shared" si="0"/>
        <v>453285.63358074363</v>
      </c>
    </row>
    <row r="31" spans="3:5" x14ac:dyDescent="0.25">
      <c r="C31" s="71">
        <f t="shared" si="1"/>
        <v>18</v>
      </c>
      <c r="D31" s="84">
        <f t="shared" si="2"/>
        <v>15864.997175325989</v>
      </c>
      <c r="E31" s="84">
        <f t="shared" si="0"/>
        <v>469150.63075606962</v>
      </c>
    </row>
    <row r="32" spans="3:5" x14ac:dyDescent="0.25">
      <c r="C32" s="71">
        <f t="shared" si="1"/>
        <v>19</v>
      </c>
      <c r="D32" s="84">
        <f t="shared" si="2"/>
        <v>16420.272076462395</v>
      </c>
      <c r="E32" s="84">
        <f t="shared" si="0"/>
        <v>485570.90283253201</v>
      </c>
    </row>
    <row r="33" spans="3:5" x14ac:dyDescent="0.25">
      <c r="C33" s="71">
        <f t="shared" si="1"/>
        <v>20</v>
      </c>
      <c r="D33" s="84">
        <f t="shared" si="2"/>
        <v>16994.981599138584</v>
      </c>
      <c r="E33" s="84">
        <f t="shared" si="0"/>
        <v>502565.88443167059</v>
      </c>
    </row>
    <row r="34" spans="3:5" x14ac:dyDescent="0.25">
      <c r="C34" s="71">
        <f t="shared" si="1"/>
        <v>21</v>
      </c>
      <c r="D34" s="84">
        <f t="shared" si="2"/>
        <v>17589.80595510843</v>
      </c>
      <c r="E34" s="84">
        <f t="shared" si="0"/>
        <v>520155.69038677902</v>
      </c>
    </row>
    <row r="35" spans="3:5" x14ac:dyDescent="0.25">
      <c r="C35" s="71">
        <f t="shared" si="1"/>
        <v>22</v>
      </c>
      <c r="D35" s="84">
        <f t="shared" si="2"/>
        <v>18205.44916353724</v>
      </c>
      <c r="E35" s="84">
        <f t="shared" si="0"/>
        <v>538361.13955031626</v>
      </c>
    </row>
    <row r="36" spans="3:5" x14ac:dyDescent="0.25">
      <c r="C36" s="71">
        <f t="shared" si="1"/>
        <v>23</v>
      </c>
      <c r="D36" s="84">
        <f t="shared" si="2"/>
        <v>18842.639884261065</v>
      </c>
      <c r="E36" s="84">
        <f t="shared" si="0"/>
        <v>557203.77943457733</v>
      </c>
    </row>
    <row r="37" spans="3:5" x14ac:dyDescent="0.25">
      <c r="C37" s="71">
        <f t="shared" si="1"/>
        <v>24</v>
      </c>
      <c r="D37" s="84">
        <f t="shared" si="2"/>
        <v>19502.132280210149</v>
      </c>
      <c r="E37" s="84">
        <f t="shared" si="0"/>
        <v>576705.91171478748</v>
      </c>
    </row>
    <row r="38" spans="3:5" x14ac:dyDescent="0.25">
      <c r="C38" s="71">
        <f t="shared" si="1"/>
        <v>25</v>
      </c>
      <c r="D38" s="84">
        <f t="shared" si="2"/>
        <v>20184.706910017529</v>
      </c>
      <c r="E38" s="84">
        <f t="shared" si="0"/>
        <v>596890.61862480501</v>
      </c>
    </row>
    <row r="39" spans="3:5" x14ac:dyDescent="0.25">
      <c r="C39" s="71">
        <f t="shared" si="1"/>
        <v>26</v>
      </c>
      <c r="D39" s="84">
        <f t="shared" si="2"/>
        <v>20891.17165186815</v>
      </c>
      <c r="E39" s="84">
        <f t="shared" si="0"/>
        <v>617781.79027667316</v>
      </c>
    </row>
    <row r="40" spans="3:5" x14ac:dyDescent="0.25">
      <c r="C40" s="71">
        <f t="shared" si="1"/>
        <v>27</v>
      </c>
      <c r="D40" s="84">
        <f t="shared" si="2"/>
        <v>21622.362659683567</v>
      </c>
      <c r="E40" s="84">
        <f t="shared" si="0"/>
        <v>639404.15293635672</v>
      </c>
    </row>
    <row r="41" spans="3:5" x14ac:dyDescent="0.25">
      <c r="C41" s="71">
        <f t="shared" si="1"/>
        <v>28</v>
      </c>
      <c r="D41" s="84">
        <f t="shared" si="2"/>
        <v>22379.145352772437</v>
      </c>
      <c r="E41" s="84">
        <f t="shared" si="0"/>
        <v>661783.29828912916</v>
      </c>
    </row>
    <row r="42" spans="3:5" x14ac:dyDescent="0.25">
      <c r="C42" s="71">
        <f t="shared" si="1"/>
        <v>29</v>
      </c>
      <c r="D42" s="84">
        <f t="shared" si="2"/>
        <v>23162.415440119454</v>
      </c>
      <c r="E42" s="84">
        <f t="shared" si="0"/>
        <v>684945.71372924861</v>
      </c>
    </row>
    <row r="43" spans="3:5" x14ac:dyDescent="0.25">
      <c r="C43" s="71">
        <f t="shared" si="1"/>
        <v>30</v>
      </c>
      <c r="D43" s="84">
        <f t="shared" si="2"/>
        <v>23973.099980523693</v>
      </c>
      <c r="E43" s="84">
        <f t="shared" si="0"/>
        <v>708918.81370977231</v>
      </c>
    </row>
    <row r="44" spans="3:5" x14ac:dyDescent="0.25">
      <c r="C44" s="71">
        <f t="shared" si="1"/>
        <v>31</v>
      </c>
      <c r="D44" s="84">
        <f t="shared" si="2"/>
        <v>24812.158479842008</v>
      </c>
      <c r="E44" s="84">
        <f t="shared" si="0"/>
        <v>733730.97218961432</v>
      </c>
    </row>
    <row r="45" spans="3:5" x14ac:dyDescent="0.25">
      <c r="C45" s="71">
        <f t="shared" si="1"/>
        <v>32</v>
      </c>
      <c r="D45" s="84">
        <f t="shared" si="2"/>
        <v>25680.584026636439</v>
      </c>
      <c r="E45" s="84">
        <f t="shared" si="0"/>
        <v>759411.55621625076</v>
      </c>
    </row>
    <row r="46" spans="3:5" x14ac:dyDescent="0.25">
      <c r="C46" s="71">
        <f t="shared" si="1"/>
        <v>33</v>
      </c>
      <c r="D46" s="84">
        <f t="shared" si="2"/>
        <v>26579.404467568733</v>
      </c>
      <c r="E46" s="84">
        <f t="shared" si="0"/>
        <v>785990.96068381949</v>
      </c>
    </row>
    <row r="47" spans="3:5" x14ac:dyDescent="0.25">
      <c r="C47" s="71">
        <f t="shared" si="1"/>
        <v>34</v>
      </c>
      <c r="D47" s="84">
        <f t="shared" si="2"/>
        <v>27509.683623933583</v>
      </c>
      <c r="E47" s="84">
        <f t="shared" si="0"/>
        <v>813500.64430775307</v>
      </c>
    </row>
    <row r="48" spans="3:5" x14ac:dyDescent="0.25">
      <c r="C48" s="71">
        <f t="shared" si="1"/>
        <v>35</v>
      </c>
      <c r="D48" s="84">
        <f t="shared" si="2"/>
        <v>28472.522550771246</v>
      </c>
      <c r="E48" s="84">
        <f t="shared" si="0"/>
        <v>841973.16685852432</v>
      </c>
    </row>
    <row r="49" spans="3:5" x14ac:dyDescent="0.25">
      <c r="C49" s="71">
        <f t="shared" si="1"/>
        <v>36</v>
      </c>
      <c r="D49" s="84">
        <f t="shared" si="2"/>
        <v>29469.060840048245</v>
      </c>
      <c r="E49" s="84">
        <f t="shared" si="0"/>
        <v>871442.22769857256</v>
      </c>
    </row>
    <row r="50" spans="3:5" x14ac:dyDescent="0.25">
      <c r="C50" s="71">
        <f t="shared" si="1"/>
        <v>37</v>
      </c>
      <c r="D50" s="84">
        <f t="shared" si="2"/>
        <v>30500.477969449945</v>
      </c>
      <c r="E50" s="84">
        <f t="shared" si="0"/>
        <v>901942.70566802251</v>
      </c>
    </row>
    <row r="51" spans="3:5" x14ac:dyDescent="0.25">
      <c r="C51" s="71">
        <f t="shared" si="1"/>
        <v>38</v>
      </c>
      <c r="D51" s="84">
        <f t="shared" si="2"/>
        <v>31567.994698380702</v>
      </c>
      <c r="E51" s="84">
        <f t="shared" si="0"/>
        <v>933510.70036640321</v>
      </c>
    </row>
    <row r="52" spans="3:5" x14ac:dyDescent="0.25">
      <c r="C52" s="71">
        <f t="shared" si="1"/>
        <v>39</v>
      </c>
      <c r="D52" s="84">
        <f t="shared" si="2"/>
        <v>32672.874512823997</v>
      </c>
      <c r="E52" s="84">
        <f t="shared" si="0"/>
        <v>966183.57487922721</v>
      </c>
    </row>
    <row r="53" spans="3:5" x14ac:dyDescent="0.25">
      <c r="C53" s="71">
        <f t="shared" si="1"/>
        <v>40</v>
      </c>
      <c r="D53" s="84">
        <f t="shared" si="2"/>
        <v>33816.42512077291</v>
      </c>
      <c r="E53" s="82">
        <f t="shared" si="0"/>
        <v>1000000.0000000001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1&amp;2</vt:lpstr>
      <vt:lpstr>1&amp;2 (an)</vt:lpstr>
      <vt:lpstr>3</vt:lpstr>
      <vt:lpstr>3 (an)</vt:lpstr>
      <vt:lpstr>4</vt:lpstr>
      <vt:lpstr>4 (an)</vt:lpstr>
      <vt:lpstr>5</vt:lpstr>
      <vt:lpstr>5 (an)</vt:lpstr>
      <vt:lpstr>xxxx</vt:lpstr>
      <vt:lpstr>6&amp;7&amp;8</vt:lpstr>
      <vt:lpstr>6&amp;7&amp;8 (an)</vt:lpstr>
      <vt:lpstr>6.5</vt:lpstr>
      <vt:lpstr>6.5 (an)</vt:lpstr>
      <vt:lpstr>9</vt:lpstr>
      <vt:lpstr>9 (n)</vt:lpstr>
      <vt:lpstr>10</vt:lpstr>
      <vt:lpstr>10 (an)</vt:lpstr>
      <vt:lpstr>11</vt:lpstr>
      <vt:lpstr>11 (an)</vt:lpstr>
      <vt:lpstr>12</vt:lpstr>
      <vt:lpstr>12 (an)</vt:lpstr>
      <vt:lpstr>12.5</vt:lpstr>
      <vt:lpstr>12.5 (an)</vt:lpstr>
      <vt:lpstr>13</vt:lpstr>
      <vt:lpstr>13 (an)</vt:lpstr>
      <vt:lpstr>14</vt:lpstr>
      <vt:lpstr>14 (an)</vt:lpstr>
      <vt:lpstr>15</vt:lpstr>
      <vt:lpstr>15 (an)</vt:lpstr>
      <vt:lpstr>16</vt:lpstr>
      <vt:lpstr>16 (an)</vt:lpstr>
      <vt:lpstr>17</vt:lpstr>
      <vt:lpstr>17 (an)</vt:lpstr>
      <vt:lpstr>18</vt:lpstr>
      <vt:lpstr>18 (an)</vt:lpstr>
      <vt:lpstr>FC</vt:lpstr>
      <vt:lpstr>19&amp;20</vt:lpstr>
      <vt:lpstr>19&amp;20 (an)</vt:lpstr>
      <vt:lpstr>21</vt:lpstr>
      <vt:lpstr>21 (an)</vt:lpstr>
      <vt:lpstr>CF pattern</vt:lpstr>
      <vt:lpstr>22</vt:lpstr>
      <vt:lpstr>22 (an)</vt:lpstr>
      <vt:lpstr>22.5</vt:lpstr>
      <vt:lpstr>22.5 (an)</vt:lpstr>
      <vt:lpstr>23</vt:lpstr>
      <vt:lpstr>23 (an)</vt:lpstr>
      <vt:lpstr>24</vt:lpstr>
      <vt:lpstr>24 (an)</vt:lpstr>
      <vt:lpstr>25</vt:lpstr>
      <vt:lpstr>25 (an)</vt:lpstr>
      <vt:lpstr>26</vt:lpstr>
      <vt:lpstr>26 (an)</vt:lpstr>
      <vt:lpstr>27</vt:lpstr>
      <vt:lpstr>27 (an)</vt:lpstr>
      <vt:lpstr>28</vt:lpstr>
      <vt:lpstr>28 (an)</vt:lpstr>
      <vt:lpstr>29</vt:lpstr>
      <vt:lpstr>29 (an)</vt:lpstr>
      <vt:lpstr>30</vt:lpstr>
      <vt:lpstr>30 (an)</vt:lpstr>
      <vt:lpstr>Tax advantage</vt:lpstr>
    </vt:vector>
  </TitlesOfParts>
  <Company>Highline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 Public Workstation</dc:creator>
  <cp:lastModifiedBy>Girvin, Michael</cp:lastModifiedBy>
  <dcterms:created xsi:type="dcterms:W3CDTF">2010-10-08T16:42:36Z</dcterms:created>
  <dcterms:modified xsi:type="dcterms:W3CDTF">2025-01-30T23:58:52Z</dcterms:modified>
</cp:coreProperties>
</file>