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hartsheets/sheet1.xml" ContentType="application/vnd.openxmlformats-officedocument.spreadsheetml.chart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6"/>
  <workbookPr codeName="ThisWorkbook" defaultThemeVersion="124226"/>
  <mc:AlternateContent xmlns:mc="http://schemas.openxmlformats.org/markup-compatibility/2006">
    <mc:Choice Requires="x15">
      <x15ac:absPath xmlns:x15ac="http://schemas.microsoft.com/office/spreadsheetml/2010/11/ac" url="C:\Users\mgirvin\Desktop\00-455-2025\02-VideosFilesHomework\Ch04\"/>
    </mc:Choice>
  </mc:AlternateContent>
  <xr:revisionPtr revIDLastSave="0" documentId="8_{B7FC5363-2EBA-449F-A61D-0272654EBA06}" xr6:coauthVersionLast="47" xr6:coauthVersionMax="47" xr10:uidLastSave="{00000000-0000-0000-0000-000000000000}"/>
  <bookViews>
    <workbookView xWindow="-108" yWindow="-108" windowWidth="23256" windowHeight="12576" tabRatio="712" firstSheet="13" activeTab="24" xr2:uid="{ED16D092-C120-4E8B-9A66-D7DCB5A4DFE9}"/>
  </bookViews>
  <sheets>
    <sheet name="Ex(1)" sheetId="114" r:id="rId1"/>
    <sheet name="Ex(1an)" sheetId="154" r:id="rId2"/>
    <sheet name="Ex(2)" sheetId="12" r:id="rId3"/>
    <sheet name="Ex(2an)" sheetId="30" r:id="rId4"/>
    <sheet name="Ex(2an365)" sheetId="157" r:id="rId5"/>
    <sheet name="Ex(3)" sheetId="11" r:id="rId6"/>
    <sheet name="Ex(3an)" sheetId="31" r:id="rId7"/>
    <sheet name="Ex(3an365)" sheetId="159" r:id="rId8"/>
    <sheet name="Ex(3chart)" sheetId="18" r:id="rId9"/>
    <sheet name="FV Higher Rates" sheetId="19" state="hidden" r:id="rId10"/>
    <sheet name="Ex(4)" sheetId="9" r:id="rId11"/>
    <sheet name="Ex(4an)" sheetId="33" r:id="rId12"/>
    <sheet name="Ex(5)" sheetId="15" r:id="rId13"/>
    <sheet name="Ex(5an)" sheetId="36" r:id="rId14"/>
    <sheet name="Ex(6)" sheetId="17" r:id="rId15"/>
    <sheet name="Ex(6an)" sheetId="38" r:id="rId16"/>
    <sheet name="Ex(7)" sheetId="21" r:id="rId17"/>
    <sheet name="Ex(7an)" sheetId="39" r:id="rId18"/>
    <sheet name="NPER (8)" sheetId="28" r:id="rId19"/>
    <sheet name="NPER (8an)" sheetId="41" r:id="rId20"/>
    <sheet name="PV Higher Rates" sheetId="20" state="hidden" r:id="rId21"/>
    <sheet name="(8chart)" sheetId="43" r:id="rId22"/>
    <sheet name="Rate(9)" sheetId="29" r:id="rId23"/>
    <sheet name="Rate(9an)" sheetId="42" r:id="rId24"/>
    <sheet name="Ex(10)" sheetId="88" r:id="rId25"/>
    <sheet name="Ex(10an)" sheetId="89" r:id="rId26"/>
    <sheet name="Ex(11)" sheetId="112" r:id="rId27"/>
    <sheet name="Ex(11an)" sheetId="113" r:id="rId28"/>
    <sheet name="Ex(12)" sheetId="155" r:id="rId29"/>
    <sheet name="Ex(12an)" sheetId="156" r:id="rId30"/>
    <sheet name="Homework Templates ==&gt;" sheetId="117" state="hidden" r:id="rId31"/>
    <sheet name="ST (4.1,4.2,4.3,4.4) (T)" sheetId="118" state="hidden" r:id="rId32"/>
    <sheet name="ST (4.1,4.2,4.3,4.4) (an)" sheetId="119" state="hidden" r:id="rId33"/>
    <sheet name="CriticalThink 4.1,4.2,4.3(T)" sheetId="120" state="hidden" r:id="rId34"/>
    <sheet name="CriticalThink 4.1,4.2,4.3(an)" sheetId="121" state="hidden" r:id="rId35"/>
    <sheet name="(T) Q&amp;P(1)" sheetId="122" state="hidden" r:id="rId36"/>
    <sheet name="(T) Q&amp;P(1an)" sheetId="123" state="hidden" r:id="rId37"/>
    <sheet name="(T) Q&amp;P(2)" sheetId="124" state="hidden" r:id="rId38"/>
    <sheet name="(T) Q&amp;P(2an)" sheetId="125" state="hidden" r:id="rId39"/>
    <sheet name="(T) Q&amp;P(3)" sheetId="126" state="hidden" r:id="rId40"/>
    <sheet name="(T) Q&amp;P(3an)" sheetId="127" state="hidden" r:id="rId41"/>
    <sheet name="(T) Q&amp;P(4)" sheetId="128" state="hidden" r:id="rId42"/>
    <sheet name="(T) Q&amp;P(4an)" sheetId="129" state="hidden" r:id="rId43"/>
    <sheet name="(T) Q&amp;P(5)" sheetId="130" state="hidden" r:id="rId44"/>
    <sheet name="(T) Q&amp;P(5an)" sheetId="131" state="hidden" r:id="rId45"/>
    <sheet name="(T) Q&amp;P(6)" sheetId="132" state="hidden" r:id="rId46"/>
    <sheet name="(T) Q&amp;P(6an)" sheetId="133" state="hidden" r:id="rId47"/>
    <sheet name="(T) Q&amp;P(7)" sheetId="134" state="hidden" r:id="rId48"/>
    <sheet name="(T) Q&amp;P(7an)" sheetId="135" state="hidden" r:id="rId49"/>
    <sheet name="(T) Q&amp;P(8)" sheetId="136" state="hidden" r:id="rId50"/>
    <sheet name="(T) Q&amp;P(8an)" sheetId="137" state="hidden" r:id="rId51"/>
    <sheet name="(T) Q&amp;P(10)" sheetId="138" state="hidden" r:id="rId52"/>
    <sheet name="(T) Q&amp;P(10an)" sheetId="139" state="hidden" r:id="rId53"/>
    <sheet name="(T) Q&amp;P(11)" sheetId="140" state="hidden" r:id="rId54"/>
    <sheet name="(T) Q&amp;P(11an)" sheetId="141" state="hidden" r:id="rId55"/>
    <sheet name="(T) Q&amp;P(18)" sheetId="142" state="hidden" r:id="rId56"/>
    <sheet name="(T) Q&amp;P(18an)" sheetId="143" state="hidden" r:id="rId57"/>
    <sheet name="(T) Q&amp;P(19)" sheetId="144" state="hidden" r:id="rId58"/>
    <sheet name="(T) Q&amp;P(19an)" sheetId="145" state="hidden" r:id="rId59"/>
    <sheet name="(T) Q&amp;P(22)" sheetId="146" state="hidden" r:id="rId60"/>
    <sheet name="(T) Q&amp;P(22an)" sheetId="147" state="hidden" r:id="rId61"/>
    <sheet name="(T) Q&amp;P(23)" sheetId="148" state="hidden" r:id="rId62"/>
    <sheet name="(T) Q&amp;P(23an)" sheetId="149" state="hidden" r:id="rId63"/>
    <sheet name="(T) Q&amp;P(24)" sheetId="150" state="hidden" r:id="rId64"/>
    <sheet name="(T) Q&amp;P(24an)" sheetId="151" state="hidden" r:id="rId65"/>
    <sheet name="(T) Q&amp;P(25)" sheetId="152" state="hidden" r:id="rId66"/>
    <sheet name="(T) Q&amp;P(25an)" sheetId="153" state="hidden" r:id="rId67"/>
    <sheet name="Chapter05==&gt;" sheetId="4" state="hidden" r:id="rId68"/>
    <sheet name="PV" sheetId="1" state="hidden" r:id="rId69"/>
    <sheet name="Rate" sheetId="2" state="hidden" r:id="rId70"/>
    <sheet name="Payday Loans" sheetId="3" state="hidden" r:id="rId71"/>
  </sheets>
  <definedNames>
    <definedName name="ShowFormulas" comment="Enter reference to a cell or range to show formulas.">_xlfn.LAMBDA(_xlpm.Reference,_xlfn.LET(_xlpm.c, _xlpm.Reference, _xlfn.TOCOL(ADDRESS(ROW(_xlpm.c), COLUMN(_xlpm.c), 4) &amp; ": " &amp; _xlfn.FORMULATEXT(_xlpm.c), 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159" l="1"/>
  <c r="B18" i="159"/>
  <c r="B17" i="159"/>
  <c r="B15" i="159"/>
  <c r="B13" i="159"/>
  <c r="B8" i="159" a="1"/>
  <c r="B8" i="159" s="1"/>
  <c r="C7" i="159" a="1"/>
  <c r="C7" i="159" s="1"/>
  <c r="E14" i="157" a="1"/>
  <c r="E14" i="157" s="1"/>
  <c r="E9" i="157" a="1"/>
  <c r="E9" i="157" s="1"/>
  <c r="E8" i="157" a="1"/>
  <c r="E8" i="157" s="1"/>
  <c r="E5" i="157" a="1"/>
  <c r="E5" i="157" s="1"/>
  <c r="B14" i="157"/>
  <c r="E14" i="30" a="1"/>
  <c r="E14" i="30" s="1"/>
  <c r="E9" i="30" a="1"/>
  <c r="E9" i="30" s="1"/>
  <c r="E8" i="30" a="1"/>
  <c r="E8" i="30" s="1"/>
  <c r="E5" i="30" a="1"/>
  <c r="E5" i="30" s="1"/>
  <c r="H12" i="154" a="1"/>
  <c r="H12" i="154" s="1"/>
  <c r="H7" i="154" a="1"/>
  <c r="H7" i="154" s="1"/>
  <c r="C9" i="157" a="1"/>
  <c r="C9" i="157" s="1"/>
  <c r="C8" i="157"/>
  <c r="B9" i="157" a="1"/>
  <c r="B9" i="157" s="1"/>
  <c r="B5" i="157"/>
  <c r="A2" i="3"/>
  <c r="A7" i="3"/>
  <c r="B7" i="3"/>
  <c r="B11" i="3" s="1"/>
  <c r="A9" i="3"/>
  <c r="B9" i="3"/>
  <c r="B10" i="3" s="1"/>
  <c r="B2" i="2"/>
  <c r="E2" i="2"/>
  <c r="C4" i="1"/>
  <c r="D4" i="1" s="1"/>
  <c r="D12" i="1" s="1"/>
  <c r="E4" i="1"/>
  <c r="C5" i="1"/>
  <c r="D5" i="1" s="1"/>
  <c r="E5" i="1"/>
  <c r="C6" i="1"/>
  <c r="D6" i="1"/>
  <c r="E6" i="1"/>
  <c r="C7" i="1"/>
  <c r="D7" i="1" s="1"/>
  <c r="E7" i="1"/>
  <c r="C8" i="1"/>
  <c r="D8" i="1"/>
  <c r="E8" i="1"/>
  <c r="E12" i="1" s="1"/>
  <c r="C9" i="1"/>
  <c r="D9" i="1"/>
  <c r="E9" i="1"/>
  <c r="C10" i="1"/>
  <c r="D10" i="1"/>
  <c r="E10" i="1"/>
  <c r="C11" i="1"/>
  <c r="D11" i="1"/>
  <c r="E11" i="1"/>
  <c r="B12" i="1"/>
  <c r="B6" i="153"/>
  <c r="E6" i="153"/>
  <c r="B4" i="151"/>
  <c r="B6" i="151"/>
  <c r="B7" i="151"/>
  <c r="B9" i="151"/>
  <c r="B3" i="149"/>
  <c r="B6" i="149"/>
  <c r="E6" i="149"/>
  <c r="B7" i="149"/>
  <c r="B9" i="149"/>
  <c r="B4" i="147"/>
  <c r="B6" i="147"/>
  <c r="B7" i="147"/>
  <c r="B8" i="147" s="1"/>
  <c r="F8" i="147"/>
  <c r="G8" i="147"/>
  <c r="B10" i="147"/>
  <c r="B2" i="145"/>
  <c r="F3" i="145"/>
  <c r="B5" i="145"/>
  <c r="L3" i="145" s="1"/>
  <c r="B7" i="145" s="1"/>
  <c r="B11" i="145"/>
  <c r="B2" i="144"/>
  <c r="F3" i="144"/>
  <c r="L3" i="144"/>
  <c r="E2" i="143"/>
  <c r="E3" i="143"/>
  <c r="B4" i="143"/>
  <c r="E4" i="143"/>
  <c r="B6" i="143"/>
  <c r="E6" i="143"/>
  <c r="B8" i="143"/>
  <c r="B11" i="143"/>
  <c r="E11" i="143"/>
  <c r="E2" i="142"/>
  <c r="E3" i="142"/>
  <c r="B4" i="142"/>
  <c r="E4" i="142" s="1"/>
  <c r="B5" i="141"/>
  <c r="F5" i="141"/>
  <c r="B6" i="141"/>
  <c r="B5" i="139"/>
  <c r="B6" i="139"/>
  <c r="B7" i="139"/>
  <c r="D7" i="139"/>
  <c r="B9" i="139"/>
  <c r="B5" i="138"/>
  <c r="B6" i="138"/>
  <c r="B3" i="137"/>
  <c r="B7" i="137"/>
  <c r="B8" i="137" s="1"/>
  <c r="D7" i="137"/>
  <c r="B8" i="135"/>
  <c r="B9" i="135" s="1"/>
  <c r="B18" i="135" s="1"/>
  <c r="D8" i="135"/>
  <c r="E8" i="135" s="1"/>
  <c r="B15" i="135"/>
  <c r="B16" i="135" s="1"/>
  <c r="B19" i="135" s="1"/>
  <c r="D15" i="135"/>
  <c r="E15" i="135" s="1"/>
  <c r="B5" i="133"/>
  <c r="B6" i="133" s="1"/>
  <c r="B7" i="133" s="1"/>
  <c r="C5" i="133"/>
  <c r="C6" i="133" s="1"/>
  <c r="C2" i="131"/>
  <c r="D2" i="131"/>
  <c r="C3" i="131"/>
  <c r="D3" i="131"/>
  <c r="C4" i="131"/>
  <c r="D4" i="131"/>
  <c r="C5" i="131"/>
  <c r="D5" i="131"/>
  <c r="D2" i="129"/>
  <c r="E2" i="129"/>
  <c r="D3" i="129"/>
  <c r="E3" i="129"/>
  <c r="D4" i="129"/>
  <c r="E4" i="129"/>
  <c r="D5" i="129"/>
  <c r="E5" i="129"/>
  <c r="B2" i="127"/>
  <c r="C2" i="127"/>
  <c r="B3" i="127"/>
  <c r="C3" i="127"/>
  <c r="B4" i="127"/>
  <c r="C4" i="127"/>
  <c r="B5" i="127"/>
  <c r="C5" i="127"/>
  <c r="F2" i="125"/>
  <c r="G2" i="125"/>
  <c r="F3" i="125"/>
  <c r="G3" i="125"/>
  <c r="F4" i="125"/>
  <c r="G4" i="125"/>
  <c r="F5" i="125"/>
  <c r="G5" i="125"/>
  <c r="E4" i="123"/>
  <c r="B6" i="123"/>
  <c r="E6" i="123"/>
  <c r="E7" i="123"/>
  <c r="A9" i="123"/>
  <c r="B9" i="123"/>
  <c r="A10" i="123"/>
  <c r="B10" i="123"/>
  <c r="B11" i="123"/>
  <c r="E4" i="122"/>
  <c r="A9" i="122"/>
  <c r="A10" i="122"/>
  <c r="E4" i="119"/>
  <c r="B6" i="119"/>
  <c r="H6" i="119"/>
  <c r="K6" i="119"/>
  <c r="B7" i="119"/>
  <c r="H7" i="119"/>
  <c r="K7" i="119"/>
  <c r="E8" i="119"/>
  <c r="H8" i="119"/>
  <c r="E9" i="119"/>
  <c r="E10" i="119"/>
  <c r="K14" i="119"/>
  <c r="K15" i="119"/>
  <c r="B7" i="156"/>
  <c r="B8" i="156"/>
  <c r="A9" i="156"/>
  <c r="B9" i="156"/>
  <c r="E9" i="156"/>
  <c r="B17" i="156"/>
  <c r="B18" i="156"/>
  <c r="A19" i="156"/>
  <c r="B19" i="156"/>
  <c r="E19" i="156"/>
  <c r="A9" i="155"/>
  <c r="E9" i="155"/>
  <c r="A19" i="155"/>
  <c r="E19" i="155"/>
  <c r="C6" i="113"/>
  <c r="C7" i="113"/>
  <c r="C9" i="113"/>
  <c r="C8" i="113" s="1"/>
  <c r="B11" i="113"/>
  <c r="B6" i="89"/>
  <c r="B7" i="89"/>
  <c r="C7" i="89"/>
  <c r="B8" i="89"/>
  <c r="C8" i="89"/>
  <c r="B9" i="89"/>
  <c r="B10" i="89"/>
  <c r="B12" i="89"/>
  <c r="A1" i="42"/>
  <c r="B6" i="42"/>
  <c r="B7" i="42"/>
  <c r="B8" i="42"/>
  <c r="B10" i="42"/>
  <c r="A11" i="42"/>
  <c r="B11" i="42"/>
  <c r="A12" i="42"/>
  <c r="B12" i="42"/>
  <c r="A13" i="42"/>
  <c r="B13" i="42"/>
  <c r="A1" i="29"/>
  <c r="B10" i="29"/>
  <c r="A11" i="29"/>
  <c r="A12" i="29" s="1"/>
  <c r="B11" i="29"/>
  <c r="B12" i="29" s="1"/>
  <c r="C7" i="20"/>
  <c r="B8" i="20"/>
  <c r="C8" i="20"/>
  <c r="B9" i="20"/>
  <c r="C9" i="20"/>
  <c r="B10" i="20"/>
  <c r="C10" i="20"/>
  <c r="B11" i="20"/>
  <c r="C11" i="20"/>
  <c r="B12" i="20"/>
  <c r="B13" i="20"/>
  <c r="B14" i="20"/>
  <c r="B15" i="20"/>
  <c r="B16" i="20"/>
  <c r="B17" i="20"/>
  <c r="B18" i="20"/>
  <c r="A1" i="41"/>
  <c r="B6" i="41"/>
  <c r="B7" i="41"/>
  <c r="B8" i="41"/>
  <c r="B16" i="41"/>
  <c r="B18" i="41"/>
  <c r="B19" i="41"/>
  <c r="A20" i="41"/>
  <c r="B20" i="41"/>
  <c r="A21" i="41"/>
  <c r="B21" i="41"/>
  <c r="A22" i="41"/>
  <c r="B22" i="41"/>
  <c r="A23" i="41"/>
  <c r="B23" i="41"/>
  <c r="A1" i="28"/>
  <c r="B16" i="28"/>
  <c r="B18" i="28"/>
  <c r="B19" i="28"/>
  <c r="A20" i="28"/>
  <c r="B20" i="28"/>
  <c r="A21" i="28"/>
  <c r="B21" i="28"/>
  <c r="A22" i="28"/>
  <c r="B22" i="28"/>
  <c r="A23" i="28"/>
  <c r="B23" i="28"/>
  <c r="A1" i="39"/>
  <c r="B8" i="39"/>
  <c r="B9" i="39"/>
  <c r="B10" i="39"/>
  <c r="B11" i="39" s="1"/>
  <c r="A11" i="39"/>
  <c r="A12" i="39"/>
  <c r="B12" i="39"/>
  <c r="A13" i="39"/>
  <c r="B13" i="39"/>
  <c r="B14" i="39" s="1"/>
  <c r="B15" i="39"/>
  <c r="A1" i="21"/>
  <c r="A11" i="21"/>
  <c r="A12" i="21"/>
  <c r="A13" i="21"/>
  <c r="A1" i="38"/>
  <c r="B8" i="38"/>
  <c r="B9" i="38"/>
  <c r="B10" i="38" s="1"/>
  <c r="B11" i="38" s="1"/>
  <c r="A11" i="38"/>
  <c r="A12" i="38"/>
  <c r="B12" i="38"/>
  <c r="A13" i="38"/>
  <c r="B13" i="38"/>
  <c r="A1" i="17"/>
  <c r="A11" i="17"/>
  <c r="A12" i="17"/>
  <c r="A13" i="17"/>
  <c r="A1" i="36"/>
  <c r="B7" i="36"/>
  <c r="B8" i="36"/>
  <c r="A9" i="36"/>
  <c r="B9" i="36"/>
  <c r="A10" i="36"/>
  <c r="B10" i="36"/>
  <c r="B11" i="36" s="1"/>
  <c r="B12" i="36" s="1"/>
  <c r="A1" i="15"/>
  <c r="A9" i="15"/>
  <c r="A10" i="15"/>
  <c r="A1" i="33"/>
  <c r="B7" i="33"/>
  <c r="B8" i="33"/>
  <c r="B9" i="33"/>
  <c r="A10" i="33"/>
  <c r="B10" i="33"/>
  <c r="A11" i="33"/>
  <c r="B11" i="33"/>
  <c r="A12" i="33"/>
  <c r="B12" i="33"/>
  <c r="B13" i="33" s="1"/>
  <c r="B14" i="33" s="1"/>
  <c r="A1" i="9"/>
  <c r="A10" i="9"/>
  <c r="A11" i="9"/>
  <c r="A12" i="9"/>
  <c r="C7" i="19"/>
  <c r="C18" i="19" s="1"/>
  <c r="D7" i="19"/>
  <c r="B8" i="19"/>
  <c r="C8" i="19"/>
  <c r="D8" i="19"/>
  <c r="B9" i="19"/>
  <c r="C9" i="19"/>
  <c r="D9" i="19"/>
  <c r="B10" i="19"/>
  <c r="C10" i="19"/>
  <c r="D10" i="19"/>
  <c r="B11" i="19"/>
  <c r="C11" i="19"/>
  <c r="D11" i="19"/>
  <c r="B12" i="19"/>
  <c r="C12" i="19"/>
  <c r="D12" i="19"/>
  <c r="B13" i="19"/>
  <c r="C13" i="19"/>
  <c r="D13" i="19"/>
  <c r="B14" i="19"/>
  <c r="C14" i="19"/>
  <c r="D14" i="19"/>
  <c r="B15" i="19"/>
  <c r="C15" i="19"/>
  <c r="D15" i="19"/>
  <c r="B16" i="19"/>
  <c r="C16" i="19"/>
  <c r="D16" i="19"/>
  <c r="B17" i="19"/>
  <c r="C17" i="19"/>
  <c r="D17" i="19"/>
  <c r="B18" i="19"/>
  <c r="B6" i="18"/>
  <c r="C6" i="18"/>
  <c r="B7" i="18"/>
  <c r="C7" i="18"/>
  <c r="D7" i="18"/>
  <c r="B8" i="18"/>
  <c r="C8" i="18"/>
  <c r="D8" i="18"/>
  <c r="B9" i="18"/>
  <c r="C9" i="18"/>
  <c r="D9" i="18"/>
  <c r="B10" i="18"/>
  <c r="C10" i="18"/>
  <c r="D10" i="18"/>
  <c r="B11" i="18"/>
  <c r="C11" i="18"/>
  <c r="D11" i="18"/>
  <c r="B12" i="18"/>
  <c r="C12" i="18"/>
  <c r="D12" i="18"/>
  <c r="B13" i="18"/>
  <c r="C13" i="18"/>
  <c r="D13" i="18"/>
  <c r="B14" i="18"/>
  <c r="C14" i="18"/>
  <c r="D14" i="18"/>
  <c r="B15" i="18"/>
  <c r="C15" i="18"/>
  <c r="D15" i="18"/>
  <c r="B16" i="18"/>
  <c r="C16" i="18"/>
  <c r="D16" i="18"/>
  <c r="B17" i="18"/>
  <c r="C17" i="18"/>
  <c r="D17" i="18"/>
  <c r="C7" i="31"/>
  <c r="B8" i="31"/>
  <c r="C8" i="31"/>
  <c r="B9" i="31"/>
  <c r="C9" i="31"/>
  <c r="B10" i="31"/>
  <c r="C10" i="31"/>
  <c r="B11" i="31"/>
  <c r="C11" i="31"/>
  <c r="B13" i="31"/>
  <c r="B15" i="31"/>
  <c r="B18" i="31"/>
  <c r="B5" i="30"/>
  <c r="C8" i="30"/>
  <c r="B9" i="30"/>
  <c r="C9" i="30"/>
  <c r="B10" i="30"/>
  <c r="C10" i="30"/>
  <c r="B11" i="30"/>
  <c r="C11" i="30"/>
  <c r="B12" i="30"/>
  <c r="C12" i="30"/>
  <c r="B14" i="30"/>
  <c r="B17" i="31" s="1"/>
  <c r="B19" i="31" s="1"/>
  <c r="D7" i="154"/>
  <c r="D8" i="154"/>
  <c r="D9" i="154"/>
  <c r="D10" i="154"/>
  <c r="D12" i="154"/>
  <c r="B13" i="29" l="1"/>
  <c r="A13" i="29"/>
  <c r="D7" i="20"/>
  <c r="C12" i="20"/>
  <c r="C13" i="20"/>
  <c r="C14" i="20"/>
  <c r="C15" i="20"/>
  <c r="C16" i="20"/>
  <c r="C17" i="20"/>
  <c r="C18" i="20"/>
  <c r="B14" i="38"/>
  <c r="B15" i="38"/>
  <c r="D18" i="19"/>
  <c r="E7" i="19"/>
  <c r="D10" i="20" l="1"/>
  <c r="D9" i="20"/>
  <c r="E7" i="20"/>
  <c r="D8" i="20"/>
  <c r="D11" i="20"/>
  <c r="D18" i="20"/>
  <c r="D17" i="20"/>
  <c r="D16" i="20"/>
  <c r="D15" i="20"/>
  <c r="D14" i="20"/>
  <c r="D13" i="20"/>
  <c r="D12" i="20"/>
  <c r="E15" i="19"/>
  <c r="E10" i="19"/>
  <c r="E8" i="19"/>
  <c r="E13" i="19"/>
  <c r="E12" i="19"/>
  <c r="E17" i="19"/>
  <c r="E18" i="19"/>
  <c r="E16" i="19"/>
  <c r="E14" i="19"/>
  <c r="E11" i="19"/>
  <c r="E9" i="19"/>
  <c r="F7" i="19"/>
  <c r="E11" i="20" l="1"/>
  <c r="E18" i="20"/>
  <c r="E17" i="20"/>
  <c r="E16" i="20"/>
  <c r="E15" i="20"/>
  <c r="E14" i="20"/>
  <c r="E13" i="20"/>
  <c r="E12" i="20"/>
  <c r="E9" i="20"/>
  <c r="E8" i="20"/>
  <c r="F7" i="20"/>
  <c r="E10" i="20"/>
  <c r="F15" i="19"/>
  <c r="F13" i="19"/>
  <c r="F11" i="19"/>
  <c r="F12" i="19"/>
  <c r="F8" i="19"/>
  <c r="F16" i="19"/>
  <c r="F14" i="19"/>
  <c r="F10" i="19"/>
  <c r="G7" i="19"/>
  <c r="F18" i="19"/>
  <c r="F17" i="19"/>
  <c r="F9" i="19"/>
  <c r="F8" i="20" l="1"/>
  <c r="F10" i="20"/>
  <c r="G7" i="20"/>
  <c r="F18" i="20"/>
  <c r="F17" i="20"/>
  <c r="F16" i="20"/>
  <c r="F15" i="20"/>
  <c r="F14" i="20"/>
  <c r="F13" i="20"/>
  <c r="F12" i="20"/>
  <c r="F11" i="20"/>
  <c r="F9" i="20"/>
  <c r="G18" i="19"/>
  <c r="G17" i="19"/>
  <c r="G13" i="19"/>
  <c r="H7" i="19"/>
  <c r="G9" i="19"/>
  <c r="G14" i="19"/>
  <c r="G12" i="19"/>
  <c r="G16" i="19"/>
  <c r="G11" i="19"/>
  <c r="G10" i="19"/>
  <c r="G15" i="19"/>
  <c r="G8" i="19"/>
  <c r="G18" i="20" l="1"/>
  <c r="G17" i="20"/>
  <c r="G16" i="20"/>
  <c r="G15" i="20"/>
  <c r="G14" i="20"/>
  <c r="G13" i="20"/>
  <c r="G12" i="20"/>
  <c r="G11" i="20"/>
  <c r="G8" i="20"/>
  <c r="H7" i="20"/>
  <c r="G10" i="20"/>
  <c r="G9" i="20"/>
  <c r="H16" i="19"/>
  <c r="H15" i="19"/>
  <c r="H10" i="19"/>
  <c r="H12" i="19"/>
  <c r="H8" i="19"/>
  <c r="H13" i="19"/>
  <c r="H14" i="19"/>
  <c r="H11" i="19"/>
  <c r="I7" i="19"/>
  <c r="H18" i="19"/>
  <c r="H17" i="19"/>
  <c r="H9" i="19"/>
  <c r="H10" i="20" l="1"/>
  <c r="H9" i="20"/>
  <c r="I7" i="20"/>
  <c r="H18" i="20"/>
  <c r="H17" i="20"/>
  <c r="H16" i="20"/>
  <c r="H15" i="20"/>
  <c r="H14" i="20"/>
  <c r="H13" i="20"/>
  <c r="H12" i="20"/>
  <c r="H11" i="20"/>
  <c r="H8" i="20"/>
  <c r="I18" i="19"/>
  <c r="I17" i="19"/>
  <c r="I14" i="19"/>
  <c r="I11" i="19"/>
  <c r="J7" i="19"/>
  <c r="I13" i="19"/>
  <c r="I8" i="19"/>
  <c r="I16" i="19"/>
  <c r="I15" i="19"/>
  <c r="I9" i="19"/>
  <c r="I12" i="19"/>
  <c r="I10" i="19"/>
  <c r="I18" i="20" l="1"/>
  <c r="I17" i="20"/>
  <c r="I16" i="20"/>
  <c r="I15" i="20"/>
  <c r="I14" i="20"/>
  <c r="I13" i="20"/>
  <c r="I12" i="20"/>
  <c r="I11" i="20"/>
  <c r="I9" i="20"/>
  <c r="J7" i="20"/>
  <c r="I8" i="20"/>
  <c r="I10" i="20"/>
  <c r="J11" i="19"/>
  <c r="J9" i="19"/>
  <c r="J14" i="19"/>
  <c r="J13" i="19"/>
  <c r="J12" i="19"/>
  <c r="J10" i="19"/>
  <c r="J15" i="19"/>
  <c r="J8" i="19"/>
  <c r="J18" i="19"/>
  <c r="J17" i="19"/>
  <c r="J16" i="19"/>
  <c r="J10" i="20" l="1"/>
  <c r="J9" i="20"/>
  <c r="J18" i="20"/>
  <c r="J17" i="20"/>
  <c r="J16" i="20"/>
  <c r="J15" i="20"/>
  <c r="J14" i="20"/>
  <c r="J13" i="20"/>
  <c r="J12" i="20"/>
  <c r="J11" i="20"/>
  <c r="J8" i="20"/>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<sst xmlns="http://schemas.openxmlformats.org/spreadsheetml/2006/main" count="853" uniqueCount="175">
  <si>
    <t>Year</t>
  </si>
  <si>
    <t>PMT</t>
  </si>
  <si>
    <t>Rate</t>
  </si>
  <si>
    <t>PV</t>
  </si>
  <si>
    <t>PV Factor</t>
  </si>
  <si>
    <t>PV Amount formula</t>
  </si>
  <si>
    <t>PV Amount function</t>
  </si>
  <si>
    <t>EAR</t>
  </si>
  <si>
    <t>APR</t>
  </si>
  <si>
    <t>Periods</t>
  </si>
  <si>
    <t xml:space="preserve"> =(1+B4/C2)^C2-1</t>
  </si>
  <si>
    <t>((EAR +1)^(1/(i/r))-1)*(i/r)</t>
  </si>
  <si>
    <t>MoneyTreeLoaning will:</t>
  </si>
  <si>
    <t>Days in Future =</t>
  </si>
  <si>
    <t>Check Amount =</t>
  </si>
  <si>
    <t>You get Today =</t>
  </si>
  <si>
    <t>What is the APR and EAR?</t>
  </si>
  <si>
    <t>Days in Year =</t>
  </si>
  <si>
    <t>APR =</t>
  </si>
  <si>
    <t>EAR =</t>
  </si>
  <si>
    <t>PV = Investment =</t>
  </si>
  <si>
    <t>i = Annual Interest Rate =</t>
  </si>
  <si>
    <t>n = Compounding Periods per Year =</t>
  </si>
  <si>
    <t>x = years =</t>
  </si>
  <si>
    <t>Year 0</t>
  </si>
  <si>
    <t>Year 1</t>
  </si>
  <si>
    <t>Year 2</t>
  </si>
  <si>
    <t>Year 3</t>
  </si>
  <si>
    <t>Year 4</t>
  </si>
  <si>
    <t>Interest Earned</t>
  </si>
  <si>
    <t>Amount in Bank</t>
  </si>
  <si>
    <t>Simple Interest =</t>
  </si>
  <si>
    <t xml:space="preserve">                  </t>
  </si>
  <si>
    <t>FV = Future Value of Investment @ Compound Interest =</t>
  </si>
  <si>
    <t>Interest on Interest =</t>
  </si>
  <si>
    <t>Present Value = PV</t>
  </si>
  <si>
    <t>Annual Interest Rate = i</t>
  </si>
  <si>
    <t>Years = x</t>
  </si>
  <si>
    <t>Number of Compoundin Periods per Year = n</t>
  </si>
  <si>
    <t>Future Value = FV</t>
  </si>
  <si>
    <t>Period Payment = PMT</t>
  </si>
  <si>
    <t>Period Rate = i/n</t>
  </si>
  <si>
    <t>Total Periods = n*x</t>
  </si>
  <si>
    <t>(1 + i/n)^(n*x)</t>
  </si>
  <si>
    <t>Total Interest earned = cash put in - cash taken out</t>
  </si>
  <si>
    <t>"Annual Interest Rate" = Discount Rate (term used when doing PV calculations) = i</t>
  </si>
  <si>
    <t>Write it in words:</t>
  </si>
  <si>
    <t>Time</t>
  </si>
  <si>
    <t>Difference</t>
  </si>
  <si>
    <t>Incremnent for Chart</t>
  </si>
  <si>
    <t>check</t>
  </si>
  <si>
    <t>i</t>
  </si>
  <si>
    <t>n</t>
  </si>
  <si>
    <t>FV</t>
  </si>
  <si>
    <t>x*n</t>
  </si>
  <si>
    <t>x/n</t>
  </si>
  <si>
    <t>x</t>
  </si>
  <si>
    <t>i/n</t>
  </si>
  <si>
    <t>(1+i/n)</t>
  </si>
  <si>
    <t>FV/PV</t>
  </si>
  <si>
    <t>years</t>
  </si>
  <si>
    <t>months</t>
  </si>
  <si>
    <t>Annual Rate</t>
  </si>
  <si>
    <t>Half year rate</t>
  </si>
  <si>
    <t>PV =</t>
  </si>
  <si>
    <t>i =</t>
  </si>
  <si>
    <t>x =</t>
  </si>
  <si>
    <t>FV =</t>
  </si>
  <si>
    <t>n =</t>
  </si>
  <si>
    <t>Age Difference = x =</t>
  </si>
  <si>
    <t>Age =</t>
  </si>
  <si>
    <t>Future Age =</t>
  </si>
  <si>
    <t>i/n =</t>
  </si>
  <si>
    <t>Check with Rule of 72</t>
  </si>
  <si>
    <t>n*x =</t>
  </si>
  <si>
    <t>As you increase the length of time involved in a future value calculation (assuming a positive rate of return), the future value increases or the present value decreases. The time variable, or "input", is the most important variable in the Future Value and Present Value calculations because it has the most effect on the resultant number as compared to the other input variables.</t>
  </si>
  <si>
    <t>n*x</t>
  </si>
  <si>
    <t>i check</t>
  </si>
  <si>
    <t>Rule of 72: i/n aprox = 72/(n*x)</t>
  </si>
  <si>
    <t>FV check</t>
  </si>
  <si>
    <t>Remember, this is an estimate.</t>
  </si>
  <si>
    <t>Compounding is a means to get rich, as long as you have prudent saving habits. The definition of Compounding is:  "The process of accumulating interest in an investment over time to earn more interest."
Discounting is like "interest backwards". If you know a future value amount and you want to know what it is worth today, given an appropriate discount rate (same as interest rate), you make a Present Value calculation (PV = FV/((1+i/n)^(n*x))). The Present Value calculation is the Future Value calculation, but backwards. With the Future Value calculation you add all the interest to the Present Value amount to get the Future Value amount; time is going forward. However, with the Present Value calculation you take out (remove) all the interest from  the Future Value amount to get the Present Value amount; time is going Backwards.  The definition of Discounting is: "Using the appropriate discount rate, you discount back the future value amount to get the Present Value amount" or "what is the current value of future cash flows given an appropriate discount rate".</t>
  </si>
  <si>
    <t>As you increase the Period Interest Rate, i/n, the Future Value amount increases; whereas, the Present Value will decrease.</t>
  </si>
  <si>
    <t>1st City</t>
  </si>
  <si>
    <t>2nd City</t>
  </si>
  <si>
    <t>Extra Interest Due To Compounding</t>
  </si>
  <si>
    <t>Years</t>
  </si>
  <si>
    <t>Annual Interest Rate</t>
  </si>
  <si>
    <t># Compound Periods</t>
  </si>
  <si>
    <t>No.</t>
  </si>
  <si>
    <t>Total Cost Education = FV =</t>
  </si>
  <si>
    <t>Words:</t>
  </si>
  <si>
    <r>
      <t>PV</t>
    </r>
    <r>
      <rPr>
        <vertAlign val="subscript"/>
        <sz val="11"/>
        <color indexed="8"/>
        <rFont val="Calibri"/>
        <family val="2"/>
      </rPr>
      <t>1</t>
    </r>
    <r>
      <rPr>
        <sz val="11"/>
        <color theme="1"/>
        <rFont val="Calibri"/>
        <family val="2"/>
        <scheme val="minor"/>
      </rPr>
      <t xml:space="preserve"> =</t>
    </r>
  </si>
  <si>
    <r>
      <t>FV</t>
    </r>
    <r>
      <rPr>
        <vertAlign val="subscript"/>
        <sz val="11"/>
        <color indexed="8"/>
        <rFont val="Calibri"/>
        <family val="2"/>
      </rPr>
      <t>2</t>
    </r>
    <r>
      <rPr>
        <sz val="11"/>
        <color theme="1"/>
        <rFont val="Calibri"/>
        <family val="2"/>
        <scheme val="minor"/>
      </rPr>
      <t xml:space="preserve"> =</t>
    </r>
  </si>
  <si>
    <t>Annual Rate = i =</t>
  </si>
  <si>
    <t>x*n =</t>
  </si>
  <si>
    <t>i = (72/(n*x)*n) =</t>
  </si>
  <si>
    <t>Unfunded Pension Liability = FV =</t>
  </si>
  <si>
    <t>Year Difference = x =</t>
  </si>
  <si>
    <t>Must be paid in = years = x =</t>
  </si>
  <si>
    <t>Discount Rate =</t>
  </si>
  <si>
    <t>Discount Rate = i =</t>
  </si>
  <si>
    <t>Present Value of Liabilitiy (Lump Sum Value today that stock Analysts can subtract from current firm market value worth) = PV =</t>
  </si>
  <si>
    <t>FV = Lottery value in future =</t>
  </si>
  <si>
    <t xml:space="preserve">x = </t>
  </si>
  <si>
    <t>Words;</t>
  </si>
  <si>
    <t xml:space="preserve">PV = </t>
  </si>
  <si>
    <t>Part 1</t>
  </si>
  <si>
    <t>Part 2</t>
  </si>
  <si>
    <t>Time Line</t>
  </si>
  <si>
    <t>Months =</t>
  </si>
  <si>
    <t>1st</t>
  </si>
  <si>
    <t>2nd</t>
  </si>
  <si>
    <t>I want to be a millionaire when I retire, so with either option, I am going to invest earlier in life instead of later.</t>
  </si>
  <si>
    <t>Future Value</t>
  </si>
  <si>
    <t>Period Interest Rate</t>
  </si>
  <si>
    <t># of Compounding Periods per Year</t>
  </si>
  <si>
    <t>Total periods</t>
  </si>
  <si>
    <t>Present Value</t>
  </si>
  <si>
    <t>Time Given as:</t>
  </si>
  <si>
    <t>What is the Annual Interest Rate?</t>
  </si>
  <si>
    <t>Check:</t>
  </si>
  <si>
    <t>?</t>
  </si>
  <si>
    <t>Number of compounding periods per year</t>
  </si>
  <si>
    <t>FV = PV*(1+i/n)^((x*n)</t>
  </si>
  <si>
    <t>Period Rate</t>
  </si>
  <si>
    <t>Total Number of Periods</t>
  </si>
  <si>
    <t>Variables Mgirvin uses</t>
  </si>
  <si>
    <t>Variables Excel uses</t>
  </si>
  <si>
    <t>Variables textbook uses</t>
  </si>
  <si>
    <t>FV or C</t>
  </si>
  <si>
    <t>PV or C</t>
  </si>
  <si>
    <t>r</t>
  </si>
  <si>
    <t>t</t>
  </si>
  <si>
    <t>rate</t>
  </si>
  <si>
    <t>nper or npery</t>
  </si>
  <si>
    <t>Numbers and Formulas</t>
  </si>
  <si>
    <t>FV(rate,nper,pmt,[pv],[type])</t>
  </si>
  <si>
    <t>FV = Future Value of Investment @ Simple Interest =</t>
  </si>
  <si>
    <t>FV = PV*(1+i/n)^(n*x)</t>
  </si>
  <si>
    <t>2 = 1*(1+i)^12</t>
  </si>
  <si>
    <t>2 = (1+i)^12</t>
  </si>
  <si>
    <t>2^(1/12)-1 = i</t>
  </si>
  <si>
    <t>2 = 1.07^x</t>
  </si>
  <si>
    <t>LN2/LN1.07 = x</t>
  </si>
  <si>
    <t>3 = 1.07^x</t>
  </si>
  <si>
    <t>LN3/LN1.07 = x</t>
  </si>
  <si>
    <t>textbook answer looks incorrect.</t>
  </si>
  <si>
    <t>715 = 1381*(1+i/n)^(6)</t>
  </si>
  <si>
    <t>(715/1381)^(1/6)-1</t>
  </si>
  <si>
    <t>(FV/PV)^(1/(n*x))-1</t>
  </si>
  <si>
    <t>LN(FV/PV)/LN(1+i/n) = n*x</t>
  </si>
  <si>
    <r>
      <t>FV</t>
    </r>
    <r>
      <rPr>
        <vertAlign val="subscript"/>
        <sz val="11"/>
        <color indexed="8"/>
        <rFont val="Calibri"/>
        <family val="2"/>
      </rPr>
      <t>1</t>
    </r>
    <r>
      <rPr>
        <sz val="11"/>
        <color theme="1"/>
        <rFont val="Calibri"/>
        <family val="2"/>
        <scheme val="minor"/>
      </rPr>
      <t xml:space="preserve"> =</t>
    </r>
  </si>
  <si>
    <r>
      <t>PV</t>
    </r>
    <r>
      <rPr>
        <vertAlign val="subscript"/>
        <sz val="11"/>
        <color indexed="8"/>
        <rFont val="Calibri"/>
        <family val="2"/>
      </rPr>
      <t>2</t>
    </r>
    <r>
      <rPr>
        <sz val="11"/>
        <color theme="1"/>
        <rFont val="Calibri"/>
        <family val="2"/>
        <scheme val="minor"/>
      </rPr>
      <t xml:space="preserve"> =</t>
    </r>
  </si>
  <si>
    <t>Check</t>
  </si>
  <si>
    <t>Years = x =</t>
  </si>
  <si>
    <t>(3 month rate) , then 3 + 3 + 3 + 3 = 12 months</t>
  </si>
  <si>
    <t>&lt;&lt;== Three Month Rate</t>
  </si>
  <si>
    <t>&lt;&lt;== Annual Rate</t>
  </si>
  <si>
    <t>(3 month rate) , then 3 + 3 + 3 + 3 = 12 months, so 4 total period in a year</t>
  </si>
  <si>
    <t>Total Interest</t>
  </si>
  <si>
    <t>35 = 20*(1.0071)^(12*x)</t>
  </si>
  <si>
    <t>35/20 = (1.0071)^(12*x)</t>
  </si>
  <si>
    <t>LN(35/20) = LN((1.0071)^(12*n))</t>
  </si>
  <si>
    <t>LN(35/20) = 12*n*LN(1.0071)</t>
  </si>
  <si>
    <t>LN(35/20)/LN(1.0071) = 12*n</t>
  </si>
  <si>
    <t>LN(35/20)/LN(1.0071)/12 = n</t>
  </si>
  <si>
    <t>6.6 = n = years</t>
  </si>
  <si>
    <t>Using RATE:</t>
  </si>
  <si>
    <t>Rule of 72 givens an estimate of what rate you need to double Money.</t>
  </si>
  <si>
    <t>Notice that this is the number 1.2 not 0.012. To get an estimate of the real rate (using the Rule of 72), you would have to divide the result by 100.</t>
  </si>
  <si>
    <t>Notice that this is the number 14.4 not 0.144. To get an estimate of the real rate (using the Rule of 72), you would have to divide the result by 100.</t>
  </si>
  <si>
    <t>estimate of rate needed to double $</t>
  </si>
  <si>
    <t>If we invest $250,000.00 with an annual rate of 5.50% compounded 2 times a year for 15 years, what is the future value of the investment?</t>
  </si>
  <si>
    <t>If we borrow $250,000.00 with an annual rate of 5.50% compounded 2 times a year for 15 years, what is the future value of the amount we owe?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</si>
</sst>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8" formatCode="&quot;$&quot;#,##0.00_);[Red]\(&quot;$&quot;#,##0.00\)"/>
    <numFmt numFmtId="44" formatCode="_(&quot;$&quot;* #,##0.00_);_(&quot;$&quot;* \(#,##0.00\);_(&quot;$&quot;* &quot;-&quot;??_);_(@_)"/>
    <numFmt numFmtId="164" formatCode="#,##0.00%"/>
    <numFmt numFmtId="165" formatCode="0.0000000000000"/>
    <numFmt numFmtId="166" formatCode="0.000000000000000000"/>
    <numFmt numFmtId="167" formatCode="_(&quot;$&quot;* #,##0.00_);_(&quot;$&quot;* \(#,##0.00\);_(&quot;$&quot;* &quot;-&quot;?????????????_);_(@_)"/>
    <numFmt numFmtId="168" formatCode="0.00%\ &quot;Annual Rate&quot;"/>
    <numFmt numFmtId="169" formatCode="0.000"/>
    <numFmt numFmtId="170" formatCode="0.0000%"/>
    <numFmt numFmtId="171" formatCode="0.000%"/>
    <numFmt numFmtId="172" formatCode="0.000000%"/>
    <numFmt numFmtId="173" formatCode="&quot;$&quot;#,##0.00"/>
    <numFmt numFmtId="174" formatCode="0.000000000000000"/>
    <numFmt numFmtId="175" formatCode="0.00000000000"/>
  </numFmts>
  <fonts count="7" x14ac:knownFonts="1">
    <font>
      <sz val="11"/>
      <color theme="1"/>
      <name val="Calibri"/>
      <family val="2"/>
      <scheme val="minor"/>
    </font>
    <font>
      <sz val="11"/>
      <color indexed="8"/>
      <name val="Calibri"/>
      <family val="2"/>
    </font>
    <font>
      <sz val="11"/>
      <color indexed="8"/>
      <name val="Calibri"/>
      <family val="2"/>
    </font>
    <font>
      <vertAlign val="subscript"/>
      <sz val="11"/>
      <color indexed="8"/>
      <name val="Calibri"/>
      <family val="2"/>
    </font>
    <font>
      <sz val="11"/>
      <color theme="1"/>
      <name val="Calibri"/>
      <family val="2"/>
      <scheme val="minor"/>
    </font>
    <font>
      <sz val="11"/>
      <color theme="0"/>
      <name val="Calibri"/>
      <family val="2"/>
      <scheme val="minor"/>
    </font>
    <font>
      <b/>
      <sz val="20"/>
      <color theme="1"/>
      <name val="Calibri"/>
      <family val="2"/>
      <scheme val="minor"/>
    </font>
  </fonts>
  <fills count="8">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rgb="FFFFFF00"/>
        <bgColor indexed="64"/>
      </patternFill>
    </fill>
    <fill>
      <patternFill patternType="solid">
        <fgColor rgb="FFCCFFCC"/>
        <bgColor indexed="64"/>
      </patternFill>
    </fill>
    <fill>
      <patternFill patternType="solid">
        <fgColor rgb="FF002060"/>
        <bgColor indexed="64"/>
      </patternFill>
    </fill>
    <fill>
      <patternFill patternType="solid">
        <fgColor rgb="FFFFFF9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4" fontId="2" fillId="0" borderId="0" applyFont="0" applyFill="0" applyBorder="0" applyAlignment="0" applyProtection="0"/>
    <xf numFmtId="44"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cellStyleXfs>
  <cellXfs count="73">
    <xf numFmtId="0" fontId="0" fillId="0" borderId="0" xfId="0"/>
    <xf numFmtId="4" fontId="0" fillId="0" borderId="0" xfId="0" applyNumberFormat="1"/>
    <xf numFmtId="8" fontId="0" fillId="0" borderId="0" xfId="0" applyNumberFormat="1"/>
    <xf numFmtId="0" fontId="0" fillId="2" borderId="1" xfId="0" applyFill="1" applyBorder="1" applyAlignment="1">
      <alignment horizontal="centerContinuous" wrapText="1"/>
    </xf>
    <xf numFmtId="164" fontId="2" fillId="0" borderId="0" xfId="3" applyNumberFormat="1" applyFont="1"/>
    <xf numFmtId="164" fontId="0" fillId="0" borderId="0" xfId="0" applyNumberFormat="1"/>
    <xf numFmtId="0" fontId="0" fillId="0" borderId="1" xfId="0" applyBorder="1"/>
    <xf numFmtId="8" fontId="0" fillId="0" borderId="1" xfId="0" applyNumberFormat="1" applyBorder="1"/>
    <xf numFmtId="8" fontId="0" fillId="3" borderId="1" xfId="0" applyNumberFormat="1" applyFill="1" applyBorder="1"/>
    <xf numFmtId="44" fontId="2" fillId="0" borderId="1" xfId="1" applyFont="1" applyBorder="1"/>
    <xf numFmtId="10" fontId="0" fillId="0" borderId="1" xfId="0" applyNumberFormat="1" applyBorder="1"/>
    <xf numFmtId="0" fontId="0" fillId="3" borderId="1" xfId="0" applyFill="1" applyBorder="1" applyAlignment="1">
      <alignment horizontal="centerContinuous" wrapText="1"/>
    </xf>
    <xf numFmtId="0" fontId="0" fillId="0" borderId="1" xfId="0" applyBorder="1" applyAlignment="1">
      <alignment wrapText="1"/>
    </xf>
    <xf numFmtId="0" fontId="0" fillId="0" borderId="0" xfId="0" applyAlignment="1">
      <alignment wrapText="1"/>
    </xf>
    <xf numFmtId="8" fontId="0" fillId="0" borderId="1" xfId="0" applyNumberFormat="1" applyBorder="1" applyAlignment="1">
      <alignment wrapText="1"/>
    </xf>
    <xf numFmtId="168" fontId="0" fillId="0" borderId="1" xfId="0" applyNumberFormat="1" applyBorder="1" applyAlignment="1">
      <alignment wrapText="1"/>
    </xf>
    <xf numFmtId="0" fontId="0" fillId="3" borderId="1" xfId="0" applyFill="1" applyBorder="1"/>
    <xf numFmtId="165" fontId="0" fillId="3" borderId="1" xfId="0" applyNumberFormat="1" applyFill="1" applyBorder="1"/>
    <xf numFmtId="44" fontId="0" fillId="3" borderId="2" xfId="0" applyNumberFormat="1" applyFill="1" applyBorder="1"/>
    <xf numFmtId="8" fontId="0" fillId="3" borderId="2" xfId="0" applyNumberFormat="1" applyFill="1" applyBorder="1"/>
    <xf numFmtId="167" fontId="0" fillId="3" borderId="1" xfId="0" applyNumberFormat="1" applyFill="1" applyBorder="1"/>
    <xf numFmtId="166" fontId="0" fillId="3" borderId="1" xfId="0" applyNumberFormat="1" applyFill="1" applyBorder="1"/>
    <xf numFmtId="0" fontId="0" fillId="0" borderId="3" xfId="0" applyBorder="1"/>
    <xf numFmtId="44" fontId="2" fillId="0" borderId="2" xfId="1" applyFont="1" applyBorder="1"/>
    <xf numFmtId="0" fontId="0" fillId="3" borderId="4" xfId="0" applyFill="1" applyBorder="1" applyAlignment="1">
      <alignment horizontal="centerContinuous" wrapText="1"/>
    </xf>
    <xf numFmtId="10" fontId="0" fillId="3" borderId="1" xfId="0" applyNumberFormat="1" applyFill="1" applyBorder="1"/>
    <xf numFmtId="10" fontId="2" fillId="3" borderId="1" xfId="3" applyNumberFormat="1" applyFont="1" applyFill="1" applyBorder="1"/>
    <xf numFmtId="0" fontId="0" fillId="4" borderId="1" xfId="0" applyFill="1" applyBorder="1" applyAlignment="1">
      <alignment horizontal="centerContinuous" wrapText="1"/>
    </xf>
    <xf numFmtId="8" fontId="0" fillId="5" borderId="1" xfId="0" applyNumberFormat="1" applyFill="1" applyBorder="1"/>
    <xf numFmtId="3" fontId="0" fillId="0" borderId="1" xfId="0" applyNumberFormat="1" applyBorder="1"/>
    <xf numFmtId="0" fontId="0" fillId="5" borderId="1" xfId="0" applyFill="1" applyBorder="1"/>
    <xf numFmtId="0" fontId="0" fillId="0" borderId="5" xfId="0" applyBorder="1"/>
    <xf numFmtId="10" fontId="0" fillId="5" borderId="1" xfId="0" applyNumberFormat="1" applyFill="1" applyBorder="1"/>
    <xf numFmtId="0" fontId="0" fillId="4" borderId="1" xfId="0" applyFill="1" applyBorder="1" applyAlignment="1">
      <alignment wrapText="1"/>
    </xf>
    <xf numFmtId="0" fontId="0" fillId="5" borderId="1" xfId="0" applyFill="1" applyBorder="1" applyAlignment="1">
      <alignment wrapText="1"/>
    </xf>
    <xf numFmtId="0" fontId="6" fillId="4" borderId="1" xfId="0" applyFont="1" applyFill="1" applyBorder="1" applyAlignment="1">
      <alignment vertical="top" wrapText="1"/>
    </xf>
    <xf numFmtId="0" fontId="0" fillId="4" borderId="1" xfId="0" applyFill="1" applyBorder="1"/>
    <xf numFmtId="2" fontId="0" fillId="5" borderId="1" xfId="0" applyNumberFormat="1" applyFill="1" applyBorder="1"/>
    <xf numFmtId="169" fontId="0" fillId="5" borderId="1" xfId="0" applyNumberFormat="1" applyFill="1" applyBorder="1"/>
    <xf numFmtId="0" fontId="0" fillId="0" borderId="1" xfId="0" applyBorder="1" applyAlignment="1">
      <alignment horizontal="centerContinuous" wrapText="1"/>
    </xf>
    <xf numFmtId="44" fontId="0" fillId="5" borderId="1" xfId="0" applyNumberFormat="1" applyFill="1" applyBorder="1"/>
    <xf numFmtId="170" fontId="0" fillId="5" borderId="1" xfId="0" applyNumberFormat="1" applyFill="1" applyBorder="1"/>
    <xf numFmtId="0" fontId="0" fillId="5" borderId="1" xfId="0" applyFill="1" applyBorder="1" applyAlignment="1">
      <alignment horizontal="centerContinuous" wrapText="1"/>
    </xf>
    <xf numFmtId="172" fontId="0" fillId="5" borderId="1" xfId="0" applyNumberFormat="1" applyFill="1" applyBorder="1"/>
    <xf numFmtId="0" fontId="0" fillId="5" borderId="6" xfId="0" applyFill="1" applyBorder="1" applyAlignment="1">
      <alignment horizontal="centerContinuous" wrapText="1"/>
    </xf>
    <xf numFmtId="0" fontId="0" fillId="5" borderId="3" xfId="0" applyFill="1" applyBorder="1" applyAlignment="1">
      <alignment horizontal="centerContinuous" wrapText="1"/>
    </xf>
    <xf numFmtId="0" fontId="0" fillId="5" borderId="7" xfId="0" applyFill="1" applyBorder="1" applyAlignment="1">
      <alignment horizontal="centerContinuous" wrapText="1"/>
    </xf>
    <xf numFmtId="0" fontId="0" fillId="5" borderId="8" xfId="0" applyFill="1" applyBorder="1" applyAlignment="1">
      <alignment horizontal="centerContinuous" wrapText="1"/>
    </xf>
    <xf numFmtId="4" fontId="0" fillId="0" borderId="1" xfId="0" applyNumberFormat="1" applyBorder="1"/>
    <xf numFmtId="0" fontId="0" fillId="0" borderId="2" xfId="0" applyBorder="1" applyAlignment="1">
      <alignment horizontal="left"/>
    </xf>
    <xf numFmtId="0" fontId="0" fillId="0" borderId="0" xfId="0" applyAlignment="1">
      <alignment horizontal="left"/>
    </xf>
    <xf numFmtId="171" fontId="0" fillId="5" borderId="1" xfId="0" applyNumberFormat="1" applyFill="1" applyBorder="1"/>
    <xf numFmtId="0" fontId="5" fillId="6" borderId="0" xfId="0" applyFont="1" applyFill="1" applyAlignment="1">
      <alignment wrapText="1"/>
    </xf>
    <xf numFmtId="0" fontId="5" fillId="6" borderId="1" xfId="0" applyFont="1" applyFill="1" applyBorder="1" applyAlignment="1">
      <alignment wrapText="1"/>
    </xf>
    <xf numFmtId="44" fontId="4" fillId="0" borderId="1" xfId="2" applyFont="1" applyBorder="1"/>
    <xf numFmtId="0" fontId="4" fillId="5" borderId="1" xfId="2" applyNumberFormat="1" applyFont="1" applyFill="1" applyBorder="1"/>
    <xf numFmtId="44" fontId="4" fillId="0" borderId="1" xfId="2" applyFont="1" applyFill="1" applyBorder="1"/>
    <xf numFmtId="44" fontId="4" fillId="5" borderId="1" xfId="2" applyFont="1" applyFill="1" applyBorder="1"/>
    <xf numFmtId="8" fontId="4" fillId="5" borderId="1" xfId="2" applyNumberFormat="1" applyFont="1" applyFill="1" applyBorder="1"/>
    <xf numFmtId="10" fontId="4" fillId="0" borderId="1" xfId="4" applyNumberFormat="1" applyFont="1" applyBorder="1"/>
    <xf numFmtId="10" fontId="4" fillId="5" borderId="1" xfId="4" applyNumberFormat="1" applyFont="1" applyFill="1" applyBorder="1"/>
    <xf numFmtId="4" fontId="0" fillId="5" borderId="1" xfId="0" applyNumberFormat="1" applyFill="1" applyBorder="1"/>
    <xf numFmtId="173" fontId="4" fillId="4" borderId="1" xfId="2" applyNumberFormat="1" applyFont="1" applyFill="1" applyBorder="1" applyAlignment="1">
      <alignment horizontal="left"/>
    </xf>
    <xf numFmtId="171" fontId="4" fillId="5" borderId="1" xfId="4" applyNumberFormat="1" applyFont="1" applyFill="1" applyBorder="1"/>
    <xf numFmtId="4" fontId="4" fillId="0" borderId="1" xfId="2" applyNumberFormat="1" applyFont="1" applyBorder="1"/>
    <xf numFmtId="4" fontId="4" fillId="5" borderId="1" xfId="2" applyNumberFormat="1" applyFont="1" applyFill="1" applyBorder="1"/>
    <xf numFmtId="0" fontId="0" fillId="7" borderId="1" xfId="0" applyFill="1" applyBorder="1" applyAlignment="1">
      <alignment horizontal="centerContinuous" wrapText="1"/>
    </xf>
    <xf numFmtId="173" fontId="0" fillId="3" borderId="2" xfId="0" applyNumberFormat="1" applyFill="1" applyBorder="1"/>
    <xf numFmtId="174" fontId="0" fillId="3" borderId="1" xfId="0" applyNumberFormat="1" applyFill="1" applyBorder="1"/>
    <xf numFmtId="175" fontId="0" fillId="3" borderId="1" xfId="0" applyNumberFormat="1" applyFill="1" applyBorder="1"/>
    <xf numFmtId="0" fontId="0" fillId="5" borderId="8" xfId="0" applyFill="1" applyBorder="1"/>
    <xf numFmtId="173" fontId="2" fillId="0" borderId="1" xfId="1" applyNumberFormat="1" applyFont="1" applyBorder="1"/>
    <xf numFmtId="173" fontId="2" fillId="5" borderId="1" xfId="1" applyNumberFormat="1" applyFont="1" applyFill="1" applyBorder="1"/>
  </cellXfs>
  <cellStyles count="5">
    <cellStyle name="Currency" xfId="1" builtinId="4"/>
    <cellStyle name="Currency 2" xfId="2" xr:uid="{817F4D9A-0CC0-4C8A-96ED-C886100A8E4A}"/>
    <cellStyle name="Normal" xfId="0" builtinId="0"/>
    <cellStyle name="Percent" xfId="3" builtinId="5"/>
    <cellStyle name="Percent 2" xfId="4" xr:uid="{14F72B50-FA6F-4E00-95EB-D1A5C3632A7D}"/>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5.xml"/><Relationship Id="rId21" Type="http://schemas.openxmlformats.org/officeDocument/2006/relationships/worksheet" Target="worksheets/sheet21.xml"/><Relationship Id="rId42" Type="http://schemas.openxmlformats.org/officeDocument/2006/relationships/worksheet" Target="worksheets/sheet41.xml"/><Relationship Id="rId47" Type="http://schemas.openxmlformats.org/officeDocument/2006/relationships/worksheet" Target="worksheets/sheet46.xml"/><Relationship Id="rId63" Type="http://schemas.openxmlformats.org/officeDocument/2006/relationships/worksheet" Target="worksheets/sheet62.xml"/><Relationship Id="rId68" Type="http://schemas.openxmlformats.org/officeDocument/2006/relationships/worksheet" Target="worksheets/sheet6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8.xml"/><Relationship Id="rId11" Type="http://schemas.openxmlformats.org/officeDocument/2006/relationships/worksheet" Target="worksheets/sheet11.xml"/><Relationship Id="rId24" Type="http://schemas.openxmlformats.org/officeDocument/2006/relationships/worksheet" Target="worksheets/sheet23.xml"/><Relationship Id="rId32" Type="http://schemas.openxmlformats.org/officeDocument/2006/relationships/worksheet" Target="worksheets/sheet31.xml"/><Relationship Id="rId37" Type="http://schemas.openxmlformats.org/officeDocument/2006/relationships/worksheet" Target="worksheets/sheet36.xml"/><Relationship Id="rId40" Type="http://schemas.openxmlformats.org/officeDocument/2006/relationships/worksheet" Target="worksheets/sheet39.xml"/><Relationship Id="rId45" Type="http://schemas.openxmlformats.org/officeDocument/2006/relationships/worksheet" Target="worksheets/sheet44.xml"/><Relationship Id="rId53" Type="http://schemas.openxmlformats.org/officeDocument/2006/relationships/worksheet" Target="worksheets/sheet52.xml"/><Relationship Id="rId58" Type="http://schemas.openxmlformats.org/officeDocument/2006/relationships/worksheet" Target="worksheets/sheet57.xml"/><Relationship Id="rId66" Type="http://schemas.openxmlformats.org/officeDocument/2006/relationships/worksheet" Target="worksheets/sheet65.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0.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chartsheet" Target="chartsheets/sheet1.xml"/><Relationship Id="rId27" Type="http://schemas.openxmlformats.org/officeDocument/2006/relationships/worksheet" Target="worksheets/sheet26.xml"/><Relationship Id="rId30" Type="http://schemas.openxmlformats.org/officeDocument/2006/relationships/worksheet" Target="worksheets/sheet29.xml"/><Relationship Id="rId35" Type="http://schemas.openxmlformats.org/officeDocument/2006/relationships/worksheet" Target="worksheets/sheet34.xml"/><Relationship Id="rId43" Type="http://schemas.openxmlformats.org/officeDocument/2006/relationships/worksheet" Target="worksheets/sheet42.xml"/><Relationship Id="rId48" Type="http://schemas.openxmlformats.org/officeDocument/2006/relationships/worksheet" Target="worksheets/sheet47.xml"/><Relationship Id="rId56" Type="http://schemas.openxmlformats.org/officeDocument/2006/relationships/worksheet" Target="worksheets/sheet55.xml"/><Relationship Id="rId64" Type="http://schemas.openxmlformats.org/officeDocument/2006/relationships/worksheet" Target="worksheets/sheet63.xml"/><Relationship Id="rId69" Type="http://schemas.openxmlformats.org/officeDocument/2006/relationships/worksheet" Target="worksheets/sheet68.xml"/><Relationship Id="rId8" Type="http://schemas.openxmlformats.org/officeDocument/2006/relationships/worksheet" Target="worksheets/sheet8.xml"/><Relationship Id="rId51" Type="http://schemas.openxmlformats.org/officeDocument/2006/relationships/worksheet" Target="worksheets/sheet50.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4.xml"/><Relationship Id="rId33" Type="http://schemas.openxmlformats.org/officeDocument/2006/relationships/worksheet" Target="worksheets/sheet32.xml"/><Relationship Id="rId38" Type="http://schemas.openxmlformats.org/officeDocument/2006/relationships/worksheet" Target="worksheets/sheet37.xml"/><Relationship Id="rId46" Type="http://schemas.openxmlformats.org/officeDocument/2006/relationships/worksheet" Target="worksheets/sheet45.xml"/><Relationship Id="rId59" Type="http://schemas.openxmlformats.org/officeDocument/2006/relationships/worksheet" Target="worksheets/sheet58.xml"/><Relationship Id="rId67" Type="http://schemas.openxmlformats.org/officeDocument/2006/relationships/worksheet" Target="worksheets/sheet66.xml"/><Relationship Id="rId20" Type="http://schemas.openxmlformats.org/officeDocument/2006/relationships/worksheet" Target="worksheets/sheet20.xml"/><Relationship Id="rId41" Type="http://schemas.openxmlformats.org/officeDocument/2006/relationships/worksheet" Target="worksheets/sheet40.xml"/><Relationship Id="rId54" Type="http://schemas.openxmlformats.org/officeDocument/2006/relationships/worksheet" Target="worksheets/sheet53.xml"/><Relationship Id="rId62" Type="http://schemas.openxmlformats.org/officeDocument/2006/relationships/worksheet" Target="worksheets/sheet61.xml"/><Relationship Id="rId70" Type="http://schemas.openxmlformats.org/officeDocument/2006/relationships/worksheet" Target="worksheets/sheet69.xml"/><Relationship Id="rId75"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2.xml"/><Relationship Id="rId28" Type="http://schemas.openxmlformats.org/officeDocument/2006/relationships/worksheet" Target="worksheets/sheet27.xml"/><Relationship Id="rId36" Type="http://schemas.openxmlformats.org/officeDocument/2006/relationships/worksheet" Target="worksheets/sheet35.xml"/><Relationship Id="rId49" Type="http://schemas.openxmlformats.org/officeDocument/2006/relationships/worksheet" Target="worksheets/sheet48.xml"/><Relationship Id="rId57" Type="http://schemas.openxmlformats.org/officeDocument/2006/relationships/worksheet" Target="worksheets/sheet56.xml"/><Relationship Id="rId10" Type="http://schemas.openxmlformats.org/officeDocument/2006/relationships/worksheet" Target="worksheets/sheet10.xml"/><Relationship Id="rId31" Type="http://schemas.openxmlformats.org/officeDocument/2006/relationships/worksheet" Target="worksheets/sheet30.xml"/><Relationship Id="rId44" Type="http://schemas.openxmlformats.org/officeDocument/2006/relationships/worksheet" Target="worksheets/sheet43.xml"/><Relationship Id="rId52" Type="http://schemas.openxmlformats.org/officeDocument/2006/relationships/worksheet" Target="worksheets/sheet51.xml"/><Relationship Id="rId60" Type="http://schemas.openxmlformats.org/officeDocument/2006/relationships/worksheet" Target="worksheets/sheet59.xml"/><Relationship Id="rId65" Type="http://schemas.openxmlformats.org/officeDocument/2006/relationships/worksheet" Target="worksheets/sheet64.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8.xml"/><Relationship Id="rId34" Type="http://schemas.openxmlformats.org/officeDocument/2006/relationships/worksheet" Target="worksheets/sheet33.xml"/><Relationship Id="rId50" Type="http://schemas.openxmlformats.org/officeDocument/2006/relationships/worksheet" Target="worksheets/sheet49.xml"/><Relationship Id="rId55" Type="http://schemas.openxmlformats.org/officeDocument/2006/relationships/worksheet" Target="worksheets/sheet54.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strRef>
              <c:f>'Ex(3chart)'!$C$6</c:f>
              <c:strCache>
                <c:ptCount val="1"/>
                <c:pt idx="0">
                  <c:v>Amount in Bank each Year with Compound Interest</c:v>
                </c:pt>
              </c:strCache>
            </c:strRef>
          </c:tx>
          <c:spPr>
            <a:ln>
              <a:solidFill>
                <a:schemeClr val="tx1"/>
              </a:solidFill>
            </a:ln>
          </c:spPr>
          <c:invertIfNegative val="0"/>
          <c:cat>
            <c:numRef>
              <c:f>'Ex(3chart)'!$A$7:$A$17</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'Ex(3chart)'!$C$7:$C$17</c:f>
              <c:numCache>
                <c:formatCode>"$"#,##0.00_);[Red]\("$"#,##0.00\)</c:formatCode>
                <c:ptCount val="11"/>
                <c:pt idx="0">
                  <c:v>100</c:v>
                </c:pt>
                <c:pt idx="1">
                  <c:v>110.00000000000001</c:v>
                </c:pt>
                <c:pt idx="2">
                  <c:v>121.00000000000001</c:v>
                </c:pt>
                <c:pt idx="3">
                  <c:v>133.10000000000005</c:v>
                </c:pt>
                <c:pt idx="4">
                  <c:v>146.41000000000005</c:v>
                </c:pt>
                <c:pt idx="5">
                  <c:v>161.05100000000004</c:v>
                </c:pt>
                <c:pt idx="6">
                  <c:v>177.15610000000009</c:v>
                </c:pt>
                <c:pt idx="7">
                  <c:v>194.87171000000012</c:v>
                </c:pt>
                <c:pt idx="8">
                  <c:v>214.35888100000011</c:v>
                </c:pt>
                <c:pt idx="9">
                  <c:v>235.79476910000014</c:v>
                </c:pt>
                <c:pt idx="10">
                  <c:v>259.37424601000021</c:v>
                </c:pt>
              </c:numCache>
            </c:numRef>
          </c:val>
          <c:extLst>
            <c:ext xmlns:c16="http://schemas.microsoft.com/office/drawing/2014/chart" uri="{C3380CC4-5D6E-409C-BE32-E72D297353CC}">
              <c16:uniqueId val="{00000000-4740-4284-ADC2-BD1CCBEFEEA9}"/>
            </c:ext>
          </c:extLst>
        </c:ser>
        <c:ser>
          <c:idx val="0"/>
          <c:order val="1"/>
          <c:tx>
            <c:strRef>
              <c:f>'Ex(3chart)'!$B$6</c:f>
              <c:strCache>
                <c:ptCount val="1"/>
                <c:pt idx="0">
                  <c:v>Amount in Bank each Year with Simple Interest</c:v>
                </c:pt>
              </c:strCache>
            </c:strRef>
          </c:tx>
          <c:spPr>
            <a:ln>
              <a:solidFill>
                <a:schemeClr val="tx1"/>
              </a:solidFill>
            </a:ln>
          </c:spPr>
          <c:invertIfNegative val="0"/>
          <c:val>
            <c:numRef>
              <c:f>'Ex(3chart)'!$B$7:$B$17</c:f>
              <c:numCache>
                <c:formatCode>"$"#,##0.00_);[Red]\("$"#,##0.00\)</c:formatCode>
                <c:ptCount val="11"/>
                <c:pt idx="0">
                  <c:v>100</c:v>
                </c:pt>
                <c:pt idx="1">
                  <c:v>110</c:v>
                </c:pt>
                <c:pt idx="2">
                  <c:v>120</c:v>
                </c:pt>
                <c:pt idx="3">
                  <c:v>130</c:v>
                </c:pt>
                <c:pt idx="4">
                  <c:v>140</c:v>
                </c:pt>
                <c:pt idx="5">
                  <c:v>150</c:v>
                </c:pt>
                <c:pt idx="6">
                  <c:v>160</c:v>
                </c:pt>
                <c:pt idx="7">
                  <c:v>170</c:v>
                </c:pt>
                <c:pt idx="8">
                  <c:v>180</c:v>
                </c:pt>
                <c:pt idx="9">
                  <c:v>190</c:v>
                </c:pt>
                <c:pt idx="10">
                  <c:v>200</c:v>
                </c:pt>
              </c:numCache>
            </c:numRef>
          </c:val>
          <c:extLst>
            <c:ext xmlns:c16="http://schemas.microsoft.com/office/drawing/2014/chart" uri="{C3380CC4-5D6E-409C-BE32-E72D297353CC}">
              <c16:uniqueId val="{00000001-4740-4284-ADC2-BD1CCBEFEEA9}"/>
            </c:ext>
          </c:extLst>
        </c:ser>
        <c:dLbls>
          <c:showLegendKey val="0"/>
          <c:showVal val="0"/>
          <c:showCatName val="0"/>
          <c:showSerName val="0"/>
          <c:showPercent val="0"/>
          <c:showBubbleSize val="0"/>
        </c:dLbls>
        <c:gapWidth val="0"/>
        <c:overlap val="100"/>
        <c:axId val="1721103727"/>
        <c:axId val="1"/>
      </c:barChart>
      <c:catAx>
        <c:axId val="1721103727"/>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numFmt formatCode="&quot;$&quot;#,##0.00_);[Red]\(&quot;$&quot;#,##0.00\)" sourceLinked="1"/>
        <c:majorTickMark val="out"/>
        <c:minorTickMark val="none"/>
        <c:tickLblPos val="nextTo"/>
        <c:crossAx val="1721103727"/>
        <c:crosses val="autoZero"/>
        <c:crossBetween val="between"/>
      </c:valAx>
    </c:plotArea>
    <c:legend>
      <c:legendPos val="r"/>
      <c:layout>
        <c:manualLayout>
          <c:xMode val="edge"/>
          <c:yMode val="edge"/>
          <c:x val="8.5060186442211971E-2"/>
          <c:y val="2.6087717296207538E-2"/>
          <c:w val="0.83910791323498346"/>
          <c:h val="0.16812126745026437"/>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'FV Higher Rates'!$B$7</c:f>
              <c:strCache>
                <c:ptCount val="1"/>
                <c:pt idx="0">
                  <c:v>0.00% Annual Rate</c:v>
                </c:pt>
              </c:strCache>
            </c:strRef>
          </c:tx>
          <c:marker>
            <c:symbol val="none"/>
          </c:marker>
          <c:cat>
            <c:numRef>
              <c:f>'FV Higher Rates'!$A$8:$A$18</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'FV Higher Rates'!$B$8:$B$18</c:f>
              <c:numCache>
                <c:formatCode>"$"#,##0.00_);[Red]\("$"#,##0.00\)</c:formatCode>
                <c:ptCount val="11"/>
                <c:pt idx="0">
                  <c:v>100</c:v>
                </c:pt>
                <c:pt idx="1">
                  <c:v>100</c:v>
                </c:pt>
                <c:pt idx="2">
                  <c:v>100</c:v>
                </c:pt>
                <c:pt idx="3">
                  <c:v>100</c:v>
                </c:pt>
                <c:pt idx="4">
                  <c:v>100</c:v>
                </c:pt>
                <c:pt idx="5">
                  <c:v>100</c:v>
                </c:pt>
                <c:pt idx="6">
                  <c:v>100</c:v>
                </c:pt>
                <c:pt idx="7">
                  <c:v>100</c:v>
                </c:pt>
                <c:pt idx="8">
                  <c:v>100</c:v>
                </c:pt>
                <c:pt idx="9">
                  <c:v>100</c:v>
                </c:pt>
                <c:pt idx="10">
                  <c:v>100</c:v>
                </c:pt>
              </c:numCache>
            </c:numRef>
          </c:val>
          <c:smooth val="0"/>
          <c:extLst>
            <c:ext xmlns:c16="http://schemas.microsoft.com/office/drawing/2014/chart" uri="{C3380CC4-5D6E-409C-BE32-E72D297353CC}">
              <c16:uniqueId val="{00000000-A119-4B40-B54F-EFB19FE96643}"/>
            </c:ext>
          </c:extLst>
        </c:ser>
        <c:ser>
          <c:idx val="1"/>
          <c:order val="1"/>
          <c:tx>
            <c:strRef>
              <c:f>'FV Higher Rates'!$C$7</c:f>
              <c:strCache>
                <c:ptCount val="1"/>
                <c:pt idx="0">
                  <c:v>2.50% Annual Rate</c:v>
                </c:pt>
              </c:strCache>
            </c:strRef>
          </c:tx>
          <c:marker>
            <c:symbol val="none"/>
          </c:marker>
          <c:cat>
            <c:numRef>
              <c:f>'FV Higher Rates'!$A$8:$A$18</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'FV Higher Rates'!$C$7:$C$18</c:f>
              <c:numCache>
                <c:formatCode>"$"#,##0.00_);[Red]\("$"#,##0.00\)</c:formatCode>
                <c:ptCount val="12"/>
                <c:pt idx="0" formatCode="0.00%\ &quot;Annual Rate&quot;">
                  <c:v>2.5000000000000001E-2</c:v>
                </c:pt>
                <c:pt idx="1">
                  <c:v>100</c:v>
                </c:pt>
                <c:pt idx="2">
                  <c:v>102.49999999999999</c:v>
                </c:pt>
                <c:pt idx="3">
                  <c:v>105.06249999999999</c:v>
                </c:pt>
                <c:pt idx="4">
                  <c:v>107.68906249999999</c:v>
                </c:pt>
                <c:pt idx="5">
                  <c:v>110.38128906249997</c:v>
                </c:pt>
                <c:pt idx="6">
                  <c:v>113.14082128906247</c:v>
                </c:pt>
                <c:pt idx="7">
                  <c:v>115.96934182128902</c:v>
                </c:pt>
                <c:pt idx="8">
                  <c:v>118.86857536682125</c:v>
                </c:pt>
                <c:pt idx="9">
                  <c:v>121.84028975099177</c:v>
                </c:pt>
                <c:pt idx="10">
                  <c:v>124.88629699476654</c:v>
                </c:pt>
                <c:pt idx="11">
                  <c:v>128.00845441963571</c:v>
                </c:pt>
              </c:numCache>
            </c:numRef>
          </c:val>
          <c:smooth val="0"/>
          <c:extLst>
            <c:ext xmlns:c16="http://schemas.microsoft.com/office/drawing/2014/chart" uri="{C3380CC4-5D6E-409C-BE32-E72D297353CC}">
              <c16:uniqueId val="{00000001-A119-4B40-B54F-EFB19FE96643}"/>
            </c:ext>
          </c:extLst>
        </c:ser>
        <c:ser>
          <c:idx val="2"/>
          <c:order val="2"/>
          <c:tx>
            <c:strRef>
              <c:f>'FV Higher Rates'!$D$7</c:f>
              <c:strCache>
                <c:ptCount val="1"/>
                <c:pt idx="0">
                  <c:v>5.00% Annual Rate</c:v>
                </c:pt>
              </c:strCache>
            </c:strRef>
          </c:tx>
          <c:marker>
            <c:symbol val="none"/>
          </c:marker>
          <c:cat>
            <c:numRef>
              <c:f>'FV Higher Rates'!$A$8:$A$18</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'FV Higher Rates'!$D$7:$D$18</c:f>
              <c:numCache>
                <c:formatCode>"$"#,##0.00_);[Red]\("$"#,##0.00\)</c:formatCode>
                <c:ptCount val="12"/>
                <c:pt idx="0" formatCode="0.00%\ &quot;Annual Rate&quot;">
                  <c:v>0.05</c:v>
                </c:pt>
                <c:pt idx="1">
                  <c:v>100</c:v>
                </c:pt>
                <c:pt idx="2">
                  <c:v>105</c:v>
                </c:pt>
                <c:pt idx="3">
                  <c:v>110.25</c:v>
                </c:pt>
                <c:pt idx="4">
                  <c:v>115.76250000000002</c:v>
                </c:pt>
                <c:pt idx="5">
                  <c:v>121.550625</c:v>
                </c:pt>
                <c:pt idx="6">
                  <c:v>127.62815625000002</c:v>
                </c:pt>
                <c:pt idx="7">
                  <c:v>134.0095640625</c:v>
                </c:pt>
                <c:pt idx="8">
                  <c:v>140.71004226562502</c:v>
                </c:pt>
                <c:pt idx="9">
                  <c:v>147.74554437890626</c:v>
                </c:pt>
                <c:pt idx="10">
                  <c:v>155.13282159785157</c:v>
                </c:pt>
                <c:pt idx="11">
                  <c:v>162.88946267774415</c:v>
                </c:pt>
              </c:numCache>
            </c:numRef>
          </c:val>
          <c:smooth val="0"/>
          <c:extLst>
            <c:ext xmlns:c16="http://schemas.microsoft.com/office/drawing/2014/chart" uri="{C3380CC4-5D6E-409C-BE32-E72D297353CC}">
              <c16:uniqueId val="{00000002-A119-4B40-B54F-EFB19FE96643}"/>
            </c:ext>
          </c:extLst>
        </c:ser>
        <c:ser>
          <c:idx val="3"/>
          <c:order val="3"/>
          <c:tx>
            <c:strRef>
              <c:f>'FV Higher Rates'!$E$7</c:f>
              <c:strCache>
                <c:ptCount val="1"/>
                <c:pt idx="0">
                  <c:v>7.50% Annual Rate</c:v>
                </c:pt>
              </c:strCache>
            </c:strRef>
          </c:tx>
          <c:marker>
            <c:symbol val="none"/>
          </c:marker>
          <c:cat>
            <c:numRef>
              <c:f>'FV Higher Rates'!$A$8:$A$18</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'FV Higher Rates'!$E$7:$E$18</c:f>
              <c:numCache>
                <c:formatCode>"$"#,##0.00_);[Red]\("$"#,##0.00\)</c:formatCode>
                <c:ptCount val="12"/>
                <c:pt idx="0" formatCode="0.00%\ &quot;Annual Rate&quot;">
                  <c:v>7.5000000000000011E-2</c:v>
                </c:pt>
                <c:pt idx="1">
                  <c:v>100</c:v>
                </c:pt>
                <c:pt idx="2">
                  <c:v>107.5</c:v>
                </c:pt>
                <c:pt idx="3">
                  <c:v>115.56249999999999</c:v>
                </c:pt>
                <c:pt idx="4">
                  <c:v>124.22968749999998</c:v>
                </c:pt>
                <c:pt idx="5">
                  <c:v>133.54691406249998</c:v>
                </c:pt>
                <c:pt idx="6">
                  <c:v>143.5629326171875</c:v>
                </c:pt>
                <c:pt idx="7">
                  <c:v>154.33015256347653</c:v>
                </c:pt>
                <c:pt idx="8">
                  <c:v>165.90491400573728</c:v>
                </c:pt>
                <c:pt idx="9">
                  <c:v>178.34778255616757</c:v>
                </c:pt>
                <c:pt idx="10">
                  <c:v>191.72386624788012</c:v>
                </c:pt>
                <c:pt idx="11">
                  <c:v>206.10315621647112</c:v>
                </c:pt>
              </c:numCache>
            </c:numRef>
          </c:val>
          <c:smooth val="0"/>
          <c:extLst>
            <c:ext xmlns:c16="http://schemas.microsoft.com/office/drawing/2014/chart" uri="{C3380CC4-5D6E-409C-BE32-E72D297353CC}">
              <c16:uniqueId val="{00000003-A119-4B40-B54F-EFB19FE96643}"/>
            </c:ext>
          </c:extLst>
        </c:ser>
        <c:ser>
          <c:idx val="4"/>
          <c:order val="4"/>
          <c:tx>
            <c:strRef>
              <c:f>'FV Higher Rates'!$F$7</c:f>
              <c:strCache>
                <c:ptCount val="1"/>
                <c:pt idx="0">
                  <c:v>10.00% Annual Rate</c:v>
                </c:pt>
              </c:strCache>
            </c:strRef>
          </c:tx>
          <c:marker>
            <c:symbol val="none"/>
          </c:marker>
          <c:cat>
            <c:numRef>
              <c:f>'FV Higher Rates'!$A$8:$A$18</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'FV Higher Rates'!$F$7:$F$18</c:f>
              <c:numCache>
                <c:formatCode>"$"#,##0.00_);[Red]\("$"#,##0.00\)</c:formatCode>
                <c:ptCount val="12"/>
                <c:pt idx="0" formatCode="0.00%\ &quot;Annual Rate&quot;">
                  <c:v>0.1</c:v>
                </c:pt>
                <c:pt idx="1">
                  <c:v>100</c:v>
                </c:pt>
                <c:pt idx="2">
                  <c:v>110.00000000000001</c:v>
                </c:pt>
                <c:pt idx="3">
                  <c:v>121.00000000000001</c:v>
                </c:pt>
                <c:pt idx="4">
                  <c:v>133.10000000000005</c:v>
                </c:pt>
                <c:pt idx="5">
                  <c:v>146.41000000000005</c:v>
                </c:pt>
                <c:pt idx="6">
                  <c:v>161.05100000000004</c:v>
                </c:pt>
                <c:pt idx="7">
                  <c:v>177.15610000000009</c:v>
                </c:pt>
                <c:pt idx="8">
                  <c:v>194.87171000000012</c:v>
                </c:pt>
                <c:pt idx="9">
                  <c:v>214.35888100000011</c:v>
                </c:pt>
                <c:pt idx="10">
                  <c:v>235.79476910000014</c:v>
                </c:pt>
                <c:pt idx="11">
                  <c:v>259.37424601000021</c:v>
                </c:pt>
              </c:numCache>
            </c:numRef>
          </c:val>
          <c:smooth val="0"/>
          <c:extLst>
            <c:ext xmlns:c16="http://schemas.microsoft.com/office/drawing/2014/chart" uri="{C3380CC4-5D6E-409C-BE32-E72D297353CC}">
              <c16:uniqueId val="{00000004-A119-4B40-B54F-EFB19FE96643}"/>
            </c:ext>
          </c:extLst>
        </c:ser>
        <c:ser>
          <c:idx val="5"/>
          <c:order val="5"/>
          <c:tx>
            <c:strRef>
              <c:f>'FV Higher Rates'!$G$7</c:f>
              <c:strCache>
                <c:ptCount val="1"/>
                <c:pt idx="0">
                  <c:v>12.50% Annual Rate</c:v>
                </c:pt>
              </c:strCache>
            </c:strRef>
          </c:tx>
          <c:marker>
            <c:symbol val="none"/>
          </c:marker>
          <c:cat>
            <c:numRef>
              <c:f>'FV Higher Rates'!$A$8:$A$18</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'FV Higher Rates'!$G$7:$G$18</c:f>
              <c:numCache>
                <c:formatCode>"$"#,##0.00_);[Red]\("$"#,##0.00\)</c:formatCode>
                <c:ptCount val="12"/>
                <c:pt idx="0" formatCode="0.00%\ &quot;Annual Rate&quot;">
                  <c:v>0.125</c:v>
                </c:pt>
                <c:pt idx="1">
                  <c:v>100</c:v>
                </c:pt>
                <c:pt idx="2">
                  <c:v>112.5</c:v>
                </c:pt>
                <c:pt idx="3">
                  <c:v>126.5625</c:v>
                </c:pt>
                <c:pt idx="4">
                  <c:v>142.3828125</c:v>
                </c:pt>
                <c:pt idx="5">
                  <c:v>160.1806640625</c:v>
                </c:pt>
                <c:pt idx="6">
                  <c:v>180.2032470703125</c:v>
                </c:pt>
                <c:pt idx="7">
                  <c:v>202.72865295410156</c:v>
                </c:pt>
                <c:pt idx="8">
                  <c:v>228.06973457336426</c:v>
                </c:pt>
                <c:pt idx="9">
                  <c:v>256.57845139503479</c:v>
                </c:pt>
                <c:pt idx="10">
                  <c:v>288.65075781941414</c:v>
                </c:pt>
                <c:pt idx="11">
                  <c:v>324.73210254684091</c:v>
                </c:pt>
              </c:numCache>
            </c:numRef>
          </c:val>
          <c:smooth val="0"/>
          <c:extLst>
            <c:ext xmlns:c16="http://schemas.microsoft.com/office/drawing/2014/chart" uri="{C3380CC4-5D6E-409C-BE32-E72D297353CC}">
              <c16:uniqueId val="{00000005-A119-4B40-B54F-EFB19FE96643}"/>
            </c:ext>
          </c:extLst>
        </c:ser>
        <c:ser>
          <c:idx val="6"/>
          <c:order val="6"/>
          <c:tx>
            <c:strRef>
              <c:f>'FV Higher Rates'!$H$7</c:f>
              <c:strCache>
                <c:ptCount val="1"/>
                <c:pt idx="0">
                  <c:v>15.00% Annual Rate</c:v>
                </c:pt>
              </c:strCache>
            </c:strRef>
          </c:tx>
          <c:marker>
            <c:symbol val="none"/>
          </c:marker>
          <c:cat>
            <c:numRef>
              <c:f>'FV Higher Rates'!$A$8:$A$18</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'FV Higher Rates'!$H$7:$H$18</c:f>
              <c:numCache>
                <c:formatCode>"$"#,##0.00_);[Red]\("$"#,##0.00\)</c:formatCode>
                <c:ptCount val="12"/>
                <c:pt idx="0" formatCode="0.00%\ &quot;Annual Rate&quot;">
                  <c:v>0.15</c:v>
                </c:pt>
                <c:pt idx="1">
                  <c:v>100</c:v>
                </c:pt>
                <c:pt idx="2">
                  <c:v>114.99999999999999</c:v>
                </c:pt>
                <c:pt idx="3">
                  <c:v>132.24999999999997</c:v>
                </c:pt>
                <c:pt idx="4">
                  <c:v>152.08749999999995</c:v>
                </c:pt>
                <c:pt idx="5">
                  <c:v>174.90062499999993</c:v>
                </c:pt>
                <c:pt idx="6">
                  <c:v>201.13571874999994</c:v>
                </c:pt>
                <c:pt idx="7">
                  <c:v>231.3060765624999</c:v>
                </c:pt>
                <c:pt idx="8">
                  <c:v>266.00198804687483</c:v>
                </c:pt>
                <c:pt idx="9">
                  <c:v>305.90228625390603</c:v>
                </c:pt>
                <c:pt idx="10">
                  <c:v>351.78762919199193</c:v>
                </c:pt>
                <c:pt idx="11">
                  <c:v>404.55577357079068</c:v>
                </c:pt>
              </c:numCache>
            </c:numRef>
          </c:val>
          <c:smooth val="0"/>
          <c:extLst>
            <c:ext xmlns:c16="http://schemas.microsoft.com/office/drawing/2014/chart" uri="{C3380CC4-5D6E-409C-BE32-E72D297353CC}">
              <c16:uniqueId val="{00000006-A119-4B40-B54F-EFB19FE96643}"/>
            </c:ext>
          </c:extLst>
        </c:ser>
        <c:ser>
          <c:idx val="7"/>
          <c:order val="7"/>
          <c:tx>
            <c:strRef>
              <c:f>'FV Higher Rates'!$I$7</c:f>
              <c:strCache>
                <c:ptCount val="1"/>
                <c:pt idx="0">
                  <c:v>17.50% Annual Rate</c:v>
                </c:pt>
              </c:strCache>
            </c:strRef>
          </c:tx>
          <c:marker>
            <c:symbol val="none"/>
          </c:marker>
          <c:cat>
            <c:numRef>
              <c:f>'FV Higher Rates'!$A$8:$A$18</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'FV Higher Rates'!$I$7:$I$18</c:f>
              <c:numCache>
                <c:formatCode>"$"#,##0.00_);[Red]\("$"#,##0.00\)</c:formatCode>
                <c:ptCount val="12"/>
                <c:pt idx="0" formatCode="0.00%\ &quot;Annual Rate&quot;">
                  <c:v>0.17499999999999999</c:v>
                </c:pt>
                <c:pt idx="1">
                  <c:v>100</c:v>
                </c:pt>
                <c:pt idx="2">
                  <c:v>117.5</c:v>
                </c:pt>
                <c:pt idx="3">
                  <c:v>138.06250000000003</c:v>
                </c:pt>
                <c:pt idx="4">
                  <c:v>162.22343750000005</c:v>
                </c:pt>
                <c:pt idx="5">
                  <c:v>190.61253906250008</c:v>
                </c:pt>
                <c:pt idx="6">
                  <c:v>223.96973339843757</c:v>
                </c:pt>
                <c:pt idx="7">
                  <c:v>263.16443674316423</c:v>
                </c:pt>
                <c:pt idx="8">
                  <c:v>309.21821317321798</c:v>
                </c:pt>
                <c:pt idx="9">
                  <c:v>363.33140047853112</c:v>
                </c:pt>
                <c:pt idx="10">
                  <c:v>426.91439556227408</c:v>
                </c:pt>
                <c:pt idx="11">
                  <c:v>501.62441478567212</c:v>
                </c:pt>
              </c:numCache>
            </c:numRef>
          </c:val>
          <c:smooth val="0"/>
          <c:extLst>
            <c:ext xmlns:c16="http://schemas.microsoft.com/office/drawing/2014/chart" uri="{C3380CC4-5D6E-409C-BE32-E72D297353CC}">
              <c16:uniqueId val="{00000007-A119-4B40-B54F-EFB19FE96643}"/>
            </c:ext>
          </c:extLst>
        </c:ser>
        <c:ser>
          <c:idx val="8"/>
          <c:order val="8"/>
          <c:tx>
            <c:strRef>
              <c:f>'FV Higher Rates'!$J$7</c:f>
              <c:strCache>
                <c:ptCount val="1"/>
                <c:pt idx="0">
                  <c:v>20.00% Annual Rate</c:v>
                </c:pt>
              </c:strCache>
            </c:strRef>
          </c:tx>
          <c:marker>
            <c:symbol val="none"/>
          </c:marker>
          <c:cat>
            <c:numRef>
              <c:f>'FV Higher Rates'!$A$8:$A$18</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'FV Higher Rates'!$J$7:$J$18</c:f>
              <c:numCache>
                <c:formatCode>"$"#,##0.00_);[Red]\("$"#,##0.00\)</c:formatCode>
                <c:ptCount val="12"/>
                <c:pt idx="0" formatCode="0.00%\ &quot;Annual Rate&quot;">
                  <c:v>0.19999999999999998</c:v>
                </c:pt>
                <c:pt idx="1">
                  <c:v>100</c:v>
                </c:pt>
                <c:pt idx="2">
                  <c:v>120</c:v>
                </c:pt>
                <c:pt idx="3">
                  <c:v>144</c:v>
                </c:pt>
                <c:pt idx="4">
                  <c:v>172.8</c:v>
                </c:pt>
                <c:pt idx="5">
                  <c:v>207.35999999999999</c:v>
                </c:pt>
                <c:pt idx="6">
                  <c:v>248.83199999999999</c:v>
                </c:pt>
                <c:pt idx="7">
                  <c:v>298.59839999999997</c:v>
                </c:pt>
                <c:pt idx="8">
                  <c:v>358.31807999999995</c:v>
                </c:pt>
                <c:pt idx="9">
                  <c:v>429.98169599999994</c:v>
                </c:pt>
                <c:pt idx="10">
                  <c:v>515.97803519999991</c:v>
                </c:pt>
                <c:pt idx="11">
                  <c:v>619.17364223999994</c:v>
                </c:pt>
              </c:numCache>
            </c:numRef>
          </c:val>
          <c:smooth val="0"/>
          <c:extLst>
            <c:ext xmlns:c16="http://schemas.microsoft.com/office/drawing/2014/chart" uri="{C3380CC4-5D6E-409C-BE32-E72D297353CC}">
              <c16:uniqueId val="{00000008-A119-4B40-B54F-EFB19FE96643}"/>
            </c:ext>
          </c:extLst>
        </c:ser>
        <c:dLbls>
          <c:showLegendKey val="0"/>
          <c:showVal val="0"/>
          <c:showCatName val="0"/>
          <c:showSerName val="0"/>
          <c:showPercent val="0"/>
          <c:showBubbleSize val="0"/>
        </c:dLbls>
        <c:smooth val="0"/>
        <c:axId val="1721091727"/>
        <c:axId val="1"/>
      </c:lineChart>
      <c:catAx>
        <c:axId val="1721091727"/>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US"/>
                  <a:t>Time</a:t>
                </a:r>
              </a:p>
            </c:rich>
          </c:tx>
          <c:overlay val="0"/>
          <c:spPr>
            <a:noFill/>
            <a:ln w="25400">
              <a:noFill/>
            </a:ln>
          </c:spPr>
        </c:title>
        <c:numFmt formatCode="General" sourceLinked="1"/>
        <c:majorTickMark val="none"/>
        <c:minorTickMark val="none"/>
        <c:tickLblPos val="nextTo"/>
        <c:crossAx val="1"/>
        <c:crosses val="autoZero"/>
        <c:auto val="1"/>
        <c:lblAlgn val="ctr"/>
        <c:lblOffset val="100"/>
        <c:noMultiLvlLbl val="0"/>
      </c:catAx>
      <c:valAx>
        <c:axId val="1"/>
        <c:scaling>
          <c:orientation val="minMax"/>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Future Value</a:t>
                </a:r>
              </a:p>
            </c:rich>
          </c:tx>
          <c:overlay val="0"/>
          <c:spPr>
            <a:noFill/>
            <a:ln w="25400">
              <a:noFill/>
            </a:ln>
          </c:spPr>
        </c:title>
        <c:numFmt formatCode="&quot;$&quot;#,##0.00_);[Red]\(&quot;$&quot;#,##0.00\)" sourceLinked="1"/>
        <c:majorTickMark val="out"/>
        <c:minorTickMark val="none"/>
        <c:tickLblPos val="nextTo"/>
        <c:crossAx val="1721091727"/>
        <c:crosses val="autoZero"/>
        <c:crossBetween val="between"/>
      </c:valAx>
    </c:plotArea>
    <c:legend>
      <c:legendPos val="r"/>
      <c:overlay val="0"/>
      <c:txPr>
        <a:bodyPr/>
        <a:lstStyle/>
        <a:p>
          <a:pPr>
            <a:defRPr sz="800"/>
          </a:pPr>
          <a:endParaRPr lang="en-US"/>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The Higher The Discount Rate, The Lower The Present Value</a:t>
            </a:r>
          </a:p>
        </c:rich>
      </c:tx>
      <c:layout>
        <c:manualLayout>
          <c:xMode val="edge"/>
          <c:yMode val="edge"/>
          <c:x val="0.16648166268196546"/>
          <c:y val="1.9639881444544798E-2"/>
        </c:manualLayout>
      </c:layout>
      <c:overlay val="0"/>
      <c:spPr>
        <a:noFill/>
        <a:ln w="25400">
          <a:noFill/>
        </a:ln>
      </c:spPr>
    </c:title>
    <c:autoTitleDeleted val="0"/>
    <c:plotArea>
      <c:layout>
        <c:manualLayout>
          <c:layoutTarget val="inner"/>
          <c:xMode val="edge"/>
          <c:yMode val="edge"/>
          <c:x val="0.10654827968923418"/>
          <c:y val="0.10474631751227496"/>
          <c:w val="0.69478357380688127"/>
          <c:h val="0.77414075286415707"/>
        </c:manualLayout>
      </c:layout>
      <c:lineChart>
        <c:grouping val="standard"/>
        <c:varyColors val="0"/>
        <c:ser>
          <c:idx val="0"/>
          <c:order val="0"/>
          <c:tx>
            <c:strRef>
              <c:f>'PV Higher Rates'!$B$7</c:f>
              <c:strCache>
                <c:ptCount val="1"/>
                <c:pt idx="0">
                  <c:v>0.00% Annual Rate</c:v>
                </c:pt>
              </c:strCache>
            </c:strRef>
          </c:tx>
          <c:marker>
            <c:symbol val="none"/>
          </c:marker>
          <c:cat>
            <c:numRef>
              <c:f>'PV Higher Rates'!$A$8:$A$18</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'PV Higher Rates'!$B$8:$B$18</c:f>
              <c:numCache>
                <c:formatCode>"$"#,##0.00_);[Red]\("$"#,##0.00\)</c:formatCode>
                <c:ptCount val="11"/>
                <c:pt idx="0">
                  <c:v>100</c:v>
                </c:pt>
                <c:pt idx="1">
                  <c:v>100</c:v>
                </c:pt>
                <c:pt idx="2">
                  <c:v>100</c:v>
                </c:pt>
                <c:pt idx="3">
                  <c:v>100</c:v>
                </c:pt>
                <c:pt idx="4">
                  <c:v>100</c:v>
                </c:pt>
                <c:pt idx="5">
                  <c:v>100</c:v>
                </c:pt>
                <c:pt idx="6">
                  <c:v>100</c:v>
                </c:pt>
                <c:pt idx="7">
                  <c:v>100</c:v>
                </c:pt>
                <c:pt idx="8">
                  <c:v>100</c:v>
                </c:pt>
                <c:pt idx="9">
                  <c:v>100</c:v>
                </c:pt>
                <c:pt idx="10">
                  <c:v>100</c:v>
                </c:pt>
              </c:numCache>
            </c:numRef>
          </c:val>
          <c:smooth val="0"/>
          <c:extLst>
            <c:ext xmlns:c16="http://schemas.microsoft.com/office/drawing/2014/chart" uri="{C3380CC4-5D6E-409C-BE32-E72D297353CC}">
              <c16:uniqueId val="{00000000-FD25-46EC-87F1-DEABFA27F740}"/>
            </c:ext>
          </c:extLst>
        </c:ser>
        <c:ser>
          <c:idx val="1"/>
          <c:order val="1"/>
          <c:tx>
            <c:strRef>
              <c:f>'PV Higher Rates'!$C$7</c:f>
              <c:strCache>
                <c:ptCount val="1"/>
                <c:pt idx="0">
                  <c:v>2.50% Annual Rate</c:v>
                </c:pt>
              </c:strCache>
            </c:strRef>
          </c:tx>
          <c:marker>
            <c:symbol val="none"/>
          </c:marker>
          <c:cat>
            <c:numRef>
              <c:f>'PV Higher Rates'!$A$8:$A$18</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'PV Higher Rates'!$C$8:$C$18</c:f>
              <c:numCache>
                <c:formatCode>"$"#,##0.00_);[Red]\("$"#,##0.00\)</c:formatCode>
                <c:ptCount val="11"/>
                <c:pt idx="0">
                  <c:v>100</c:v>
                </c:pt>
                <c:pt idx="1">
                  <c:v>97.560975609756099</c:v>
                </c:pt>
                <c:pt idx="2">
                  <c:v>95.181439619274244</c:v>
                </c:pt>
                <c:pt idx="3">
                  <c:v>92.859941091974875</c:v>
                </c:pt>
                <c:pt idx="4">
                  <c:v>90.595064479975505</c:v>
                </c:pt>
                <c:pt idx="5">
                  <c:v>88.385428760951712</c:v>
                </c:pt>
                <c:pt idx="6">
                  <c:v>86.229686596050456</c:v>
                </c:pt>
                <c:pt idx="7">
                  <c:v>84.126523508341904</c:v>
                </c:pt>
                <c:pt idx="8">
                  <c:v>82.074657081309184</c:v>
                </c:pt>
                <c:pt idx="9">
                  <c:v>80.072836176887023</c:v>
                </c:pt>
                <c:pt idx="10">
                  <c:v>78.119840172572708</c:v>
                </c:pt>
              </c:numCache>
            </c:numRef>
          </c:val>
          <c:smooth val="0"/>
          <c:extLst>
            <c:ext xmlns:c16="http://schemas.microsoft.com/office/drawing/2014/chart" uri="{C3380CC4-5D6E-409C-BE32-E72D297353CC}">
              <c16:uniqueId val="{00000001-FD25-46EC-87F1-DEABFA27F740}"/>
            </c:ext>
          </c:extLst>
        </c:ser>
        <c:ser>
          <c:idx val="2"/>
          <c:order val="2"/>
          <c:tx>
            <c:strRef>
              <c:f>'PV Higher Rates'!$D$7</c:f>
              <c:strCache>
                <c:ptCount val="1"/>
                <c:pt idx="0">
                  <c:v>5.00% Annual Rate</c:v>
                </c:pt>
              </c:strCache>
            </c:strRef>
          </c:tx>
          <c:marker>
            <c:symbol val="none"/>
          </c:marker>
          <c:cat>
            <c:numRef>
              <c:f>'PV Higher Rates'!$A$8:$A$18</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'PV Higher Rates'!$D$8:$D$18</c:f>
              <c:numCache>
                <c:formatCode>"$"#,##0.00_);[Red]\("$"#,##0.00\)</c:formatCode>
                <c:ptCount val="11"/>
                <c:pt idx="0">
                  <c:v>100</c:v>
                </c:pt>
                <c:pt idx="1">
                  <c:v>95.238095238095241</c:v>
                </c:pt>
                <c:pt idx="2">
                  <c:v>90.702947845804985</c:v>
                </c:pt>
                <c:pt idx="3">
                  <c:v>86.383759853147595</c:v>
                </c:pt>
                <c:pt idx="4">
                  <c:v>82.2702474791882</c:v>
                </c:pt>
                <c:pt idx="5">
                  <c:v>78.352616646845888</c:v>
                </c:pt>
                <c:pt idx="6">
                  <c:v>74.621539663662773</c:v>
                </c:pt>
                <c:pt idx="7">
                  <c:v>71.068133013012144</c:v>
                </c:pt>
                <c:pt idx="8">
                  <c:v>67.683936202868722</c:v>
                </c:pt>
                <c:pt idx="9">
                  <c:v>64.460891621779723</c:v>
                </c:pt>
                <c:pt idx="10">
                  <c:v>61.391325354075931</c:v>
                </c:pt>
              </c:numCache>
            </c:numRef>
          </c:val>
          <c:smooth val="0"/>
          <c:extLst>
            <c:ext xmlns:c16="http://schemas.microsoft.com/office/drawing/2014/chart" uri="{C3380CC4-5D6E-409C-BE32-E72D297353CC}">
              <c16:uniqueId val="{00000002-FD25-46EC-87F1-DEABFA27F740}"/>
            </c:ext>
          </c:extLst>
        </c:ser>
        <c:ser>
          <c:idx val="3"/>
          <c:order val="3"/>
          <c:tx>
            <c:strRef>
              <c:f>'PV Higher Rates'!$E$7</c:f>
              <c:strCache>
                <c:ptCount val="1"/>
                <c:pt idx="0">
                  <c:v>7.50% Annual Rate</c:v>
                </c:pt>
              </c:strCache>
            </c:strRef>
          </c:tx>
          <c:marker>
            <c:symbol val="none"/>
          </c:marker>
          <c:cat>
            <c:numRef>
              <c:f>'PV Higher Rates'!$A$8:$A$18</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'PV Higher Rates'!$E$8:$E$18</c:f>
              <c:numCache>
                <c:formatCode>"$"#,##0.00_);[Red]\("$"#,##0.00\)</c:formatCode>
                <c:ptCount val="11"/>
                <c:pt idx="0">
                  <c:v>100</c:v>
                </c:pt>
                <c:pt idx="1">
                  <c:v>93.023255813953497</c:v>
                </c:pt>
                <c:pt idx="2">
                  <c:v>86.53326122228232</c:v>
                </c:pt>
                <c:pt idx="3">
                  <c:v>80.496056950960309</c:v>
                </c:pt>
                <c:pt idx="4">
                  <c:v>74.88005297763749</c:v>
                </c:pt>
                <c:pt idx="5">
                  <c:v>69.655863235011623</c:v>
                </c:pt>
                <c:pt idx="6">
                  <c:v>64.796151846522449</c:v>
                </c:pt>
                <c:pt idx="7">
                  <c:v>60.275490089788313</c:v>
                </c:pt>
                <c:pt idx="8">
                  <c:v>56.070223339337971</c:v>
                </c:pt>
                <c:pt idx="9">
                  <c:v>52.158347292407413</c:v>
                </c:pt>
                <c:pt idx="10">
                  <c:v>48.519392830146444</c:v>
                </c:pt>
              </c:numCache>
            </c:numRef>
          </c:val>
          <c:smooth val="0"/>
          <c:extLst>
            <c:ext xmlns:c16="http://schemas.microsoft.com/office/drawing/2014/chart" uri="{C3380CC4-5D6E-409C-BE32-E72D297353CC}">
              <c16:uniqueId val="{00000003-FD25-46EC-87F1-DEABFA27F740}"/>
            </c:ext>
          </c:extLst>
        </c:ser>
        <c:ser>
          <c:idx val="4"/>
          <c:order val="4"/>
          <c:tx>
            <c:strRef>
              <c:f>'PV Higher Rates'!$F$7</c:f>
              <c:strCache>
                <c:ptCount val="1"/>
                <c:pt idx="0">
                  <c:v>10.00% Annual Rate</c:v>
                </c:pt>
              </c:strCache>
            </c:strRef>
          </c:tx>
          <c:marker>
            <c:symbol val="none"/>
          </c:marker>
          <c:cat>
            <c:numRef>
              <c:f>'PV Higher Rates'!$A$8:$A$18</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'PV Higher Rates'!$F$8:$F$18</c:f>
              <c:numCache>
                <c:formatCode>"$"#,##0.00_);[Red]\("$"#,##0.00\)</c:formatCode>
                <c:ptCount val="11"/>
                <c:pt idx="0">
                  <c:v>100</c:v>
                </c:pt>
                <c:pt idx="1">
                  <c:v>90.909090909090907</c:v>
                </c:pt>
                <c:pt idx="2">
                  <c:v>82.644628099173545</c:v>
                </c:pt>
                <c:pt idx="3">
                  <c:v>75.131480090157751</c:v>
                </c:pt>
                <c:pt idx="4">
                  <c:v>68.301345536507057</c:v>
                </c:pt>
                <c:pt idx="5">
                  <c:v>62.092132305915499</c:v>
                </c:pt>
                <c:pt idx="6">
                  <c:v>56.44739300537772</c:v>
                </c:pt>
                <c:pt idx="7">
                  <c:v>51.315811823070646</c:v>
                </c:pt>
                <c:pt idx="8">
                  <c:v>46.650738020973314</c:v>
                </c:pt>
                <c:pt idx="9">
                  <c:v>42.409761837248467</c:v>
                </c:pt>
                <c:pt idx="10">
                  <c:v>38.554328942953148</c:v>
                </c:pt>
              </c:numCache>
            </c:numRef>
          </c:val>
          <c:smooth val="0"/>
          <c:extLst>
            <c:ext xmlns:c16="http://schemas.microsoft.com/office/drawing/2014/chart" uri="{C3380CC4-5D6E-409C-BE32-E72D297353CC}">
              <c16:uniqueId val="{00000004-FD25-46EC-87F1-DEABFA27F740}"/>
            </c:ext>
          </c:extLst>
        </c:ser>
        <c:ser>
          <c:idx val="5"/>
          <c:order val="5"/>
          <c:tx>
            <c:strRef>
              <c:f>'PV Higher Rates'!$G$7</c:f>
              <c:strCache>
                <c:ptCount val="1"/>
                <c:pt idx="0">
                  <c:v>12.50% Annual Rate</c:v>
                </c:pt>
              </c:strCache>
            </c:strRef>
          </c:tx>
          <c:marker>
            <c:symbol val="none"/>
          </c:marker>
          <c:cat>
            <c:numRef>
              <c:f>'PV Higher Rates'!$A$8:$A$18</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'PV Higher Rates'!$G$8:$G$18</c:f>
              <c:numCache>
                <c:formatCode>"$"#,##0.00_);[Red]\("$"#,##0.00\)</c:formatCode>
                <c:ptCount val="11"/>
                <c:pt idx="0">
                  <c:v>100</c:v>
                </c:pt>
                <c:pt idx="1">
                  <c:v>88.888888888888886</c:v>
                </c:pt>
                <c:pt idx="2">
                  <c:v>79.012345679012341</c:v>
                </c:pt>
                <c:pt idx="3">
                  <c:v>70.233196159122087</c:v>
                </c:pt>
                <c:pt idx="4">
                  <c:v>62.429507696997412</c:v>
                </c:pt>
                <c:pt idx="5">
                  <c:v>55.492895730664365</c:v>
                </c:pt>
                <c:pt idx="6">
                  <c:v>49.327018427257215</c:v>
                </c:pt>
                <c:pt idx="7">
                  <c:v>43.846238602006409</c:v>
                </c:pt>
                <c:pt idx="8">
                  <c:v>38.974434312894587</c:v>
                </c:pt>
                <c:pt idx="9">
                  <c:v>34.643941611461855</c:v>
                </c:pt>
                <c:pt idx="10">
                  <c:v>30.794614765743873</c:v>
                </c:pt>
              </c:numCache>
            </c:numRef>
          </c:val>
          <c:smooth val="0"/>
          <c:extLst>
            <c:ext xmlns:c16="http://schemas.microsoft.com/office/drawing/2014/chart" uri="{C3380CC4-5D6E-409C-BE32-E72D297353CC}">
              <c16:uniqueId val="{00000005-FD25-46EC-87F1-DEABFA27F740}"/>
            </c:ext>
          </c:extLst>
        </c:ser>
        <c:ser>
          <c:idx val="6"/>
          <c:order val="6"/>
          <c:tx>
            <c:strRef>
              <c:f>'PV Higher Rates'!$H$7</c:f>
              <c:strCache>
                <c:ptCount val="1"/>
                <c:pt idx="0">
                  <c:v>15.00% Annual Rate</c:v>
                </c:pt>
              </c:strCache>
            </c:strRef>
          </c:tx>
          <c:marker>
            <c:symbol val="none"/>
          </c:marker>
          <c:cat>
            <c:numRef>
              <c:f>'PV Higher Rates'!$A$8:$A$18</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'PV Higher Rates'!$H$8:$H$18</c:f>
              <c:numCache>
                <c:formatCode>"$"#,##0.00_);[Red]\("$"#,##0.00\)</c:formatCode>
                <c:ptCount val="11"/>
                <c:pt idx="0">
                  <c:v>100</c:v>
                </c:pt>
                <c:pt idx="1">
                  <c:v>86.956521739130437</c:v>
                </c:pt>
                <c:pt idx="2">
                  <c:v>75.61436672967865</c:v>
                </c:pt>
                <c:pt idx="3">
                  <c:v>65.751623243198836</c:v>
                </c:pt>
                <c:pt idx="4">
                  <c:v>57.175324559303334</c:v>
                </c:pt>
                <c:pt idx="5">
                  <c:v>49.717673529828986</c:v>
                </c:pt>
                <c:pt idx="6">
                  <c:v>43.232759591155649</c:v>
                </c:pt>
                <c:pt idx="7">
                  <c:v>37.593703992309266</c:v>
                </c:pt>
                <c:pt idx="8">
                  <c:v>32.690177384616753</c:v>
                </c:pt>
                <c:pt idx="9">
                  <c:v>28.426241204014573</c:v>
                </c:pt>
                <c:pt idx="10">
                  <c:v>24.718470612186586</c:v>
                </c:pt>
              </c:numCache>
            </c:numRef>
          </c:val>
          <c:smooth val="0"/>
          <c:extLst>
            <c:ext xmlns:c16="http://schemas.microsoft.com/office/drawing/2014/chart" uri="{C3380CC4-5D6E-409C-BE32-E72D297353CC}">
              <c16:uniqueId val="{00000006-FD25-46EC-87F1-DEABFA27F740}"/>
            </c:ext>
          </c:extLst>
        </c:ser>
        <c:ser>
          <c:idx val="7"/>
          <c:order val="7"/>
          <c:tx>
            <c:strRef>
              <c:f>'PV Higher Rates'!$I$7</c:f>
              <c:strCache>
                <c:ptCount val="1"/>
                <c:pt idx="0">
                  <c:v>17.50% Annual Rate</c:v>
                </c:pt>
              </c:strCache>
            </c:strRef>
          </c:tx>
          <c:marker>
            <c:symbol val="none"/>
          </c:marker>
          <c:cat>
            <c:numRef>
              <c:f>'PV Higher Rates'!$A$8:$A$18</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'PV Higher Rates'!$I$8:$I$18</c:f>
              <c:numCache>
                <c:formatCode>"$"#,##0.00_);[Red]\("$"#,##0.00\)</c:formatCode>
                <c:ptCount val="11"/>
                <c:pt idx="0">
                  <c:v>100</c:v>
                </c:pt>
                <c:pt idx="1">
                  <c:v>85.106382978723403</c:v>
                </c:pt>
                <c:pt idx="2">
                  <c:v>72.430964237211398</c:v>
                </c:pt>
                <c:pt idx="3">
                  <c:v>61.643373818903314</c:v>
                </c:pt>
                <c:pt idx="4">
                  <c:v>52.462445803321963</c:v>
                </c:pt>
                <c:pt idx="5">
                  <c:v>44.648890045380391</c:v>
                </c:pt>
                <c:pt idx="6">
                  <c:v>37.999055357770537</c:v>
                </c:pt>
                <c:pt idx="7">
                  <c:v>32.33962158108131</c:v>
                </c:pt>
                <c:pt idx="8">
                  <c:v>27.523082196664941</c:v>
                </c:pt>
                <c:pt idx="9">
                  <c:v>23.423899741842504</c:v>
                </c:pt>
                <c:pt idx="10">
                  <c:v>19.93523382284468</c:v>
                </c:pt>
              </c:numCache>
            </c:numRef>
          </c:val>
          <c:smooth val="0"/>
          <c:extLst>
            <c:ext xmlns:c16="http://schemas.microsoft.com/office/drawing/2014/chart" uri="{C3380CC4-5D6E-409C-BE32-E72D297353CC}">
              <c16:uniqueId val="{00000007-FD25-46EC-87F1-DEABFA27F740}"/>
            </c:ext>
          </c:extLst>
        </c:ser>
        <c:ser>
          <c:idx val="8"/>
          <c:order val="8"/>
          <c:tx>
            <c:strRef>
              <c:f>'PV Higher Rates'!$J$7</c:f>
              <c:strCache>
                <c:ptCount val="1"/>
                <c:pt idx="0">
                  <c:v>20.00% Annual Rate</c:v>
                </c:pt>
              </c:strCache>
            </c:strRef>
          </c:tx>
          <c:marker>
            <c:symbol val="none"/>
          </c:marker>
          <c:cat>
            <c:numRef>
              <c:f>'PV Higher Rates'!$A$8:$A$18</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'PV Higher Rates'!$J$8:$J$18</c:f>
              <c:numCache>
                <c:formatCode>"$"#,##0.00_);[Red]\("$"#,##0.00\)</c:formatCode>
                <c:ptCount val="11"/>
                <c:pt idx="0">
                  <c:v>100</c:v>
                </c:pt>
                <c:pt idx="1">
                  <c:v>83.333333333333343</c:v>
                </c:pt>
                <c:pt idx="2">
                  <c:v>69.444444444444443</c:v>
                </c:pt>
                <c:pt idx="3">
                  <c:v>57.870370370370374</c:v>
                </c:pt>
                <c:pt idx="4">
                  <c:v>48.22530864197531</c:v>
                </c:pt>
                <c:pt idx="5">
                  <c:v>40.187757201646093</c:v>
                </c:pt>
                <c:pt idx="6">
                  <c:v>33.489797668038413</c:v>
                </c:pt>
                <c:pt idx="7">
                  <c:v>27.908164723365342</c:v>
                </c:pt>
                <c:pt idx="8">
                  <c:v>23.256803936137786</c:v>
                </c:pt>
                <c:pt idx="9">
                  <c:v>19.380669946781488</c:v>
                </c:pt>
                <c:pt idx="10">
                  <c:v>16.150558288984573</c:v>
                </c:pt>
              </c:numCache>
            </c:numRef>
          </c:val>
          <c:smooth val="0"/>
          <c:extLst>
            <c:ext xmlns:c16="http://schemas.microsoft.com/office/drawing/2014/chart" uri="{C3380CC4-5D6E-409C-BE32-E72D297353CC}">
              <c16:uniqueId val="{00000008-FD25-46EC-87F1-DEABFA27F740}"/>
            </c:ext>
          </c:extLst>
        </c:ser>
        <c:dLbls>
          <c:showLegendKey val="0"/>
          <c:showVal val="0"/>
          <c:showCatName val="0"/>
          <c:showSerName val="0"/>
          <c:showPercent val="0"/>
          <c:showBubbleSize val="0"/>
        </c:dLbls>
        <c:smooth val="0"/>
        <c:axId val="1721098447"/>
        <c:axId val="1"/>
      </c:lineChart>
      <c:catAx>
        <c:axId val="1721098447"/>
        <c:scaling>
          <c:orientation val="minMax"/>
        </c:scaling>
        <c:delete val="0"/>
        <c:axPos val="b"/>
        <c:title>
          <c:tx>
            <c:rich>
              <a:bodyPr/>
              <a:lstStyle/>
              <a:p>
                <a:pPr>
                  <a:defRPr/>
                </a:pPr>
                <a:r>
                  <a:rPr lang="en-US"/>
                  <a:t>Time</a:t>
                </a:r>
              </a:p>
            </c:rich>
          </c:tx>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title>
          <c:tx>
            <c:rich>
              <a:bodyPr rot="-5400000" vert="horz"/>
              <a:lstStyle/>
              <a:p>
                <a:pPr>
                  <a:defRPr/>
                </a:pPr>
                <a:r>
                  <a:rPr lang="en-US"/>
                  <a:t>Present Value</a:t>
                </a:r>
              </a:p>
            </c:rich>
          </c:tx>
          <c:overlay val="0"/>
          <c:spPr>
            <a:noFill/>
            <a:ln w="25400">
              <a:noFill/>
            </a:ln>
          </c:spPr>
        </c:title>
        <c:numFmt formatCode="&quot;$&quot;#,##0.00_);[Red]\(&quot;$&quot;#,##0.00\)" sourceLinked="1"/>
        <c:majorTickMark val="out"/>
        <c:minorTickMark val="none"/>
        <c:tickLblPos val="nextTo"/>
        <c:crossAx val="1721098447"/>
        <c:crosses val="autoZero"/>
        <c:crossBetween val="between"/>
      </c:valAx>
    </c:plotArea>
    <c:legend>
      <c:legendPos val="r"/>
      <c:layout>
        <c:manualLayout>
          <c:xMode val="edge"/>
          <c:yMode val="edge"/>
          <c:x val="0.82400005538580834"/>
          <c:y val="0.3595799994911783"/>
          <c:w val="0.16444438803297301"/>
          <c:h val="0.35301842570567216"/>
        </c:manualLayout>
      </c:layout>
      <c:overlay val="0"/>
    </c:legend>
    <c:plotVisOnly val="1"/>
    <c:dispBlanksAs val="gap"/>
    <c:showDLblsOverMax val="0"/>
  </c:chart>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1F6F414-FDE0-4A8C-8E3E-EA6636DAD3D2}">
  <sheetPr codeName="Chart21">
    <tabColor rgb="FFFF0000"/>
  </sheetPr>
  <sheetViews>
    <sheetView zoomScale="75" workbookViewId="0"/>
  </sheetViews>
  <pageMargins left="0.7" right="0.7" top="0.75" bottom="0.75" header="0.3" footer="0.3"/>
  <pageSetup orientation="landscape" r:id="rId1"/>
  <drawing r:id="rId2"/>
</chartsheet>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4</xdr:col>
      <xdr:colOff>121920</xdr:colOff>
      <xdr:row>0</xdr:row>
      <xdr:rowOff>99060</xdr:rowOff>
    </xdr:from>
    <xdr:to>
      <xdr:col>9</xdr:col>
      <xdr:colOff>388620</xdr:colOff>
      <xdr:row>13</xdr:row>
      <xdr:rowOff>167640</xdr:rowOff>
    </xdr:to>
    <xdr:graphicFrame macro="">
      <xdr:nvGraphicFramePr>
        <xdr:cNvPr id="1144" name="Chart 3">
          <a:extLst>
            <a:ext uri="{FF2B5EF4-FFF2-40B4-BE49-F238E27FC236}">
              <a16:creationId xmlns:a16="http://schemas.microsoft.com/office/drawing/2014/main" id="{1E2121F9-0884-F5DA-F780-7DA98A52BC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144780</xdr:colOff>
      <xdr:row>14</xdr:row>
      <xdr:rowOff>68580</xdr:rowOff>
    </xdr:from>
    <xdr:to>
      <xdr:col>12</xdr:col>
      <xdr:colOff>106680</xdr:colOff>
      <xdr:row>25</xdr:row>
      <xdr:rowOff>38100</xdr:rowOff>
    </xdr:to>
    <xdr:graphicFrame macro="">
      <xdr:nvGraphicFramePr>
        <xdr:cNvPr id="1145" name="Chart 1">
          <a:extLst>
            <a:ext uri="{FF2B5EF4-FFF2-40B4-BE49-F238E27FC236}">
              <a16:creationId xmlns:a16="http://schemas.microsoft.com/office/drawing/2014/main" id="{D7E7D591-017E-FED0-362A-1EE7AF75F5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2</xdr:col>
      <xdr:colOff>640080</xdr:colOff>
      <xdr:row>0</xdr:row>
      <xdr:rowOff>213360</xdr:rowOff>
    </xdr:from>
    <xdr:ext cx="3147727" cy="2349978"/>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3AC0EEDB-AC1C-0A6F-5E2A-A9DE415FD4B8}"/>
                </a:ext>
              </a:extLst>
            </xdr:cNvPr>
            <xdr:cNvSpPr txBox="1"/>
          </xdr:nvSpPr>
          <xdr:spPr>
            <a:xfrm>
              <a:off x="5433060" y="213360"/>
              <a:ext cx="3147727" cy="23499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𝐹𝑉</m:t>
                    </m:r>
                    <m:r>
                      <a:rPr lang="en-US" sz="1100" b="0" i="1">
                        <a:latin typeface="Cambria Math"/>
                      </a:rPr>
                      <m:t>=</m:t>
                    </m:r>
                    <m:r>
                      <a:rPr lang="en-US" sz="1100" b="0" i="1">
                        <a:latin typeface="Cambria Math"/>
                      </a:rPr>
                      <m:t>𝑃𝑉</m:t>
                    </m:r>
                    <m:r>
                      <a:rPr lang="en-US" sz="1100" b="0" i="1">
                        <a:latin typeface="Cambria Math"/>
                      </a:rPr>
                      <m:t>(1+</m:t>
                    </m:r>
                    <m:f>
                      <m:fPr>
                        <m:ctrlPr>
                          <a:rPr lang="en-US" sz="1100" b="0" i="1">
                            <a:latin typeface="Cambria Math" panose="02040503050406030204" pitchFamily="18" charset="0"/>
                          </a:rPr>
                        </m:ctrlPr>
                      </m:fPr>
                      <m:num>
                        <m:r>
                          <a:rPr lang="en-US" sz="1100" b="0" i="1">
                            <a:latin typeface="Cambria Math"/>
                          </a:rPr>
                          <m:t>𝑖</m:t>
                        </m:r>
                      </m:num>
                      <m:den>
                        <m:r>
                          <a:rPr lang="en-US" sz="1100" b="0" i="1">
                            <a:latin typeface="Cambria Math"/>
                          </a:rPr>
                          <m:t>𝑛</m:t>
                        </m:r>
                      </m:den>
                    </m:f>
                    <m:r>
                      <a:rPr lang="en-US" sz="1100" b="0" i="1">
                        <a:latin typeface="Cambria Math"/>
                      </a:rPr>
                      <m:t>)^(</m:t>
                    </m:r>
                    <m:r>
                      <a:rPr lang="en-US" sz="1100" b="0" i="1">
                        <a:latin typeface="Cambria Math"/>
                      </a:rPr>
                      <m:t>𝑥</m:t>
                    </m:r>
                    <m:r>
                      <a:rPr lang="en-US" sz="1100" b="0" i="1">
                        <a:latin typeface="Cambria Math"/>
                      </a:rPr>
                      <m:t>∗</m:t>
                    </m:r>
                    <m:r>
                      <a:rPr lang="en-US" sz="1100" b="0" i="1">
                        <a:latin typeface="Cambria Math"/>
                      </a:rPr>
                      <m:t>𝑛</m:t>
                    </m:r>
                    <m:r>
                      <a:rPr lang="en-US" sz="1100" b="0" i="1">
                        <a:latin typeface="Cambria Math"/>
                      </a:rPr>
                      <m:t>)</m:t>
                    </m:r>
                  </m:oMath>
                </m:oMathPara>
              </a14:m>
              <a:endParaRPr lang="en-US" sz="1100"/>
            </a:p>
            <a:p>
              <a:endParaRPr lang="en-US" sz="1100"/>
            </a:p>
            <a:p>
              <a:pPr marL="0" marR="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a:ea typeface="+mn-ea"/>
                            <a:cs typeface="+mn-cs"/>
                          </a:rPr>
                          <m:t>𝐹𝑉</m:t>
                        </m:r>
                      </m:num>
                      <m:den>
                        <m:r>
                          <a:rPr lang="en-US" sz="1100" b="0" i="1">
                            <a:solidFill>
                              <a:schemeClr val="tx1"/>
                            </a:solidFill>
                            <a:effectLst/>
                            <a:latin typeface="Cambria Math"/>
                            <a:ea typeface="+mn-ea"/>
                            <a:cs typeface="+mn-cs"/>
                          </a:rPr>
                          <m:t>(1+</m:t>
                        </m:r>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a:ea typeface="+mn-ea"/>
                                <a:cs typeface="+mn-cs"/>
                              </a:rPr>
                              <m:t>𝑖</m:t>
                            </m:r>
                          </m:num>
                          <m:den>
                            <m:r>
                              <a:rPr lang="en-US" sz="1100" b="0" i="1">
                                <a:solidFill>
                                  <a:schemeClr val="tx1"/>
                                </a:solidFill>
                                <a:effectLst/>
                                <a:latin typeface="Cambria Math"/>
                                <a:ea typeface="+mn-ea"/>
                                <a:cs typeface="+mn-cs"/>
                              </a:rPr>
                              <m:t>𝑛</m:t>
                            </m:r>
                          </m:den>
                        </m:f>
                        <m:r>
                          <a:rPr lang="en-US" sz="1100" b="0" i="1">
                            <a:solidFill>
                              <a:schemeClr val="tx1"/>
                            </a:solidFill>
                            <a:effectLst/>
                            <a:latin typeface="Cambria Math"/>
                            <a:ea typeface="+mn-ea"/>
                            <a:cs typeface="+mn-cs"/>
                          </a:rPr>
                          <m:t>)^(</m:t>
                        </m:r>
                        <m:r>
                          <a:rPr lang="en-US" sz="1100" b="0" i="1">
                            <a:solidFill>
                              <a:schemeClr val="tx1"/>
                            </a:solidFill>
                            <a:effectLst/>
                            <a:latin typeface="Cambria Math"/>
                            <a:ea typeface="+mn-ea"/>
                            <a:cs typeface="+mn-cs"/>
                          </a:rPr>
                          <m:t>𝑥</m:t>
                        </m:r>
                        <m:r>
                          <a:rPr lang="en-US" sz="1100" b="0" i="1">
                            <a:solidFill>
                              <a:schemeClr val="tx1"/>
                            </a:solidFill>
                            <a:effectLst/>
                            <a:latin typeface="Cambria Math"/>
                            <a:ea typeface="+mn-ea"/>
                            <a:cs typeface="+mn-cs"/>
                          </a:rPr>
                          <m:t>∗</m:t>
                        </m:r>
                        <m:r>
                          <a:rPr lang="en-US" sz="1100" b="0" i="1">
                            <a:solidFill>
                              <a:schemeClr val="tx1"/>
                            </a:solidFill>
                            <a:effectLst/>
                            <a:latin typeface="Cambria Math"/>
                            <a:ea typeface="+mn-ea"/>
                            <a:cs typeface="+mn-cs"/>
                          </a:rPr>
                          <m:t>𝑛</m:t>
                        </m:r>
                        <m:r>
                          <a:rPr lang="en-US" sz="1100" b="0" i="1">
                            <a:solidFill>
                              <a:schemeClr val="tx1"/>
                            </a:solidFill>
                            <a:effectLst/>
                            <a:latin typeface="Cambria Math"/>
                            <a:ea typeface="+mn-ea"/>
                            <a:cs typeface="+mn-cs"/>
                          </a:rPr>
                          <m:t>)</m:t>
                        </m:r>
                      </m:den>
                    </m:f>
                    <m:r>
                      <a:rPr lang="en-US" sz="1100" b="0" i="1">
                        <a:solidFill>
                          <a:schemeClr val="tx1"/>
                        </a:solidFill>
                        <a:effectLst/>
                        <a:latin typeface="Cambria Math"/>
                        <a:ea typeface="+mn-ea"/>
                        <a:cs typeface="+mn-cs"/>
                      </a:rPr>
                      <m:t>=</m:t>
                    </m:r>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a:ea typeface="+mn-ea"/>
                            <a:cs typeface="+mn-cs"/>
                          </a:rPr>
                          <m:t>𝑃𝑉</m:t>
                        </m:r>
                        <m:r>
                          <a:rPr lang="en-US" sz="1100" b="0" i="1">
                            <a:solidFill>
                              <a:schemeClr val="tx1"/>
                            </a:solidFill>
                            <a:effectLst/>
                            <a:latin typeface="Cambria Math"/>
                            <a:ea typeface="+mn-ea"/>
                            <a:cs typeface="+mn-cs"/>
                          </a:rPr>
                          <m:t>(1+</m:t>
                        </m:r>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a:ea typeface="+mn-ea"/>
                                <a:cs typeface="+mn-cs"/>
                              </a:rPr>
                              <m:t>𝑖</m:t>
                            </m:r>
                          </m:num>
                          <m:den>
                            <m:r>
                              <a:rPr lang="en-US" sz="1100" b="0" i="1">
                                <a:solidFill>
                                  <a:schemeClr val="tx1"/>
                                </a:solidFill>
                                <a:effectLst/>
                                <a:latin typeface="Cambria Math"/>
                                <a:ea typeface="+mn-ea"/>
                                <a:cs typeface="+mn-cs"/>
                              </a:rPr>
                              <m:t>𝑛</m:t>
                            </m:r>
                          </m:den>
                        </m:f>
                        <m:r>
                          <a:rPr lang="en-US" sz="1100" b="0" i="1">
                            <a:solidFill>
                              <a:schemeClr val="tx1"/>
                            </a:solidFill>
                            <a:effectLst/>
                            <a:latin typeface="Cambria Math"/>
                            <a:ea typeface="+mn-ea"/>
                            <a:cs typeface="+mn-cs"/>
                          </a:rPr>
                          <m:t>)^(</m:t>
                        </m:r>
                        <m:r>
                          <a:rPr lang="en-US" sz="1100" b="0" i="1">
                            <a:solidFill>
                              <a:schemeClr val="tx1"/>
                            </a:solidFill>
                            <a:effectLst/>
                            <a:latin typeface="Cambria Math"/>
                            <a:ea typeface="+mn-ea"/>
                            <a:cs typeface="+mn-cs"/>
                          </a:rPr>
                          <m:t>𝑥</m:t>
                        </m:r>
                        <m:r>
                          <a:rPr lang="en-US" sz="1100" b="0" i="1">
                            <a:solidFill>
                              <a:schemeClr val="tx1"/>
                            </a:solidFill>
                            <a:effectLst/>
                            <a:latin typeface="Cambria Math"/>
                            <a:ea typeface="+mn-ea"/>
                            <a:cs typeface="+mn-cs"/>
                          </a:rPr>
                          <m:t>∗</m:t>
                        </m:r>
                        <m:r>
                          <a:rPr lang="en-US" sz="1100" b="0" i="1">
                            <a:solidFill>
                              <a:schemeClr val="tx1"/>
                            </a:solidFill>
                            <a:effectLst/>
                            <a:latin typeface="Cambria Math"/>
                            <a:ea typeface="+mn-ea"/>
                            <a:cs typeface="+mn-cs"/>
                          </a:rPr>
                          <m:t>𝑛</m:t>
                        </m:r>
                        <m:r>
                          <a:rPr lang="en-US" sz="1100" b="0" i="1">
                            <a:solidFill>
                              <a:schemeClr val="tx1"/>
                            </a:solidFill>
                            <a:effectLst/>
                            <a:latin typeface="Cambria Math"/>
                            <a:ea typeface="+mn-ea"/>
                            <a:cs typeface="+mn-cs"/>
                          </a:rPr>
                          <m:t>)</m:t>
                        </m:r>
                      </m:num>
                      <m:den>
                        <m:r>
                          <a:rPr lang="en-US" sz="1100" b="0" i="1">
                            <a:solidFill>
                              <a:schemeClr val="tx1"/>
                            </a:solidFill>
                            <a:effectLst/>
                            <a:latin typeface="Cambria Math"/>
                            <a:ea typeface="+mn-ea"/>
                            <a:cs typeface="+mn-cs"/>
                          </a:rPr>
                          <m:t>(1+</m:t>
                        </m:r>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a:ea typeface="+mn-ea"/>
                                <a:cs typeface="+mn-cs"/>
                              </a:rPr>
                              <m:t>𝑖</m:t>
                            </m:r>
                          </m:num>
                          <m:den>
                            <m:r>
                              <a:rPr lang="en-US" sz="1100" b="0" i="1">
                                <a:solidFill>
                                  <a:schemeClr val="tx1"/>
                                </a:solidFill>
                                <a:effectLst/>
                                <a:latin typeface="Cambria Math"/>
                                <a:ea typeface="+mn-ea"/>
                                <a:cs typeface="+mn-cs"/>
                              </a:rPr>
                              <m:t>𝑛</m:t>
                            </m:r>
                          </m:den>
                        </m:f>
                        <m:r>
                          <a:rPr lang="en-US" sz="1100" b="0" i="1">
                            <a:solidFill>
                              <a:schemeClr val="tx1"/>
                            </a:solidFill>
                            <a:effectLst/>
                            <a:latin typeface="Cambria Math"/>
                            <a:ea typeface="+mn-ea"/>
                            <a:cs typeface="+mn-cs"/>
                          </a:rPr>
                          <m:t>)^(</m:t>
                        </m:r>
                        <m:r>
                          <a:rPr lang="en-US" sz="1100" b="0" i="1">
                            <a:solidFill>
                              <a:schemeClr val="tx1"/>
                            </a:solidFill>
                            <a:effectLst/>
                            <a:latin typeface="Cambria Math"/>
                            <a:ea typeface="+mn-ea"/>
                            <a:cs typeface="+mn-cs"/>
                          </a:rPr>
                          <m:t>𝑥</m:t>
                        </m:r>
                        <m:r>
                          <a:rPr lang="en-US" sz="1100" b="0" i="1">
                            <a:solidFill>
                              <a:schemeClr val="tx1"/>
                            </a:solidFill>
                            <a:effectLst/>
                            <a:latin typeface="Cambria Math"/>
                            <a:ea typeface="+mn-ea"/>
                            <a:cs typeface="+mn-cs"/>
                          </a:rPr>
                          <m:t>∗</m:t>
                        </m:r>
                        <m:r>
                          <a:rPr lang="en-US" sz="1100" b="0" i="1">
                            <a:solidFill>
                              <a:schemeClr val="tx1"/>
                            </a:solidFill>
                            <a:effectLst/>
                            <a:latin typeface="Cambria Math"/>
                            <a:ea typeface="+mn-ea"/>
                            <a:cs typeface="+mn-cs"/>
                          </a:rPr>
                          <m:t>𝑛</m:t>
                        </m:r>
                        <m:r>
                          <a:rPr lang="en-US" sz="1100" b="0" i="1">
                            <a:solidFill>
                              <a:schemeClr val="tx1"/>
                            </a:solidFill>
                            <a:effectLst/>
                            <a:latin typeface="Cambria Math"/>
                            <a:ea typeface="+mn-ea"/>
                            <a:cs typeface="+mn-cs"/>
                          </a:rPr>
                          <m:t>)</m:t>
                        </m:r>
                      </m:den>
                    </m:f>
                  </m:oMath>
                </m:oMathPara>
              </a14:m>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a:ea typeface="+mn-ea"/>
                            <a:cs typeface="+mn-cs"/>
                          </a:rPr>
                          <m:t>𝐹𝑉</m:t>
                        </m:r>
                      </m:num>
                      <m:den>
                        <m:r>
                          <a:rPr lang="en-US" sz="1100" b="0" i="1">
                            <a:solidFill>
                              <a:schemeClr val="tx1"/>
                            </a:solidFill>
                            <a:effectLst/>
                            <a:latin typeface="Cambria Math"/>
                            <a:ea typeface="+mn-ea"/>
                            <a:cs typeface="+mn-cs"/>
                          </a:rPr>
                          <m:t>(1+</m:t>
                        </m:r>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a:ea typeface="+mn-ea"/>
                                <a:cs typeface="+mn-cs"/>
                              </a:rPr>
                              <m:t>𝑖</m:t>
                            </m:r>
                          </m:num>
                          <m:den>
                            <m:r>
                              <a:rPr lang="en-US" sz="1100" b="0" i="1">
                                <a:solidFill>
                                  <a:schemeClr val="tx1"/>
                                </a:solidFill>
                                <a:effectLst/>
                                <a:latin typeface="Cambria Math"/>
                                <a:ea typeface="+mn-ea"/>
                                <a:cs typeface="+mn-cs"/>
                              </a:rPr>
                              <m:t>𝑛</m:t>
                            </m:r>
                          </m:den>
                        </m:f>
                        <m:r>
                          <a:rPr lang="en-US" sz="1100" b="0" i="1">
                            <a:solidFill>
                              <a:schemeClr val="tx1"/>
                            </a:solidFill>
                            <a:effectLst/>
                            <a:latin typeface="Cambria Math"/>
                            <a:ea typeface="+mn-ea"/>
                            <a:cs typeface="+mn-cs"/>
                          </a:rPr>
                          <m:t>)^(</m:t>
                        </m:r>
                        <m:r>
                          <a:rPr lang="en-US" sz="1100" b="0" i="1">
                            <a:solidFill>
                              <a:schemeClr val="tx1"/>
                            </a:solidFill>
                            <a:effectLst/>
                            <a:latin typeface="Cambria Math"/>
                            <a:ea typeface="+mn-ea"/>
                            <a:cs typeface="+mn-cs"/>
                          </a:rPr>
                          <m:t>𝑥</m:t>
                        </m:r>
                        <m:r>
                          <a:rPr lang="en-US" sz="1100" b="0" i="1">
                            <a:solidFill>
                              <a:schemeClr val="tx1"/>
                            </a:solidFill>
                            <a:effectLst/>
                            <a:latin typeface="Cambria Math"/>
                            <a:ea typeface="+mn-ea"/>
                            <a:cs typeface="+mn-cs"/>
                          </a:rPr>
                          <m:t>∗</m:t>
                        </m:r>
                        <m:r>
                          <a:rPr lang="en-US" sz="1100" b="0" i="1">
                            <a:solidFill>
                              <a:schemeClr val="tx1"/>
                            </a:solidFill>
                            <a:effectLst/>
                            <a:latin typeface="Cambria Math"/>
                            <a:ea typeface="+mn-ea"/>
                            <a:cs typeface="+mn-cs"/>
                          </a:rPr>
                          <m:t>𝑛</m:t>
                        </m:r>
                        <m:r>
                          <a:rPr lang="en-US" sz="1100" b="0" i="1">
                            <a:solidFill>
                              <a:schemeClr val="tx1"/>
                            </a:solidFill>
                            <a:effectLst/>
                            <a:latin typeface="Cambria Math"/>
                            <a:ea typeface="+mn-ea"/>
                            <a:cs typeface="+mn-cs"/>
                          </a:rPr>
                          <m:t>)</m:t>
                        </m:r>
                      </m:den>
                    </m:f>
                    <m:r>
                      <a:rPr lang="en-US" sz="1100" b="0" i="1">
                        <a:solidFill>
                          <a:schemeClr val="tx1"/>
                        </a:solidFill>
                        <a:effectLst/>
                        <a:latin typeface="Cambria Math"/>
                        <a:ea typeface="+mn-ea"/>
                        <a:cs typeface="+mn-cs"/>
                      </a:rPr>
                      <m:t>=</m:t>
                    </m:r>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a:ea typeface="+mn-ea"/>
                            <a:cs typeface="+mn-cs"/>
                          </a:rPr>
                          <m:t>𝑃𝑉</m:t>
                        </m:r>
                        <m:r>
                          <a:rPr lang="en-US" sz="1100" b="0" i="1" strike="sngStrike" baseline="0">
                            <a:solidFill>
                              <a:srgbClr val="FF0000"/>
                            </a:solidFill>
                            <a:effectLst/>
                            <a:latin typeface="Cambria Math"/>
                            <a:ea typeface="+mn-ea"/>
                            <a:cs typeface="+mn-cs"/>
                          </a:rPr>
                          <m:t>(1+</m:t>
                        </m:r>
                        <m:f>
                          <m:fPr>
                            <m:ctrlPr>
                              <a:rPr lang="en-US" sz="1100" b="0" i="1" strike="sngStrike" baseline="0">
                                <a:solidFill>
                                  <a:srgbClr val="FF0000"/>
                                </a:solidFill>
                                <a:effectLst/>
                                <a:latin typeface="Cambria Math" panose="02040503050406030204" pitchFamily="18" charset="0"/>
                                <a:ea typeface="+mn-ea"/>
                                <a:cs typeface="+mn-cs"/>
                              </a:rPr>
                            </m:ctrlPr>
                          </m:fPr>
                          <m:num>
                            <m:r>
                              <a:rPr lang="en-US" sz="1100" b="0" i="1" strike="sngStrike" baseline="0">
                                <a:solidFill>
                                  <a:srgbClr val="FF0000"/>
                                </a:solidFill>
                                <a:effectLst/>
                                <a:latin typeface="Cambria Math"/>
                                <a:ea typeface="+mn-ea"/>
                                <a:cs typeface="+mn-cs"/>
                              </a:rPr>
                              <m:t>𝑖</m:t>
                            </m:r>
                          </m:num>
                          <m:den>
                            <m:r>
                              <a:rPr lang="en-US" sz="1100" b="0" i="1" strike="sngStrike" baseline="0">
                                <a:solidFill>
                                  <a:srgbClr val="FF0000"/>
                                </a:solidFill>
                                <a:effectLst/>
                                <a:latin typeface="Cambria Math"/>
                                <a:ea typeface="+mn-ea"/>
                                <a:cs typeface="+mn-cs"/>
                              </a:rPr>
                              <m:t>𝑛</m:t>
                            </m:r>
                          </m:den>
                        </m:f>
                        <m:r>
                          <a:rPr lang="en-US" sz="1100" b="0" i="1" strike="sngStrike" baseline="0">
                            <a:solidFill>
                              <a:srgbClr val="FF0000"/>
                            </a:solidFill>
                            <a:effectLst/>
                            <a:latin typeface="Cambria Math"/>
                            <a:ea typeface="+mn-ea"/>
                            <a:cs typeface="+mn-cs"/>
                          </a:rPr>
                          <m:t>)^(</m:t>
                        </m:r>
                        <m:r>
                          <a:rPr lang="en-US" sz="1100" b="0" i="1" strike="sngStrike" baseline="0">
                            <a:solidFill>
                              <a:srgbClr val="FF0000"/>
                            </a:solidFill>
                            <a:effectLst/>
                            <a:latin typeface="Cambria Math"/>
                            <a:ea typeface="+mn-ea"/>
                            <a:cs typeface="+mn-cs"/>
                          </a:rPr>
                          <m:t>𝑥</m:t>
                        </m:r>
                        <m:r>
                          <a:rPr lang="en-US" sz="1100" b="0" i="1" strike="sngStrike" baseline="0">
                            <a:solidFill>
                              <a:srgbClr val="FF0000"/>
                            </a:solidFill>
                            <a:effectLst/>
                            <a:latin typeface="Cambria Math"/>
                            <a:ea typeface="+mn-ea"/>
                            <a:cs typeface="+mn-cs"/>
                          </a:rPr>
                          <m:t>∗</m:t>
                        </m:r>
                        <m:r>
                          <a:rPr lang="en-US" sz="1100" b="0" i="1" strike="sngStrike" baseline="0">
                            <a:solidFill>
                              <a:srgbClr val="FF0000"/>
                            </a:solidFill>
                            <a:effectLst/>
                            <a:latin typeface="Cambria Math"/>
                            <a:ea typeface="+mn-ea"/>
                            <a:cs typeface="+mn-cs"/>
                          </a:rPr>
                          <m:t>𝑛</m:t>
                        </m:r>
                        <m:r>
                          <a:rPr lang="en-US" sz="1100" b="0" i="1" strike="sngStrike" baseline="0">
                            <a:solidFill>
                              <a:srgbClr val="FF0000"/>
                            </a:solidFill>
                            <a:effectLst/>
                            <a:latin typeface="Cambria Math"/>
                            <a:ea typeface="+mn-ea"/>
                            <a:cs typeface="+mn-cs"/>
                          </a:rPr>
                          <m:t>)</m:t>
                        </m:r>
                      </m:num>
                      <m:den>
                        <m:r>
                          <a:rPr lang="en-US" sz="1100" b="0" i="1" strike="dblStrike" baseline="0">
                            <a:solidFill>
                              <a:srgbClr val="FF0000"/>
                            </a:solidFill>
                            <a:effectLst/>
                            <a:latin typeface="Cambria Math"/>
                            <a:ea typeface="+mn-ea"/>
                            <a:cs typeface="+mn-cs"/>
                          </a:rPr>
                          <m:t>(1+</m:t>
                        </m:r>
                        <m:f>
                          <m:fPr>
                            <m:ctrlPr>
                              <a:rPr lang="en-US" sz="1100" b="0" i="1" strike="dblStrike" baseline="0">
                                <a:solidFill>
                                  <a:srgbClr val="FF0000"/>
                                </a:solidFill>
                                <a:effectLst/>
                                <a:latin typeface="Cambria Math" panose="02040503050406030204" pitchFamily="18" charset="0"/>
                                <a:ea typeface="+mn-ea"/>
                                <a:cs typeface="+mn-cs"/>
                              </a:rPr>
                            </m:ctrlPr>
                          </m:fPr>
                          <m:num>
                            <m:r>
                              <a:rPr lang="en-US" sz="1100" b="0" i="1" strike="dblStrike" baseline="0">
                                <a:solidFill>
                                  <a:srgbClr val="FF0000"/>
                                </a:solidFill>
                                <a:effectLst/>
                                <a:latin typeface="Cambria Math"/>
                                <a:ea typeface="+mn-ea"/>
                                <a:cs typeface="+mn-cs"/>
                              </a:rPr>
                              <m:t>𝑖</m:t>
                            </m:r>
                          </m:num>
                          <m:den>
                            <m:r>
                              <a:rPr lang="en-US" sz="1100" b="0" i="1" strike="dblStrike" baseline="0">
                                <a:solidFill>
                                  <a:srgbClr val="FF0000"/>
                                </a:solidFill>
                                <a:effectLst/>
                                <a:latin typeface="Cambria Math"/>
                                <a:ea typeface="+mn-ea"/>
                                <a:cs typeface="+mn-cs"/>
                              </a:rPr>
                              <m:t>𝑛</m:t>
                            </m:r>
                          </m:den>
                        </m:f>
                        <m:r>
                          <a:rPr lang="en-US" sz="1100" b="0" i="1" strike="dblStrike" baseline="0">
                            <a:solidFill>
                              <a:srgbClr val="FF0000"/>
                            </a:solidFill>
                            <a:effectLst/>
                            <a:latin typeface="Cambria Math"/>
                            <a:ea typeface="+mn-ea"/>
                            <a:cs typeface="+mn-cs"/>
                          </a:rPr>
                          <m:t>)^(</m:t>
                        </m:r>
                        <m:r>
                          <a:rPr lang="en-US" sz="1100" b="0" i="1" strike="dblStrike" baseline="0">
                            <a:solidFill>
                              <a:srgbClr val="FF0000"/>
                            </a:solidFill>
                            <a:effectLst/>
                            <a:latin typeface="Cambria Math"/>
                            <a:ea typeface="+mn-ea"/>
                            <a:cs typeface="+mn-cs"/>
                          </a:rPr>
                          <m:t>𝑥</m:t>
                        </m:r>
                        <m:r>
                          <a:rPr lang="en-US" sz="1100" b="0" i="1" strike="dblStrike" baseline="0">
                            <a:solidFill>
                              <a:srgbClr val="FF0000"/>
                            </a:solidFill>
                            <a:effectLst/>
                            <a:latin typeface="Cambria Math"/>
                            <a:ea typeface="+mn-ea"/>
                            <a:cs typeface="+mn-cs"/>
                          </a:rPr>
                          <m:t>∗</m:t>
                        </m:r>
                        <m:r>
                          <a:rPr lang="en-US" sz="1100" b="0" i="1" strike="dblStrike" baseline="0">
                            <a:solidFill>
                              <a:srgbClr val="FF0000"/>
                            </a:solidFill>
                            <a:effectLst/>
                            <a:latin typeface="Cambria Math"/>
                            <a:ea typeface="+mn-ea"/>
                            <a:cs typeface="+mn-cs"/>
                          </a:rPr>
                          <m:t>𝑛</m:t>
                        </m:r>
                        <m:r>
                          <a:rPr lang="en-US" sz="1100" b="0" i="1" strike="dblStrike" baseline="0">
                            <a:solidFill>
                              <a:srgbClr val="FF0000"/>
                            </a:solidFill>
                            <a:effectLst/>
                            <a:latin typeface="Cambria Math"/>
                            <a:ea typeface="+mn-ea"/>
                            <a:cs typeface="+mn-cs"/>
                          </a:rPr>
                          <m:t>)</m:t>
                        </m:r>
                      </m:den>
                    </m:f>
                  </m:oMath>
                </m:oMathPara>
              </a14:m>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a:ea typeface="+mn-ea"/>
                            <a:cs typeface="+mn-cs"/>
                          </a:rPr>
                          <m:t>𝐹𝑉</m:t>
                        </m:r>
                      </m:num>
                      <m:den>
                        <m:r>
                          <a:rPr lang="en-US" sz="1100" b="0" i="1">
                            <a:solidFill>
                              <a:schemeClr val="tx1"/>
                            </a:solidFill>
                            <a:effectLst/>
                            <a:latin typeface="Cambria Math"/>
                            <a:ea typeface="+mn-ea"/>
                            <a:cs typeface="+mn-cs"/>
                          </a:rPr>
                          <m:t>(1+</m:t>
                        </m:r>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a:ea typeface="+mn-ea"/>
                                <a:cs typeface="+mn-cs"/>
                              </a:rPr>
                              <m:t>𝑖</m:t>
                            </m:r>
                          </m:num>
                          <m:den>
                            <m:r>
                              <a:rPr lang="en-US" sz="1100" b="0" i="1">
                                <a:solidFill>
                                  <a:schemeClr val="tx1"/>
                                </a:solidFill>
                                <a:effectLst/>
                                <a:latin typeface="Cambria Math"/>
                                <a:ea typeface="+mn-ea"/>
                                <a:cs typeface="+mn-cs"/>
                              </a:rPr>
                              <m:t>𝑛</m:t>
                            </m:r>
                          </m:den>
                        </m:f>
                        <m:r>
                          <a:rPr lang="en-US" sz="1100" b="0" i="1">
                            <a:solidFill>
                              <a:schemeClr val="tx1"/>
                            </a:solidFill>
                            <a:effectLst/>
                            <a:latin typeface="Cambria Math"/>
                            <a:ea typeface="+mn-ea"/>
                            <a:cs typeface="+mn-cs"/>
                          </a:rPr>
                          <m:t>)^(</m:t>
                        </m:r>
                        <m:r>
                          <a:rPr lang="en-US" sz="1100" b="0" i="1">
                            <a:solidFill>
                              <a:schemeClr val="tx1"/>
                            </a:solidFill>
                            <a:effectLst/>
                            <a:latin typeface="Cambria Math"/>
                            <a:ea typeface="+mn-ea"/>
                            <a:cs typeface="+mn-cs"/>
                          </a:rPr>
                          <m:t>𝑥</m:t>
                        </m:r>
                        <m:r>
                          <a:rPr lang="en-US" sz="1100" b="0" i="1">
                            <a:solidFill>
                              <a:schemeClr val="tx1"/>
                            </a:solidFill>
                            <a:effectLst/>
                            <a:latin typeface="Cambria Math"/>
                            <a:ea typeface="+mn-ea"/>
                            <a:cs typeface="+mn-cs"/>
                          </a:rPr>
                          <m:t>∗</m:t>
                        </m:r>
                        <m:r>
                          <a:rPr lang="en-US" sz="1100" b="0" i="1">
                            <a:solidFill>
                              <a:schemeClr val="tx1"/>
                            </a:solidFill>
                            <a:effectLst/>
                            <a:latin typeface="Cambria Math"/>
                            <a:ea typeface="+mn-ea"/>
                            <a:cs typeface="+mn-cs"/>
                          </a:rPr>
                          <m:t>𝑛</m:t>
                        </m:r>
                        <m:r>
                          <a:rPr lang="en-US" sz="1100" b="0" i="1">
                            <a:solidFill>
                              <a:schemeClr val="tx1"/>
                            </a:solidFill>
                            <a:effectLst/>
                            <a:latin typeface="Cambria Math"/>
                            <a:ea typeface="+mn-ea"/>
                            <a:cs typeface="+mn-cs"/>
                          </a:rPr>
                          <m:t>)</m:t>
                        </m:r>
                      </m:den>
                    </m:f>
                    <m:r>
                      <a:rPr lang="en-US" sz="1100" b="0" i="1">
                        <a:solidFill>
                          <a:schemeClr val="tx1"/>
                        </a:solidFill>
                        <a:effectLst/>
                        <a:latin typeface="Cambria Math"/>
                        <a:ea typeface="+mn-ea"/>
                        <a:cs typeface="+mn-cs"/>
                      </a:rPr>
                      <m:t>=</m:t>
                    </m:r>
                    <m:r>
                      <a:rPr lang="en-US" sz="1100" b="0" i="1">
                        <a:solidFill>
                          <a:schemeClr val="tx1"/>
                        </a:solidFill>
                        <a:effectLst/>
                        <a:latin typeface="Cambria Math"/>
                        <a:ea typeface="+mn-ea"/>
                        <a:cs typeface="+mn-cs"/>
                      </a:rPr>
                      <m:t>𝑃𝑉</m:t>
                    </m:r>
                  </m:oMath>
                </m:oMathPara>
              </a14:m>
              <a:endParaRPr lang="en-US">
                <a:effectLst/>
              </a:endParaRPr>
            </a:p>
            <a:p>
              <a:endParaRPr lang="en-US" sz="1100"/>
            </a:p>
          </xdr:txBody>
        </xdr:sp>
      </mc:Choice>
      <mc:Fallback xmlns="">
        <xdr:sp macro="" textlink="">
          <xdr:nvSpPr>
            <xdr:cNvPr id="2" name="TextBox 1"/>
            <xdr:cNvSpPr txBox="1"/>
          </xdr:nvSpPr>
          <xdr:spPr>
            <a:xfrm xmlns:a="http://schemas.openxmlformats.org/drawingml/2006/main">
              <a:off x="5433060" y="213360"/>
              <a:ext cx="3147727" cy="234997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t">
              <a:noAutofit/>
            </a:bodyPr>
            <a:lstStyle xmlns:a="http://schemas.openxmlformats.org/drawingml/2006/main"/>
            <a:p xmlns:a="http://schemas.openxmlformats.org/drawingml/2006/main">
              <a:pPr/>
              <a:r>
                <a:rPr lang="en-US" sz="1100" b="0" i="0">
                  <a:latin typeface="Cambria Math"/>
                </a:rPr>
                <a:t>𝐹𝑉=𝑃𝑉(1+𝑖/𝑛)^(𝑥∗𝑛)</a:t>
              </a:r>
              <a:endParaRPr lang="en-US" sz="1100"/>
            </a:p>
            <a:p xmlns:a="http://schemas.openxmlformats.org/drawingml/2006/main">
              <a:endParaRPr lang="en-US" sz="1100"/>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tx1"/>
                  </a:solidFill>
                  <a:effectLst/>
                  <a:latin typeface="Cambria Math"/>
                  <a:ea typeface="+mn-ea"/>
                  <a:cs typeface="+mn-cs"/>
                </a:rPr>
                <a:t>𝐹𝑉/((1+𝑖/𝑛)^(𝑥∗𝑛))=(𝑃𝑉(1+𝑖/𝑛)^(𝑥∗𝑛))/((1+𝑖/𝑛)^(𝑥∗𝑛))</a:t>
              </a:r>
              <a:endParaRPr lang="en-US">
                <a:effectLst/>
              </a:endParaRP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tx1"/>
                  </a:solidFill>
                  <a:effectLst/>
                  <a:latin typeface="Cambria Math"/>
                  <a:ea typeface="+mn-ea"/>
                  <a:cs typeface="+mn-cs"/>
                </a:rPr>
                <a:t>𝐹𝑉/((1+𝑖/𝑛)^(𝑥∗𝑛))=(𝑃𝑉</a:t>
              </a:r>
              <a:r>
                <a:rPr lang="en-US" sz="1100" b="0" i="0" strike="sngStrike" baseline="0">
                  <a:solidFill>
                    <a:srgbClr val="FF0000"/>
                  </a:solidFill>
                  <a:effectLst/>
                  <a:latin typeface="Cambria Math"/>
                  <a:ea typeface="+mn-ea"/>
                  <a:cs typeface="+mn-cs"/>
                </a:rPr>
                <a:t>(1+𝑖/𝑛)^(𝑥∗𝑛)</a:t>
              </a:r>
              <a:r>
                <a:rPr lang="en-US" sz="1100" b="0" i="0" strike="sngStrike" baseline="0">
                  <a:solidFill>
                    <a:schemeClr val="tx1"/>
                  </a:solidFill>
                  <a:effectLst/>
                  <a:latin typeface="Cambria Math"/>
                  <a:ea typeface="+mn-ea"/>
                  <a:cs typeface="+mn-cs"/>
                </a:rPr>
                <a:t>)/(</a:t>
              </a:r>
              <a:r>
                <a:rPr lang="en-US" sz="1100" b="0" i="0" strike="dblStrike" baseline="0">
                  <a:solidFill>
                    <a:srgbClr val="FF0000"/>
                  </a:solidFill>
                  <a:effectLst/>
                  <a:latin typeface="Cambria Math"/>
                  <a:ea typeface="+mn-ea"/>
                  <a:cs typeface="+mn-cs"/>
                </a:rPr>
                <a:t>(1+𝑖/𝑛)^(𝑥∗𝑛)</a:t>
              </a:r>
              <a:r>
                <a:rPr lang="en-US" sz="1100" b="0" i="0" strike="dblStrike" baseline="0">
                  <a:solidFill>
                    <a:schemeClr val="tx1"/>
                  </a:solidFill>
                  <a:effectLst/>
                  <a:latin typeface="Cambria Math"/>
                  <a:ea typeface="+mn-ea"/>
                  <a:cs typeface="+mn-cs"/>
                </a:rPr>
                <a:t>)</a:t>
              </a:r>
              <a:endParaRPr lang="en-US">
                <a:effectLst/>
              </a:endParaRP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tx1"/>
                  </a:solidFill>
                  <a:effectLst/>
                  <a:latin typeface="Cambria Math"/>
                  <a:ea typeface="+mn-ea"/>
                  <a:cs typeface="+mn-cs"/>
                </a:rPr>
                <a:t>𝐹𝑉/((1+𝑖/𝑛)^(𝑥∗𝑛))=𝑃𝑉</a:t>
              </a:r>
              <a:endParaRPr lang="en-US">
                <a:effectLst/>
              </a:endParaRPr>
            </a:p>
            <a:p xmlns:a="http://schemas.openxmlformats.org/drawingml/2006/main">
              <a:endParaRPr lang="en-US" sz="1100"/>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FDB96D3B-DEE6-A75A-6A1C-6C13886ED78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B2241-58D1-4E73-B02D-8D14FEDB2E03}">
  <sheetPr codeName="Sheet3">
    <tabColor rgb="FF0000FF"/>
  </sheetPr>
  <dimension ref="A1:F12"/>
  <sheetViews>
    <sheetView zoomScale="130" zoomScaleNormal="130" workbookViewId="0">
      <selection activeCell="F10" sqref="F10"/>
    </sheetView>
  </sheetViews>
  <sheetFormatPr defaultRowHeight="14.4" x14ac:dyDescent="0.3"/>
  <cols>
    <col min="1" max="1" width="25.6640625" customWidth="1"/>
    <col min="2" max="2" width="11" bestFit="1" customWidth="1"/>
    <col min="3" max="3" width="11.88671875" bestFit="1" customWidth="1"/>
    <col min="4" max="4" width="12.6640625" customWidth="1"/>
    <col min="5" max="5" width="2.33203125" customWidth="1"/>
    <col min="6" max="6" width="12.6640625" customWidth="1"/>
  </cols>
  <sheetData>
    <row r="1" spans="1:6" ht="28.8" x14ac:dyDescent="0.3">
      <c r="B1" s="52" t="s">
        <v>127</v>
      </c>
      <c r="C1" s="52" t="s">
        <v>128</v>
      </c>
      <c r="D1" s="52" t="s">
        <v>136</v>
      </c>
      <c r="E1" s="13"/>
      <c r="F1" s="53" t="s">
        <v>129</v>
      </c>
    </row>
    <row r="2" spans="1:6" x14ac:dyDescent="0.3">
      <c r="A2" s="12" t="s">
        <v>114</v>
      </c>
      <c r="B2" s="6" t="s">
        <v>53</v>
      </c>
      <c r="C2" s="6" t="s">
        <v>53</v>
      </c>
      <c r="D2" s="6" t="s">
        <v>122</v>
      </c>
      <c r="F2" s="6" t="s">
        <v>130</v>
      </c>
    </row>
    <row r="3" spans="1:6" x14ac:dyDescent="0.3">
      <c r="A3" s="12" t="s">
        <v>118</v>
      </c>
      <c r="B3" s="6" t="s">
        <v>3</v>
      </c>
      <c r="C3" s="6" t="s">
        <v>3</v>
      </c>
      <c r="D3" s="6">
        <v>10000</v>
      </c>
      <c r="F3" s="6" t="s">
        <v>131</v>
      </c>
    </row>
    <row r="4" spans="1:6" x14ac:dyDescent="0.3">
      <c r="A4" s="12" t="s">
        <v>87</v>
      </c>
      <c r="B4" s="6" t="s">
        <v>51</v>
      </c>
      <c r="C4" s="6"/>
      <c r="D4" s="6">
        <v>0.06</v>
      </c>
      <c r="F4" s="6"/>
    </row>
    <row r="5" spans="1:6" ht="28.8" x14ac:dyDescent="0.3">
      <c r="A5" s="12" t="s">
        <v>123</v>
      </c>
      <c r="B5" s="6" t="s">
        <v>52</v>
      </c>
      <c r="C5" s="6"/>
      <c r="D5" s="6">
        <v>12</v>
      </c>
      <c r="F5" s="6"/>
    </row>
    <row r="6" spans="1:6" x14ac:dyDescent="0.3">
      <c r="A6" s="12" t="s">
        <v>86</v>
      </c>
      <c r="B6" s="6" t="s">
        <v>56</v>
      </c>
      <c r="C6" s="6"/>
      <c r="D6" s="6">
        <v>10</v>
      </c>
      <c r="F6" s="6"/>
    </row>
    <row r="7" spans="1:6" x14ac:dyDescent="0.3">
      <c r="A7" s="12" t="s">
        <v>125</v>
      </c>
      <c r="B7" s="6" t="s">
        <v>57</v>
      </c>
      <c r="C7" s="6" t="s">
        <v>134</v>
      </c>
      <c r="D7" s="30"/>
      <c r="F7" s="6" t="s">
        <v>132</v>
      </c>
    </row>
    <row r="8" spans="1:6" x14ac:dyDescent="0.3">
      <c r="A8" s="6" t="s">
        <v>126</v>
      </c>
      <c r="B8" s="6" t="s">
        <v>54</v>
      </c>
      <c r="C8" s="6" t="s">
        <v>135</v>
      </c>
      <c r="D8" s="30"/>
      <c r="F8" s="6" t="s">
        <v>133</v>
      </c>
    </row>
    <row r="9" spans="1:6" x14ac:dyDescent="0.3">
      <c r="A9" s="12" t="s">
        <v>124</v>
      </c>
      <c r="B9" s="6"/>
      <c r="C9" s="6"/>
      <c r="D9" s="28"/>
    </row>
    <row r="10" spans="1:6" x14ac:dyDescent="0.3">
      <c r="A10" s="6" t="s">
        <v>137</v>
      </c>
      <c r="B10" s="6"/>
      <c r="C10" s="6"/>
      <c r="D10" s="28"/>
    </row>
    <row r="12" spans="1:6" x14ac:dyDescent="0.3">
      <c r="C12" s="6" t="s">
        <v>160</v>
      </c>
      <c r="D12" s="2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0CBD6-855E-45D9-B1E3-B4218BC49DA5}">
  <sheetPr codeName="Sheet7">
    <tabColor rgb="FFFF0000"/>
  </sheetPr>
  <dimension ref="A1:H12"/>
  <sheetViews>
    <sheetView zoomScale="115" zoomScaleNormal="115" workbookViewId="0"/>
  </sheetViews>
  <sheetFormatPr defaultRowHeight="14.4" x14ac:dyDescent="0.3"/>
  <cols>
    <col min="1" max="1" width="25.6640625" customWidth="1"/>
    <col min="2" max="4" width="12.6640625" customWidth="1"/>
    <col min="5" max="5" width="2.33203125" customWidth="1"/>
    <col min="6" max="6" width="12.6640625" customWidth="1"/>
    <col min="7" max="7" width="1.88671875" customWidth="1"/>
    <col min="8" max="8" width="16.109375" customWidth="1"/>
  </cols>
  <sheetData>
    <row r="1" spans="1:8" ht="28.8" x14ac:dyDescent="0.3">
      <c r="B1" s="52" t="s">
        <v>127</v>
      </c>
      <c r="C1" s="52" t="s">
        <v>128</v>
      </c>
      <c r="D1" s="52" t="s">
        <v>136</v>
      </c>
      <c r="E1" s="13"/>
      <c r="F1" s="53" t="s">
        <v>129</v>
      </c>
    </row>
    <row r="2" spans="1:8" x14ac:dyDescent="0.3">
      <c r="A2" s="12" t="s">
        <v>114</v>
      </c>
      <c r="B2" s="6" t="s">
        <v>53</v>
      </c>
      <c r="C2" s="6" t="s">
        <v>53</v>
      </c>
      <c r="D2" s="6" t="s">
        <v>122</v>
      </c>
      <c r="F2" s="6" t="s">
        <v>130</v>
      </c>
    </row>
    <row r="3" spans="1:8" x14ac:dyDescent="0.3">
      <c r="A3" s="12" t="s">
        <v>118</v>
      </c>
      <c r="B3" s="6" t="s">
        <v>3</v>
      </c>
      <c r="C3" s="6" t="s">
        <v>3</v>
      </c>
      <c r="D3" s="6">
        <v>10000</v>
      </c>
      <c r="F3" s="6" t="s">
        <v>131</v>
      </c>
    </row>
    <row r="4" spans="1:8" x14ac:dyDescent="0.3">
      <c r="A4" s="12" t="s">
        <v>87</v>
      </c>
      <c r="B4" s="6" t="s">
        <v>51</v>
      </c>
      <c r="C4" s="6"/>
      <c r="D4" s="6">
        <v>0.06</v>
      </c>
      <c r="F4" s="6"/>
    </row>
    <row r="5" spans="1:8" ht="28.8" x14ac:dyDescent="0.3">
      <c r="A5" s="12" t="s">
        <v>123</v>
      </c>
      <c r="B5" s="6" t="s">
        <v>52</v>
      </c>
      <c r="C5" s="6"/>
      <c r="D5" s="6">
        <v>12</v>
      </c>
      <c r="F5" s="6"/>
    </row>
    <row r="6" spans="1:8" x14ac:dyDescent="0.3">
      <c r="A6" s="12" t="s">
        <v>86</v>
      </c>
      <c r="B6" s="6" t="s">
        <v>56</v>
      </c>
      <c r="C6" s="6"/>
      <c r="D6" s="6">
        <v>10</v>
      </c>
      <c r="F6" s="6"/>
    </row>
    <row r="7" spans="1:8" x14ac:dyDescent="0.3">
      <c r="A7" s="12" t="s">
        <v>125</v>
      </c>
      <c r="B7" s="6" t="s">
        <v>57</v>
      </c>
      <c r="C7" s="6" t="s">
        <v>134</v>
      </c>
      <c r="D7" s="30">
        <f>D4/D5</f>
        <v>5.0000000000000001E-3</v>
      </c>
      <c r="F7" s="6" t="s">
        <v>132</v>
      </c>
      <c r="H7" t="str" cm="1">
        <f t="array" aca="1" ref="H7:H10" ca="1">ShowFormulas(D7:D10)</f>
        <v>D7: =D4/D5</v>
      </c>
    </row>
    <row r="8" spans="1:8" x14ac:dyDescent="0.3">
      <c r="A8" s="6" t="s">
        <v>126</v>
      </c>
      <c r="B8" s="6" t="s">
        <v>54</v>
      </c>
      <c r="C8" s="6" t="s">
        <v>135</v>
      </c>
      <c r="D8" s="30">
        <f>D6*D5</f>
        <v>120</v>
      </c>
      <c r="F8" s="6" t="s">
        <v>133</v>
      </c>
      <c r="H8" t="str">
        <f ca="1"/>
        <v>D8: =D6*D5</v>
      </c>
    </row>
    <row r="9" spans="1:8" x14ac:dyDescent="0.3">
      <c r="A9" s="12" t="s">
        <v>124</v>
      </c>
      <c r="B9" s="6"/>
      <c r="C9" s="6"/>
      <c r="D9" s="28">
        <f>D3*(1+D7)^D8</f>
        <v>18193.967340322804</v>
      </c>
      <c r="H9" t="str">
        <f ca="1"/>
        <v>D9: =D3*(1+D7)^D8</v>
      </c>
    </row>
    <row r="10" spans="1:8" x14ac:dyDescent="0.3">
      <c r="A10" s="6" t="s">
        <v>137</v>
      </c>
      <c r="B10" s="6"/>
      <c r="C10" s="6"/>
      <c r="D10" s="28">
        <f>FV(D7,D8,,-D3)</f>
        <v>18193.967340322804</v>
      </c>
      <c r="H10" t="str">
        <f ca="1"/>
        <v>D10: =FV(D7,D8,,-D3)</v>
      </c>
    </row>
    <row r="12" spans="1:8" x14ac:dyDescent="0.3">
      <c r="C12" s="6" t="s">
        <v>160</v>
      </c>
      <c r="D12" s="28">
        <f>D10-D3</f>
        <v>8193.9673403228044</v>
      </c>
      <c r="H12" t="str" cm="1">
        <f t="array" aca="1" ref="H12" ca="1">ShowFormulas(D12)</f>
        <v>D12: =D10-D3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3A444-6744-49B6-8CF8-5B83DD73F147}">
  <sheetPr codeName="Sheet1">
    <tabColor rgb="FF3333FF"/>
  </sheetPr>
  <dimension ref="A1:C14"/>
  <sheetViews>
    <sheetView zoomScale="145" zoomScaleNormal="145" workbookViewId="0"/>
  </sheetViews>
  <sheetFormatPr defaultRowHeight="14.4" x14ac:dyDescent="0.3"/>
  <cols>
    <col min="1" max="1" width="48.44140625" bestFit="1" customWidth="1"/>
    <col min="2" max="2" width="14.6640625" bestFit="1" customWidth="1"/>
    <col min="3" max="3" width="15.109375" bestFit="1" customWidth="1"/>
  </cols>
  <sheetData>
    <row r="1" spans="1:3" x14ac:dyDescent="0.3">
      <c r="A1" s="6" t="s">
        <v>20</v>
      </c>
      <c r="B1" s="7">
        <v>100</v>
      </c>
    </row>
    <row r="2" spans="1:3" x14ac:dyDescent="0.3">
      <c r="A2" s="6" t="s">
        <v>21</v>
      </c>
      <c r="B2" s="6">
        <v>0.1</v>
      </c>
    </row>
    <row r="3" spans="1:3" x14ac:dyDescent="0.3">
      <c r="A3" s="6" t="s">
        <v>22</v>
      </c>
      <c r="B3" s="6">
        <v>1</v>
      </c>
    </row>
    <row r="4" spans="1:3" x14ac:dyDescent="0.3">
      <c r="A4" s="6" t="s">
        <v>23</v>
      </c>
      <c r="B4" s="6">
        <v>4</v>
      </c>
    </row>
    <row r="5" spans="1:3" x14ac:dyDescent="0.3">
      <c r="A5" s="6" t="s">
        <v>31</v>
      </c>
      <c r="B5" s="8"/>
    </row>
    <row r="7" spans="1:3" x14ac:dyDescent="0.3">
      <c r="A7" s="6" t="s">
        <v>0</v>
      </c>
      <c r="B7" s="6" t="s">
        <v>29</v>
      </c>
      <c r="C7" s="6" t="s">
        <v>30</v>
      </c>
    </row>
    <row r="8" spans="1:3" x14ac:dyDescent="0.3">
      <c r="A8" s="6" t="s">
        <v>24</v>
      </c>
      <c r="B8" s="6"/>
      <c r="C8" s="8"/>
    </row>
    <row r="9" spans="1:3" x14ac:dyDescent="0.3">
      <c r="A9" s="6" t="s">
        <v>25</v>
      </c>
      <c r="B9" s="8"/>
      <c r="C9" s="8"/>
    </row>
    <row r="10" spans="1:3" x14ac:dyDescent="0.3">
      <c r="A10" s="6" t="s">
        <v>26</v>
      </c>
      <c r="B10" s="8"/>
      <c r="C10" s="8"/>
    </row>
    <row r="11" spans="1:3" x14ac:dyDescent="0.3">
      <c r="A11" s="6" t="s">
        <v>27</v>
      </c>
      <c r="B11" s="8"/>
      <c r="C11" s="8"/>
    </row>
    <row r="12" spans="1:3" x14ac:dyDescent="0.3">
      <c r="A12" s="6" t="s">
        <v>28</v>
      </c>
      <c r="B12" s="8"/>
      <c r="C12" s="8"/>
    </row>
    <row r="14" spans="1:3" x14ac:dyDescent="0.3">
      <c r="A14" s="6" t="s">
        <v>138</v>
      </c>
      <c r="B14" s="8"/>
    </row>
  </sheetData>
  <phoneticPr fontId="0"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DC13D-6DCB-4457-8465-5A873387C052}">
  <sheetPr codeName="Sheet23">
    <tabColor rgb="FFFF0000"/>
  </sheetPr>
  <dimension ref="A1:E14"/>
  <sheetViews>
    <sheetView zoomScale="145" zoomScaleNormal="145" workbookViewId="0"/>
  </sheetViews>
  <sheetFormatPr defaultRowHeight="14.4" x14ac:dyDescent="0.3"/>
  <cols>
    <col min="1" max="1" width="48.44140625" bestFit="1" customWidth="1"/>
    <col min="2" max="2" width="14.6640625" bestFit="1" customWidth="1"/>
    <col min="3" max="3" width="15.109375" bestFit="1" customWidth="1"/>
  </cols>
  <sheetData>
    <row r="1" spans="1:5" x14ac:dyDescent="0.3">
      <c r="A1" s="6" t="s">
        <v>20</v>
      </c>
      <c r="B1" s="7">
        <v>100</v>
      </c>
    </row>
    <row r="2" spans="1:5" x14ac:dyDescent="0.3">
      <c r="A2" s="6" t="s">
        <v>21</v>
      </c>
      <c r="B2" s="6">
        <v>0.1</v>
      </c>
    </row>
    <row r="3" spans="1:5" x14ac:dyDescent="0.3">
      <c r="A3" s="6" t="s">
        <v>22</v>
      </c>
      <c r="B3" s="6">
        <v>1</v>
      </c>
    </row>
    <row r="4" spans="1:5" x14ac:dyDescent="0.3">
      <c r="A4" s="6" t="s">
        <v>23</v>
      </c>
      <c r="B4" s="6">
        <v>4</v>
      </c>
    </row>
    <row r="5" spans="1:5" x14ac:dyDescent="0.3">
      <c r="A5" s="6" t="s">
        <v>31</v>
      </c>
      <c r="B5" s="8">
        <f>B1*B2</f>
        <v>10</v>
      </c>
      <c r="E5" t="str" cm="1">
        <f t="array" aca="1" ref="E5" ca="1">ShowFormulas(B5)</f>
        <v>B5: =B1*B2</v>
      </c>
    </row>
    <row r="7" spans="1:5" x14ac:dyDescent="0.3">
      <c r="A7" s="6" t="s">
        <v>0</v>
      </c>
      <c r="B7" s="6" t="s">
        <v>29</v>
      </c>
      <c r="C7" s="6" t="s">
        <v>30</v>
      </c>
    </row>
    <row r="8" spans="1:5" x14ac:dyDescent="0.3">
      <c r="A8" s="6" t="s">
        <v>24</v>
      </c>
      <c r="B8" s="6"/>
      <c r="C8" s="8">
        <f>B1</f>
        <v>100</v>
      </c>
      <c r="E8" t="str" cm="1">
        <f t="array" aca="1" ref="E8" ca="1">ShowFormulas(C8)</f>
        <v>C8: =B1</v>
      </c>
    </row>
    <row r="9" spans="1:5" x14ac:dyDescent="0.3">
      <c r="A9" s="6" t="s">
        <v>25</v>
      </c>
      <c r="B9" s="8">
        <f>$B$5</f>
        <v>10</v>
      </c>
      <c r="C9" s="8">
        <f>C8+B9</f>
        <v>110</v>
      </c>
      <c r="E9" t="str" cm="1">
        <f t="array" aca="1" ref="E9:E10" ca="1">ShowFormulas(B9:C9)</f>
        <v>B9: =$B$5</v>
      </c>
    </row>
    <row r="10" spans="1:5" x14ac:dyDescent="0.3">
      <c r="A10" s="6" t="s">
        <v>26</v>
      </c>
      <c r="B10" s="8">
        <f>$B$5</f>
        <v>10</v>
      </c>
      <c r="C10" s="8">
        <f>C9+B10</f>
        <v>120</v>
      </c>
      <c r="E10" t="str">
        <f ca="1"/>
        <v>C9: =C8+B9</v>
      </c>
    </row>
    <row r="11" spans="1:5" x14ac:dyDescent="0.3">
      <c r="A11" s="6" t="s">
        <v>27</v>
      </c>
      <c r="B11" s="8">
        <f>$B$5</f>
        <v>10</v>
      </c>
      <c r="C11" s="8">
        <f>C10+B11</f>
        <v>130</v>
      </c>
    </row>
    <row r="12" spans="1:5" x14ac:dyDescent="0.3">
      <c r="A12" s="6" t="s">
        <v>28</v>
      </c>
      <c r="B12" s="8">
        <f>$B$5</f>
        <v>10</v>
      </c>
      <c r="C12" s="8">
        <f>C11+B12</f>
        <v>140</v>
      </c>
    </row>
    <row r="14" spans="1:5" x14ac:dyDescent="0.3">
      <c r="A14" s="6" t="s">
        <v>138</v>
      </c>
      <c r="B14" s="8">
        <f>B1+B1*B2*B4</f>
        <v>140</v>
      </c>
      <c r="E14" t="str" cm="1">
        <f t="array" aca="1" ref="E14" ca="1">ShowFormulas(B14)</f>
        <v>B14: =B1+B1*B2*B4</v>
      </c>
    </row>
  </sheetData>
  <phoneticPr fontId="0"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F09C2-8809-427F-B779-3BFAB7A922B0}">
  <sheetPr codeName="Sheet21">
    <tabColor rgb="FFEE0000"/>
  </sheetPr>
  <dimension ref="A1:E14"/>
  <sheetViews>
    <sheetView zoomScale="145" zoomScaleNormal="145" workbookViewId="0"/>
  </sheetViews>
  <sheetFormatPr defaultRowHeight="14.4" x14ac:dyDescent="0.3"/>
  <cols>
    <col min="1" max="1" width="48.44140625" bestFit="1" customWidth="1"/>
    <col min="2" max="2" width="14.6640625" bestFit="1" customWidth="1"/>
    <col min="3" max="3" width="15.109375" bestFit="1" customWidth="1"/>
  </cols>
  <sheetData>
    <row r="1" spans="1:5" x14ac:dyDescent="0.3">
      <c r="A1" s="6" t="s">
        <v>20</v>
      </c>
      <c r="B1" s="7">
        <v>100</v>
      </c>
    </row>
    <row r="2" spans="1:5" x14ac:dyDescent="0.3">
      <c r="A2" s="6" t="s">
        <v>21</v>
      </c>
      <c r="B2" s="6">
        <v>0.1</v>
      </c>
    </row>
    <row r="3" spans="1:5" x14ac:dyDescent="0.3">
      <c r="A3" s="6" t="s">
        <v>22</v>
      </c>
      <c r="B3" s="6">
        <v>1</v>
      </c>
    </row>
    <row r="4" spans="1:5" x14ac:dyDescent="0.3">
      <c r="A4" s="6" t="s">
        <v>23</v>
      </c>
      <c r="B4" s="6">
        <v>4</v>
      </c>
    </row>
    <row r="5" spans="1:5" x14ac:dyDescent="0.3">
      <c r="A5" s="6" t="s">
        <v>31</v>
      </c>
      <c r="B5" s="8">
        <f>B1*B2</f>
        <v>10</v>
      </c>
      <c r="E5" t="str" cm="1">
        <f t="array" aca="1" ref="E5" ca="1">ShowFormulas(B5)</f>
        <v>B5: =B1*B2</v>
      </c>
    </row>
    <row r="7" spans="1:5" x14ac:dyDescent="0.3">
      <c r="A7" s="6" t="s">
        <v>0</v>
      </c>
      <c r="B7" s="6" t="s">
        <v>29</v>
      </c>
      <c r="C7" s="6" t="s">
        <v>30</v>
      </c>
    </row>
    <row r="8" spans="1:5" x14ac:dyDescent="0.3">
      <c r="A8" s="6" t="s">
        <v>24</v>
      </c>
      <c r="B8" s="6"/>
      <c r="C8" s="8">
        <f>B1</f>
        <v>100</v>
      </c>
      <c r="E8" t="str" cm="1">
        <f t="array" aca="1" ref="E8" ca="1">ShowFormulas(C8)</f>
        <v>C8: =B1</v>
      </c>
    </row>
    <row r="9" spans="1:5" x14ac:dyDescent="0.3">
      <c r="A9" s="6" t="s">
        <v>25</v>
      </c>
      <c r="B9" s="8" cm="1">
        <f t="array" ref="B9:B12">_xlfn.SEQUENCE(B4,,B5,0)</f>
        <v>10</v>
      </c>
      <c r="C9" s="8" cm="1">
        <f t="array" ref="C9:C12">_xlfn.SCAN(C8,_xlfn.ANCHORARRAY(B9),_xleta.SUM)</f>
        <v>110</v>
      </c>
      <c r="E9" t="str" cm="1">
        <f t="array" aca="1" ref="E9:E10" ca="1">ShowFormulas(B9:C9)</f>
        <v>B9: =SEQUENCE(B4,,B5,0)</v>
      </c>
    </row>
    <row r="10" spans="1:5" x14ac:dyDescent="0.3">
      <c r="A10" s="6" t="s">
        <v>26</v>
      </c>
      <c r="B10" s="8">
        <v>10</v>
      </c>
      <c r="C10" s="8">
        <v>120</v>
      </c>
      <c r="E10" t="str">
        <f ca="1"/>
        <v>C9: =SCAN(C8,B9#,SUM)</v>
      </c>
    </row>
    <row r="11" spans="1:5" x14ac:dyDescent="0.3">
      <c r="A11" s="6" t="s">
        <v>27</v>
      </c>
      <c r="B11" s="8">
        <v>10</v>
      </c>
      <c r="C11" s="8">
        <v>130</v>
      </c>
    </row>
    <row r="12" spans="1:5" x14ac:dyDescent="0.3">
      <c r="A12" s="6" t="s">
        <v>28</v>
      </c>
      <c r="B12" s="8">
        <v>10</v>
      </c>
      <c r="C12" s="8">
        <v>140</v>
      </c>
    </row>
    <row r="14" spans="1:5" x14ac:dyDescent="0.3">
      <c r="A14" s="6" t="s">
        <v>138</v>
      </c>
      <c r="B14" s="8">
        <f>SUM(_xlfn.ANCHORARRAY(B9))</f>
        <v>40</v>
      </c>
      <c r="E14" t="str" cm="1">
        <f t="array" aca="1" ref="E14" ca="1">ShowFormulas(B14)</f>
        <v>B14: =SUM(B9#)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D852E-7075-4485-9074-EE45BE581897}">
  <sheetPr codeName="Sheet2">
    <tabColor rgb="FF3333FF"/>
  </sheetPr>
  <dimension ref="A1:C19"/>
  <sheetViews>
    <sheetView zoomScale="130" zoomScaleNormal="130" workbookViewId="0"/>
  </sheetViews>
  <sheetFormatPr defaultRowHeight="14.4" x14ac:dyDescent="0.3"/>
  <cols>
    <col min="1" max="1" width="52.109375" bestFit="1" customWidth="1"/>
    <col min="2" max="2" width="14.6640625" bestFit="1" customWidth="1"/>
    <col min="3" max="3" width="15.109375" bestFit="1" customWidth="1"/>
  </cols>
  <sheetData>
    <row r="1" spans="1:3" x14ac:dyDescent="0.3">
      <c r="A1" s="6" t="s">
        <v>20</v>
      </c>
      <c r="B1" s="7">
        <v>100</v>
      </c>
    </row>
    <row r="2" spans="1:3" x14ac:dyDescent="0.3">
      <c r="A2" s="6" t="s">
        <v>21</v>
      </c>
      <c r="B2" s="6">
        <v>0.1</v>
      </c>
    </row>
    <row r="3" spans="1:3" x14ac:dyDescent="0.3">
      <c r="A3" s="6" t="s">
        <v>22</v>
      </c>
      <c r="B3" s="6">
        <v>1</v>
      </c>
    </row>
    <row r="4" spans="1:3" x14ac:dyDescent="0.3">
      <c r="A4" s="6" t="s">
        <v>23</v>
      </c>
      <c r="B4" s="6">
        <v>4</v>
      </c>
    </row>
    <row r="6" spans="1:3" x14ac:dyDescent="0.3">
      <c r="A6" s="6" t="s">
        <v>0</v>
      </c>
      <c r="B6" s="6" t="s">
        <v>29</v>
      </c>
      <c r="C6" s="6" t="s">
        <v>30</v>
      </c>
    </row>
    <row r="7" spans="1:3" x14ac:dyDescent="0.3">
      <c r="A7" s="6" t="s">
        <v>24</v>
      </c>
      <c r="B7" s="6"/>
      <c r="C7" s="8"/>
    </row>
    <row r="8" spans="1:3" x14ac:dyDescent="0.3">
      <c r="A8" s="6" t="s">
        <v>25</v>
      </c>
      <c r="B8" s="8"/>
      <c r="C8" s="8"/>
    </row>
    <row r="9" spans="1:3" x14ac:dyDescent="0.3">
      <c r="A9" s="6" t="s">
        <v>26</v>
      </c>
      <c r="B9" s="8"/>
      <c r="C9" s="8"/>
    </row>
    <row r="10" spans="1:3" x14ac:dyDescent="0.3">
      <c r="A10" s="6" t="s">
        <v>27</v>
      </c>
      <c r="B10" s="8"/>
      <c r="C10" s="8"/>
    </row>
    <row r="11" spans="1:3" x14ac:dyDescent="0.3">
      <c r="A11" s="6" t="s">
        <v>28</v>
      </c>
      <c r="B11" s="8"/>
      <c r="C11" s="8"/>
    </row>
    <row r="13" spans="1:3" x14ac:dyDescent="0.3">
      <c r="A13" s="6" t="s">
        <v>33</v>
      </c>
      <c r="B13" s="8"/>
    </row>
    <row r="15" spans="1:3" x14ac:dyDescent="0.3">
      <c r="A15" s="6" t="s">
        <v>33</v>
      </c>
      <c r="B15" s="8"/>
    </row>
    <row r="17" spans="1:2" x14ac:dyDescent="0.3">
      <c r="A17" s="6" t="s">
        <v>138</v>
      </c>
      <c r="B17" s="28"/>
    </row>
    <row r="18" spans="1:2" x14ac:dyDescent="0.3">
      <c r="A18" s="6" t="s">
        <v>33</v>
      </c>
      <c r="B18" s="28"/>
    </row>
    <row r="19" spans="1:2" x14ac:dyDescent="0.3">
      <c r="A19" s="6" t="s">
        <v>34</v>
      </c>
      <c r="B19" s="8"/>
    </row>
  </sheetData>
  <phoneticPr fontId="0"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FD621-3149-4ACE-8D21-2ED931D901D8}">
  <sheetPr codeName="Sheet24">
    <tabColor rgb="FFFF0000"/>
  </sheetPr>
  <dimension ref="A1:C19"/>
  <sheetViews>
    <sheetView workbookViewId="0"/>
  </sheetViews>
  <sheetFormatPr defaultRowHeight="14.4" x14ac:dyDescent="0.3"/>
  <cols>
    <col min="1" max="1" width="52.109375" bestFit="1" customWidth="1"/>
    <col min="2" max="2" width="14.6640625" bestFit="1" customWidth="1"/>
    <col min="3" max="3" width="15.109375" bestFit="1" customWidth="1"/>
  </cols>
  <sheetData>
    <row r="1" spans="1:3" x14ac:dyDescent="0.3">
      <c r="A1" s="6" t="s">
        <v>20</v>
      </c>
      <c r="B1" s="7">
        <v>100</v>
      </c>
    </row>
    <row r="2" spans="1:3" x14ac:dyDescent="0.3">
      <c r="A2" s="6" t="s">
        <v>21</v>
      </c>
      <c r="B2" s="6">
        <v>0.1</v>
      </c>
    </row>
    <row r="3" spans="1:3" x14ac:dyDescent="0.3">
      <c r="A3" s="6" t="s">
        <v>22</v>
      </c>
      <c r="B3" s="6">
        <v>1</v>
      </c>
    </row>
    <row r="4" spans="1:3" x14ac:dyDescent="0.3">
      <c r="A4" s="6" t="s">
        <v>23</v>
      </c>
      <c r="B4" s="6">
        <v>4</v>
      </c>
    </row>
    <row r="6" spans="1:3" x14ac:dyDescent="0.3">
      <c r="A6" s="6" t="s">
        <v>0</v>
      </c>
      <c r="B6" s="6" t="s">
        <v>29</v>
      </c>
      <c r="C6" s="6" t="s">
        <v>30</v>
      </c>
    </row>
    <row r="7" spans="1:3" x14ac:dyDescent="0.3">
      <c r="A7" s="6" t="s">
        <v>24</v>
      </c>
      <c r="B7" s="6"/>
      <c r="C7" s="8">
        <f>B1</f>
        <v>100</v>
      </c>
    </row>
    <row r="8" spans="1:3" x14ac:dyDescent="0.3">
      <c r="A8" s="6" t="s">
        <v>25</v>
      </c>
      <c r="B8" s="8">
        <f>C7*$B$2</f>
        <v>10</v>
      </c>
      <c r="C8" s="8">
        <f>C7+B8</f>
        <v>110</v>
      </c>
    </row>
    <row r="9" spans="1:3" x14ac:dyDescent="0.3">
      <c r="A9" s="6" t="s">
        <v>26</v>
      </c>
      <c r="B9" s="8">
        <f>C8*$B$2</f>
        <v>11</v>
      </c>
      <c r="C9" s="8">
        <f>C8+B9</f>
        <v>121</v>
      </c>
    </row>
    <row r="10" spans="1:3" x14ac:dyDescent="0.3">
      <c r="A10" s="6" t="s">
        <v>27</v>
      </c>
      <c r="B10" s="8">
        <f>C9*$B$2</f>
        <v>12.100000000000001</v>
      </c>
      <c r="C10" s="8">
        <f>C9+B10</f>
        <v>133.1</v>
      </c>
    </row>
    <row r="11" spans="1:3" x14ac:dyDescent="0.3">
      <c r="A11" s="6" t="s">
        <v>28</v>
      </c>
      <c r="B11" s="8">
        <f>C10*$B$2</f>
        <v>13.31</v>
      </c>
      <c r="C11" s="8">
        <f>C10+B11</f>
        <v>146.41</v>
      </c>
    </row>
    <row r="13" spans="1:3" x14ac:dyDescent="0.3">
      <c r="A13" s="6" t="s">
        <v>33</v>
      </c>
      <c r="B13" s="8">
        <f>B1*(1+B2/B3)^(B4*B3)</f>
        <v>146.41000000000005</v>
      </c>
    </row>
    <row r="15" spans="1:3" x14ac:dyDescent="0.3">
      <c r="A15" s="6" t="s">
        <v>33</v>
      </c>
      <c r="B15" s="8">
        <f>FV(B2/B3,B4*B3,,-B1)</f>
        <v>146.41000000000005</v>
      </c>
    </row>
    <row r="17" spans="1:3" x14ac:dyDescent="0.3">
      <c r="A17" s="6" t="s">
        <v>138</v>
      </c>
      <c r="B17" s="28">
        <f>'Ex(2an)'!B14</f>
        <v>140</v>
      </c>
    </row>
    <row r="18" spans="1:3" x14ac:dyDescent="0.3">
      <c r="A18" s="6" t="s">
        <v>33</v>
      </c>
      <c r="B18" s="28">
        <f>B15</f>
        <v>146.41000000000005</v>
      </c>
      <c r="C18" t="s">
        <v>32</v>
      </c>
    </row>
    <row r="19" spans="1:3" x14ac:dyDescent="0.3">
      <c r="A19" s="6" t="s">
        <v>34</v>
      </c>
      <c r="B19" s="8">
        <f>B18-B17</f>
        <v>6.4100000000000534</v>
      </c>
    </row>
  </sheetData>
  <phoneticPr fontId="0"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0A517-57D8-4859-91E9-0A4D20CE3026}">
  <sheetPr codeName="Sheet70">
    <tabColor rgb="FFEE0000"/>
  </sheetPr>
  <dimension ref="A1:C19"/>
  <sheetViews>
    <sheetView zoomScale="130" zoomScaleNormal="130" workbookViewId="0">
      <selection activeCell="B19" sqref="B19"/>
    </sheetView>
  </sheetViews>
  <sheetFormatPr defaultRowHeight="14.4" x14ac:dyDescent="0.3"/>
  <cols>
    <col min="1" max="1" width="52.109375" bestFit="1" customWidth="1"/>
    <col min="2" max="2" width="14.6640625" bestFit="1" customWidth="1"/>
    <col min="3" max="3" width="15.109375" bestFit="1" customWidth="1"/>
  </cols>
  <sheetData>
    <row r="1" spans="1:3" x14ac:dyDescent="0.3">
      <c r="A1" s="6" t="s">
        <v>20</v>
      </c>
      <c r="B1" s="7">
        <v>100</v>
      </c>
    </row>
    <row r="2" spans="1:3" x14ac:dyDescent="0.3">
      <c r="A2" s="6" t="s">
        <v>21</v>
      </c>
      <c r="B2" s="6">
        <v>0.1</v>
      </c>
    </row>
    <row r="3" spans="1:3" x14ac:dyDescent="0.3">
      <c r="A3" s="6" t="s">
        <v>22</v>
      </c>
      <c r="B3" s="6">
        <v>1</v>
      </c>
    </row>
    <row r="4" spans="1:3" x14ac:dyDescent="0.3">
      <c r="A4" s="6" t="s">
        <v>23</v>
      </c>
      <c r="B4" s="6">
        <v>4</v>
      </c>
    </row>
    <row r="6" spans="1:3" x14ac:dyDescent="0.3">
      <c r="A6" s="6" t="s">
        <v>0</v>
      </c>
      <c r="B6" s="6" t="s">
        <v>29</v>
      </c>
      <c r="C6" s="6" t="s">
        <v>30</v>
      </c>
    </row>
    <row r="7" spans="1:3" x14ac:dyDescent="0.3">
      <c r="A7" s="6" t="s">
        <v>24</v>
      </c>
      <c r="B7" s="6"/>
      <c r="C7" s="8" cm="1">
        <f t="array" ref="C7:C11">B1*(1+B2)^_xlfn.SEQUENCE(B4+1,,0)</f>
        <v>100</v>
      </c>
    </row>
    <row r="8" spans="1:3" x14ac:dyDescent="0.3">
      <c r="A8" s="6" t="s">
        <v>25</v>
      </c>
      <c r="B8" s="8" cm="1">
        <f t="array" ref="B8:B11">C8:C11-C7:C10</f>
        <v>10.000000000000014</v>
      </c>
      <c r="C8" s="8">
        <v>110.00000000000001</v>
      </c>
    </row>
    <row r="9" spans="1:3" x14ac:dyDescent="0.3">
      <c r="A9" s="6" t="s">
        <v>26</v>
      </c>
      <c r="B9" s="8">
        <v>11</v>
      </c>
      <c r="C9" s="8">
        <v>121.00000000000001</v>
      </c>
    </row>
    <row r="10" spans="1:3" x14ac:dyDescent="0.3">
      <c r="A10" s="6" t="s">
        <v>27</v>
      </c>
      <c r="B10" s="8">
        <v>12.100000000000037</v>
      </c>
      <c r="C10" s="8">
        <v>133.10000000000005</v>
      </c>
    </row>
    <row r="11" spans="1:3" x14ac:dyDescent="0.3">
      <c r="A11" s="6" t="s">
        <v>28</v>
      </c>
      <c r="B11" s="8">
        <v>13.310000000000002</v>
      </c>
      <c r="C11" s="8">
        <v>146.41000000000005</v>
      </c>
    </row>
    <row r="13" spans="1:3" x14ac:dyDescent="0.3">
      <c r="A13" s="6" t="s">
        <v>33</v>
      </c>
      <c r="B13" s="8">
        <f>B1*(1+B2)^B4</f>
        <v>146.41000000000005</v>
      </c>
    </row>
    <row r="15" spans="1:3" x14ac:dyDescent="0.3">
      <c r="A15" s="6" t="s">
        <v>33</v>
      </c>
      <c r="B15" s="8">
        <f>FV(B2,B4,,-B1)</f>
        <v>146.41000000000005</v>
      </c>
    </row>
    <row r="17" spans="1:2" x14ac:dyDescent="0.3">
      <c r="A17" s="6" t="s">
        <v>138</v>
      </c>
      <c r="B17" s="28">
        <f>'Ex(2an)'!C12</f>
        <v>140</v>
      </c>
    </row>
    <row r="18" spans="1:2" x14ac:dyDescent="0.3">
      <c r="A18" s="6" t="s">
        <v>33</v>
      </c>
      <c r="B18" s="28">
        <f>B13</f>
        <v>146.41000000000005</v>
      </c>
    </row>
    <row r="19" spans="1:2" x14ac:dyDescent="0.3">
      <c r="A19" s="6" t="s">
        <v>34</v>
      </c>
      <c r="B19" s="8">
        <f>B18-B17</f>
        <v>6.4100000000000534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C0939-886A-41BD-8971-FDD0B14638C8}">
  <sheetPr codeName="Sheet8">
    <tabColor rgb="FF3333FF"/>
  </sheetPr>
  <dimension ref="A1:D17"/>
  <sheetViews>
    <sheetView zoomScale="85" zoomScaleNormal="85" workbookViewId="0">
      <selection activeCell="B10" sqref="B10:D10"/>
    </sheetView>
  </sheetViews>
  <sheetFormatPr defaultRowHeight="14.4" x14ac:dyDescent="0.3"/>
  <cols>
    <col min="1" max="1" width="5.44140625" bestFit="1" customWidth="1"/>
    <col min="2" max="2" width="33.44140625" bestFit="1" customWidth="1"/>
    <col min="3" max="3" width="24.33203125" style="13" bestFit="1" customWidth="1"/>
    <col min="4" max="4" width="10.44140625" style="13" bestFit="1" customWidth="1"/>
  </cols>
  <sheetData>
    <row r="1" spans="1:4" x14ac:dyDescent="0.3">
      <c r="B1" s="6" t="s">
        <v>20</v>
      </c>
      <c r="C1" s="7">
        <v>100</v>
      </c>
    </row>
    <row r="2" spans="1:4" x14ac:dyDescent="0.3">
      <c r="B2" s="6" t="s">
        <v>21</v>
      </c>
      <c r="C2" s="6">
        <v>0.1</v>
      </c>
    </row>
    <row r="3" spans="1:4" x14ac:dyDescent="0.3">
      <c r="B3" s="6" t="s">
        <v>22</v>
      </c>
      <c r="C3" s="6">
        <v>1</v>
      </c>
    </row>
    <row r="4" spans="1:4" x14ac:dyDescent="0.3">
      <c r="B4" s="6" t="s">
        <v>23</v>
      </c>
      <c r="C4" s="6">
        <v>4</v>
      </c>
    </row>
    <row r="6" spans="1:4" ht="28.8" x14ac:dyDescent="0.3">
      <c r="A6" s="6" t="s">
        <v>47</v>
      </c>
      <c r="B6" s="12" t="str">
        <f>'Ex(2)'!C7&amp;" each Year with Simple Interest"</f>
        <v>Amount in Bank each Year with Simple Interest</v>
      </c>
      <c r="C6" s="12" t="str">
        <f>'Ex(3)'!C6&amp;" each Year with Compound Interest"</f>
        <v>Amount in Bank each Year with Compound Interest</v>
      </c>
      <c r="D6" s="6" t="s">
        <v>48</v>
      </c>
    </row>
    <row r="7" spans="1:4" x14ac:dyDescent="0.3">
      <c r="A7" s="6">
        <v>0</v>
      </c>
      <c r="B7" s="14">
        <f t="shared" ref="B7:B17" si="0">$C$1+$C$1*$C$2*A7</f>
        <v>100</v>
      </c>
      <c r="C7" s="14">
        <f t="shared" ref="C7:C17" si="1">$C$1*(1+$C$2/$C$3)^($C$3*$A7)</f>
        <v>100</v>
      </c>
      <c r="D7" s="7">
        <f>C7-B7</f>
        <v>0</v>
      </c>
    </row>
    <row r="8" spans="1:4" x14ac:dyDescent="0.3">
      <c r="A8" s="6">
        <v>1</v>
      </c>
      <c r="B8" s="14">
        <f t="shared" si="0"/>
        <v>110</v>
      </c>
      <c r="C8" s="14">
        <f t="shared" si="1"/>
        <v>110.00000000000001</v>
      </c>
      <c r="D8" s="7">
        <f t="shared" ref="D8:D17" si="2">C8-B8</f>
        <v>0</v>
      </c>
    </row>
    <row r="9" spans="1:4" x14ac:dyDescent="0.3">
      <c r="A9" s="6">
        <v>2</v>
      </c>
      <c r="B9" s="14">
        <f t="shared" si="0"/>
        <v>120</v>
      </c>
      <c r="C9" s="14">
        <f t="shared" si="1"/>
        <v>121.00000000000001</v>
      </c>
      <c r="D9" s="7">
        <f t="shared" si="2"/>
        <v>1.0000000000000142</v>
      </c>
    </row>
    <row r="10" spans="1:4" x14ac:dyDescent="0.3">
      <c r="A10" s="6">
        <v>3</v>
      </c>
      <c r="B10" s="14">
        <f t="shared" si="0"/>
        <v>130</v>
      </c>
      <c r="C10" s="14">
        <f t="shared" si="1"/>
        <v>133.10000000000005</v>
      </c>
      <c r="D10" s="7">
        <f t="shared" si="2"/>
        <v>3.1000000000000512</v>
      </c>
    </row>
    <row r="11" spans="1:4" x14ac:dyDescent="0.3">
      <c r="A11" s="6">
        <v>4</v>
      </c>
      <c r="B11" s="14">
        <f t="shared" si="0"/>
        <v>140</v>
      </c>
      <c r="C11" s="14">
        <f t="shared" si="1"/>
        <v>146.41000000000005</v>
      </c>
      <c r="D11" s="7">
        <f t="shared" si="2"/>
        <v>6.4100000000000534</v>
      </c>
    </row>
    <row r="12" spans="1:4" x14ac:dyDescent="0.3">
      <c r="A12" s="6">
        <v>5</v>
      </c>
      <c r="B12" s="14">
        <f t="shared" si="0"/>
        <v>150</v>
      </c>
      <c r="C12" s="14">
        <f t="shared" si="1"/>
        <v>161.05100000000004</v>
      </c>
      <c r="D12" s="7">
        <f t="shared" si="2"/>
        <v>11.051000000000045</v>
      </c>
    </row>
    <row r="13" spans="1:4" x14ac:dyDescent="0.3">
      <c r="A13" s="6">
        <v>6</v>
      </c>
      <c r="B13" s="14">
        <f t="shared" si="0"/>
        <v>160</v>
      </c>
      <c r="C13" s="14">
        <f t="shared" si="1"/>
        <v>177.15610000000009</v>
      </c>
      <c r="D13" s="7">
        <f t="shared" si="2"/>
        <v>17.156100000000094</v>
      </c>
    </row>
    <row r="14" spans="1:4" x14ac:dyDescent="0.3">
      <c r="A14" s="6">
        <v>7</v>
      </c>
      <c r="B14" s="14">
        <f t="shared" si="0"/>
        <v>170</v>
      </c>
      <c r="C14" s="14">
        <f t="shared" si="1"/>
        <v>194.87171000000012</v>
      </c>
      <c r="D14" s="7">
        <f t="shared" si="2"/>
        <v>24.871710000000121</v>
      </c>
    </row>
    <row r="15" spans="1:4" x14ac:dyDescent="0.3">
      <c r="A15" s="6">
        <v>8</v>
      </c>
      <c r="B15" s="14">
        <f t="shared" si="0"/>
        <v>180</v>
      </c>
      <c r="C15" s="14">
        <f t="shared" si="1"/>
        <v>214.35888100000011</v>
      </c>
      <c r="D15" s="7">
        <f t="shared" si="2"/>
        <v>34.35888100000011</v>
      </c>
    </row>
    <row r="16" spans="1:4" x14ac:dyDescent="0.3">
      <c r="A16" s="6">
        <v>9</v>
      </c>
      <c r="B16" s="14">
        <f t="shared" si="0"/>
        <v>190</v>
      </c>
      <c r="C16" s="14">
        <f t="shared" si="1"/>
        <v>235.79476910000014</v>
      </c>
      <c r="D16" s="7">
        <f t="shared" si="2"/>
        <v>45.794769100000138</v>
      </c>
    </row>
    <row r="17" spans="1:4" x14ac:dyDescent="0.3">
      <c r="A17" s="6">
        <v>10</v>
      </c>
      <c r="B17" s="14">
        <f t="shared" si="0"/>
        <v>200</v>
      </c>
      <c r="C17" s="14">
        <f t="shared" si="1"/>
        <v>259.37424601000021</v>
      </c>
      <c r="D17" s="7">
        <f t="shared" si="2"/>
        <v>59.374246010000206</v>
      </c>
    </row>
  </sheetData>
  <phoneticPr fontId="0" type="noConversion"/>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9E6D0-59E7-47F0-92AF-DE81A583FC17}">
  <sheetPr codeName="Sheet13">
    <tabColor rgb="FF3333FF"/>
  </sheetPr>
  <dimension ref="A1:J18"/>
  <sheetViews>
    <sheetView zoomScale="70" zoomScaleNormal="70" workbookViewId="0">
      <selection activeCell="C9" sqref="C9"/>
    </sheetView>
  </sheetViews>
  <sheetFormatPr defaultColWidth="11.44140625" defaultRowHeight="14.4" x14ac:dyDescent="0.3"/>
  <cols>
    <col min="1" max="1" width="5.44140625" bestFit="1" customWidth="1"/>
    <col min="2" max="2" width="33.44140625" bestFit="1" customWidth="1"/>
    <col min="3" max="4" width="17.5546875" style="13" bestFit="1" customWidth="1"/>
    <col min="5" max="5" width="17.5546875" bestFit="1" customWidth="1"/>
    <col min="6" max="10" width="18.5546875" bestFit="1" customWidth="1"/>
  </cols>
  <sheetData>
    <row r="1" spans="1:10" x14ac:dyDescent="0.3">
      <c r="B1" s="6" t="s">
        <v>20</v>
      </c>
      <c r="C1" s="7">
        <v>100</v>
      </c>
    </row>
    <row r="2" spans="1:10" x14ac:dyDescent="0.3">
      <c r="B2" s="6" t="s">
        <v>21</v>
      </c>
      <c r="C2" s="6">
        <v>0.1</v>
      </c>
    </row>
    <row r="3" spans="1:10" x14ac:dyDescent="0.3">
      <c r="B3" s="6" t="s">
        <v>22</v>
      </c>
      <c r="C3" s="6">
        <v>1</v>
      </c>
    </row>
    <row r="4" spans="1:10" x14ac:dyDescent="0.3">
      <c r="B4" s="6" t="s">
        <v>23</v>
      </c>
      <c r="C4" s="6">
        <v>4</v>
      </c>
    </row>
    <row r="5" spans="1:10" x14ac:dyDescent="0.3">
      <c r="B5" s="6" t="s">
        <v>49</v>
      </c>
      <c r="C5" s="6">
        <v>2.5000000000000001E-2</v>
      </c>
    </row>
    <row r="7" spans="1:10" s="13" customFormat="1" ht="39.75" customHeight="1" x14ac:dyDescent="0.3">
      <c r="A7" s="12" t="s">
        <v>47</v>
      </c>
      <c r="B7" s="15">
        <v>0</v>
      </c>
      <c r="C7" s="15">
        <f>B7+$C$5</f>
        <v>2.5000000000000001E-2</v>
      </c>
      <c r="D7" s="15">
        <f t="shared" ref="D7:J7" si="0">C7+$C$5</f>
        <v>0.05</v>
      </c>
      <c r="E7" s="15">
        <f t="shared" si="0"/>
        <v>7.5000000000000011E-2</v>
      </c>
      <c r="F7" s="15">
        <f t="shared" si="0"/>
        <v>0.1</v>
      </c>
      <c r="G7" s="15">
        <f t="shared" si="0"/>
        <v>0.125</v>
      </c>
      <c r="H7" s="15">
        <f t="shared" si="0"/>
        <v>0.15</v>
      </c>
      <c r="I7" s="15">
        <f>H7+$C$5</f>
        <v>0.17499999999999999</v>
      </c>
      <c r="J7" s="15">
        <f t="shared" si="0"/>
        <v>0.19999999999999998</v>
      </c>
    </row>
    <row r="8" spans="1:10" x14ac:dyDescent="0.3">
      <c r="A8" s="6">
        <v>0</v>
      </c>
      <c r="B8" s="14">
        <f t="shared" ref="B8:J18" si="1">FV(B$7/$C$3,$C$3*$A8,,-$C$1)</f>
        <v>100</v>
      </c>
      <c r="C8" s="7">
        <f>FV(C$7/$C$3,$C$3*$A8,,-$C$1)</f>
        <v>100</v>
      </c>
      <c r="D8" s="7">
        <f t="shared" si="1"/>
        <v>100</v>
      </c>
      <c r="E8" s="7">
        <f t="shared" si="1"/>
        <v>100</v>
      </c>
      <c r="F8" s="7">
        <f t="shared" si="1"/>
        <v>100</v>
      </c>
      <c r="G8" s="7">
        <f t="shared" si="1"/>
        <v>100</v>
      </c>
      <c r="H8" s="7">
        <f t="shared" si="1"/>
        <v>100</v>
      </c>
      <c r="I8" s="7">
        <f t="shared" si="1"/>
        <v>100</v>
      </c>
      <c r="J8" s="7">
        <f t="shared" si="1"/>
        <v>100</v>
      </c>
    </row>
    <row r="9" spans="1:10" x14ac:dyDescent="0.3">
      <c r="A9" s="6">
        <v>1</v>
      </c>
      <c r="B9" s="14">
        <f t="shared" si="1"/>
        <v>100</v>
      </c>
      <c r="C9" s="7">
        <f t="shared" si="1"/>
        <v>102.49999999999999</v>
      </c>
      <c r="D9" s="7">
        <f t="shared" si="1"/>
        <v>105</v>
      </c>
      <c r="E9" s="7">
        <f t="shared" si="1"/>
        <v>107.5</v>
      </c>
      <c r="F9" s="7">
        <f t="shared" si="1"/>
        <v>110.00000000000001</v>
      </c>
      <c r="G9" s="7">
        <f t="shared" si="1"/>
        <v>112.5</v>
      </c>
      <c r="H9" s="7">
        <f t="shared" si="1"/>
        <v>114.99999999999999</v>
      </c>
      <c r="I9" s="7">
        <f t="shared" si="1"/>
        <v>117.5</v>
      </c>
      <c r="J9" s="7">
        <f t="shared" si="1"/>
        <v>120</v>
      </c>
    </row>
    <row r="10" spans="1:10" x14ac:dyDescent="0.3">
      <c r="A10" s="6">
        <v>2</v>
      </c>
      <c r="B10" s="14">
        <f t="shared" si="1"/>
        <v>100</v>
      </c>
      <c r="C10" s="7">
        <f t="shared" si="1"/>
        <v>105.06249999999999</v>
      </c>
      <c r="D10" s="7">
        <f t="shared" si="1"/>
        <v>110.25</v>
      </c>
      <c r="E10" s="7">
        <f t="shared" si="1"/>
        <v>115.56249999999999</v>
      </c>
      <c r="F10" s="7">
        <f t="shared" si="1"/>
        <v>121.00000000000001</v>
      </c>
      <c r="G10" s="7">
        <f t="shared" si="1"/>
        <v>126.5625</v>
      </c>
      <c r="H10" s="7">
        <f t="shared" si="1"/>
        <v>132.24999999999997</v>
      </c>
      <c r="I10" s="7">
        <f t="shared" si="1"/>
        <v>138.06250000000003</v>
      </c>
      <c r="J10" s="7">
        <f t="shared" si="1"/>
        <v>144</v>
      </c>
    </row>
    <row r="11" spans="1:10" x14ac:dyDescent="0.3">
      <c r="A11" s="6">
        <v>3</v>
      </c>
      <c r="B11" s="14">
        <f t="shared" si="1"/>
        <v>100</v>
      </c>
      <c r="C11" s="7">
        <f t="shared" si="1"/>
        <v>107.68906249999999</v>
      </c>
      <c r="D11" s="7">
        <f t="shared" si="1"/>
        <v>115.76250000000002</v>
      </c>
      <c r="E11" s="7">
        <f t="shared" si="1"/>
        <v>124.22968749999998</v>
      </c>
      <c r="F11" s="7">
        <f t="shared" si="1"/>
        <v>133.10000000000005</v>
      </c>
      <c r="G11" s="7">
        <f t="shared" si="1"/>
        <v>142.3828125</v>
      </c>
      <c r="H11" s="7">
        <f t="shared" si="1"/>
        <v>152.08749999999995</v>
      </c>
      <c r="I11" s="7">
        <f t="shared" si="1"/>
        <v>162.22343750000005</v>
      </c>
      <c r="J11" s="7">
        <f t="shared" si="1"/>
        <v>172.8</v>
      </c>
    </row>
    <row r="12" spans="1:10" x14ac:dyDescent="0.3">
      <c r="A12" s="6">
        <v>4</v>
      </c>
      <c r="B12" s="14">
        <f t="shared" si="1"/>
        <v>100</v>
      </c>
      <c r="C12" s="7">
        <f t="shared" si="1"/>
        <v>110.38128906249997</v>
      </c>
      <c r="D12" s="7">
        <f t="shared" si="1"/>
        <v>121.550625</v>
      </c>
      <c r="E12" s="7">
        <f t="shared" si="1"/>
        <v>133.54691406249998</v>
      </c>
      <c r="F12" s="7">
        <f t="shared" si="1"/>
        <v>146.41000000000005</v>
      </c>
      <c r="G12" s="7">
        <f t="shared" si="1"/>
        <v>160.1806640625</v>
      </c>
      <c r="H12" s="7">
        <f t="shared" si="1"/>
        <v>174.90062499999993</v>
      </c>
      <c r="I12" s="7">
        <f t="shared" si="1"/>
        <v>190.61253906250008</v>
      </c>
      <c r="J12" s="7">
        <f t="shared" si="1"/>
        <v>207.35999999999999</v>
      </c>
    </row>
    <row r="13" spans="1:10" x14ac:dyDescent="0.3">
      <c r="A13" s="6">
        <v>5</v>
      </c>
      <c r="B13" s="14">
        <f t="shared" si="1"/>
        <v>100</v>
      </c>
      <c r="C13" s="7">
        <f t="shared" si="1"/>
        <v>113.14082128906247</v>
      </c>
      <c r="D13" s="7">
        <f t="shared" si="1"/>
        <v>127.62815625000002</v>
      </c>
      <c r="E13" s="7">
        <f t="shared" si="1"/>
        <v>143.5629326171875</v>
      </c>
      <c r="F13" s="7">
        <f t="shared" si="1"/>
        <v>161.05100000000004</v>
      </c>
      <c r="G13" s="7">
        <f t="shared" si="1"/>
        <v>180.2032470703125</v>
      </c>
      <c r="H13" s="7">
        <f t="shared" si="1"/>
        <v>201.13571874999994</v>
      </c>
      <c r="I13" s="7">
        <f t="shared" si="1"/>
        <v>223.96973339843757</v>
      </c>
      <c r="J13" s="7">
        <f t="shared" si="1"/>
        <v>248.83199999999999</v>
      </c>
    </row>
    <row r="14" spans="1:10" x14ac:dyDescent="0.3">
      <c r="A14" s="6">
        <v>6</v>
      </c>
      <c r="B14" s="14">
        <f t="shared" si="1"/>
        <v>100</v>
      </c>
      <c r="C14" s="7">
        <f t="shared" si="1"/>
        <v>115.96934182128902</v>
      </c>
      <c r="D14" s="7">
        <f t="shared" si="1"/>
        <v>134.0095640625</v>
      </c>
      <c r="E14" s="7">
        <f t="shared" si="1"/>
        <v>154.33015256347653</v>
      </c>
      <c r="F14" s="7">
        <f t="shared" si="1"/>
        <v>177.15610000000009</v>
      </c>
      <c r="G14" s="7">
        <f t="shared" si="1"/>
        <v>202.72865295410156</v>
      </c>
      <c r="H14" s="7">
        <f t="shared" si="1"/>
        <v>231.3060765624999</v>
      </c>
      <c r="I14" s="7">
        <f t="shared" si="1"/>
        <v>263.16443674316423</v>
      </c>
      <c r="J14" s="7">
        <f t="shared" si="1"/>
        <v>298.59839999999997</v>
      </c>
    </row>
    <row r="15" spans="1:10" x14ac:dyDescent="0.3">
      <c r="A15" s="6">
        <v>7</v>
      </c>
      <c r="B15" s="14">
        <f t="shared" si="1"/>
        <v>100</v>
      </c>
      <c r="C15" s="7">
        <f t="shared" si="1"/>
        <v>118.86857536682125</v>
      </c>
      <c r="D15" s="7">
        <f t="shared" si="1"/>
        <v>140.71004226562502</v>
      </c>
      <c r="E15" s="7">
        <f t="shared" si="1"/>
        <v>165.90491400573728</v>
      </c>
      <c r="F15" s="7">
        <f t="shared" si="1"/>
        <v>194.87171000000012</v>
      </c>
      <c r="G15" s="7">
        <f t="shared" si="1"/>
        <v>228.06973457336426</v>
      </c>
      <c r="H15" s="7">
        <f t="shared" si="1"/>
        <v>266.00198804687483</v>
      </c>
      <c r="I15" s="7">
        <f t="shared" si="1"/>
        <v>309.21821317321798</v>
      </c>
      <c r="J15" s="7">
        <f t="shared" si="1"/>
        <v>358.31807999999995</v>
      </c>
    </row>
    <row r="16" spans="1:10" x14ac:dyDescent="0.3">
      <c r="A16" s="6">
        <v>8</v>
      </c>
      <c r="B16" s="14">
        <f t="shared" si="1"/>
        <v>100</v>
      </c>
      <c r="C16" s="7">
        <f t="shared" si="1"/>
        <v>121.84028975099177</v>
      </c>
      <c r="D16" s="7">
        <f t="shared" si="1"/>
        <v>147.74554437890626</v>
      </c>
      <c r="E16" s="7">
        <f t="shared" si="1"/>
        <v>178.34778255616757</v>
      </c>
      <c r="F16" s="7">
        <f t="shared" si="1"/>
        <v>214.35888100000011</v>
      </c>
      <c r="G16" s="7">
        <f t="shared" si="1"/>
        <v>256.57845139503479</v>
      </c>
      <c r="H16" s="7">
        <f t="shared" si="1"/>
        <v>305.90228625390603</v>
      </c>
      <c r="I16" s="7">
        <f t="shared" si="1"/>
        <v>363.33140047853112</v>
      </c>
      <c r="J16" s="7">
        <f t="shared" si="1"/>
        <v>429.98169599999994</v>
      </c>
    </row>
    <row r="17" spans="1:10" x14ac:dyDescent="0.3">
      <c r="A17" s="6">
        <v>9</v>
      </c>
      <c r="B17" s="14">
        <f t="shared" si="1"/>
        <v>100</v>
      </c>
      <c r="C17" s="7">
        <f t="shared" si="1"/>
        <v>124.88629699476654</v>
      </c>
      <c r="D17" s="7">
        <f t="shared" si="1"/>
        <v>155.13282159785157</v>
      </c>
      <c r="E17" s="7">
        <f t="shared" si="1"/>
        <v>191.72386624788012</v>
      </c>
      <c r="F17" s="7">
        <f t="shared" si="1"/>
        <v>235.79476910000014</v>
      </c>
      <c r="G17" s="7">
        <f t="shared" si="1"/>
        <v>288.65075781941414</v>
      </c>
      <c r="H17" s="7">
        <f t="shared" si="1"/>
        <v>351.78762919199193</v>
      </c>
      <c r="I17" s="7">
        <f t="shared" si="1"/>
        <v>426.91439556227408</v>
      </c>
      <c r="J17" s="7">
        <f t="shared" si="1"/>
        <v>515.97803519999991</v>
      </c>
    </row>
    <row r="18" spans="1:10" x14ac:dyDescent="0.3">
      <c r="A18" s="6">
        <v>10</v>
      </c>
      <c r="B18" s="14">
        <f t="shared" si="1"/>
        <v>100</v>
      </c>
      <c r="C18" s="7">
        <f t="shared" si="1"/>
        <v>128.00845441963571</v>
      </c>
      <c r="D18" s="7">
        <f t="shared" si="1"/>
        <v>162.88946267774415</v>
      </c>
      <c r="E18" s="7">
        <f t="shared" si="1"/>
        <v>206.10315621647112</v>
      </c>
      <c r="F18" s="7">
        <f t="shared" si="1"/>
        <v>259.37424601000021</v>
      </c>
      <c r="G18" s="7">
        <f t="shared" si="1"/>
        <v>324.73210254684091</v>
      </c>
      <c r="H18" s="7">
        <f t="shared" si="1"/>
        <v>404.55577357079068</v>
      </c>
      <c r="I18" s="7">
        <f t="shared" si="1"/>
        <v>501.62441478567212</v>
      </c>
      <c r="J18" s="7">
        <f t="shared" si="1"/>
        <v>619.17364223999994</v>
      </c>
    </row>
  </sheetData>
  <phoneticPr fontId="0" type="noConversion"/>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07C0A-664A-4545-A82B-2E15AA8884A3}">
  <sheetPr codeName="Sheet4">
    <tabColor rgb="FF3333FF"/>
  </sheetPr>
  <dimension ref="A1:E14"/>
  <sheetViews>
    <sheetView zoomScale="115" zoomScaleNormal="115" workbookViewId="0">
      <selection activeCell="B7" sqref="B7"/>
    </sheetView>
  </sheetViews>
  <sheetFormatPr defaultRowHeight="14.4" x14ac:dyDescent="0.3"/>
  <cols>
    <col min="1" max="1" width="49.44140625" bestFit="1" customWidth="1"/>
    <col min="2" max="2" width="16.6640625" bestFit="1" customWidth="1"/>
    <col min="3" max="3" width="22.6640625" bestFit="1" customWidth="1"/>
  </cols>
  <sheetData>
    <row r="1" spans="1:5" ht="28.8" x14ac:dyDescent="0.3">
      <c r="A1" s="66" t="str">
        <f>"If we invest "&amp;DOLLAR(B2)&amp;" with an annual rate of "&amp;TEXT(B3,"0.00%")&amp;" compounded "&amp;B4&amp;" times a year for "&amp;B5&amp;" years, what is the future value of the investment?"</f>
        <v>If we invest $100,000.00 with an annual rate of 7.00% compounded 12 times a year for 10 years, what is the future value of the investment?</v>
      </c>
      <c r="B1" s="66"/>
    </row>
    <row r="2" spans="1:5" x14ac:dyDescent="0.3">
      <c r="A2" s="6" t="s">
        <v>35</v>
      </c>
      <c r="B2" s="9">
        <v>100000</v>
      </c>
    </row>
    <row r="3" spans="1:5" x14ac:dyDescent="0.3">
      <c r="A3" s="6" t="s">
        <v>36</v>
      </c>
      <c r="B3" s="10">
        <v>7.0000000000000007E-2</v>
      </c>
    </row>
    <row r="4" spans="1:5" x14ac:dyDescent="0.3">
      <c r="A4" s="6" t="s">
        <v>38</v>
      </c>
      <c r="B4" s="6">
        <v>12</v>
      </c>
    </row>
    <row r="5" spans="1:5" x14ac:dyDescent="0.3">
      <c r="A5" s="6" t="s">
        <v>37</v>
      </c>
      <c r="B5" s="6">
        <v>10</v>
      </c>
    </row>
    <row r="6" spans="1:5" x14ac:dyDescent="0.3">
      <c r="A6" s="6" t="s">
        <v>39</v>
      </c>
      <c r="B6" s="9"/>
    </row>
    <row r="7" spans="1:5" x14ac:dyDescent="0.3">
      <c r="A7" s="6" t="s">
        <v>41</v>
      </c>
      <c r="B7" s="16"/>
    </row>
    <row r="8" spans="1:5" x14ac:dyDescent="0.3">
      <c r="A8" s="6" t="s">
        <v>42</v>
      </c>
      <c r="B8" s="16"/>
    </row>
    <row r="9" spans="1:5" x14ac:dyDescent="0.3">
      <c r="A9" s="6" t="s">
        <v>43</v>
      </c>
      <c r="B9" s="17"/>
    </row>
    <row r="10" spans="1:5" x14ac:dyDescent="0.3">
      <c r="A10" s="6" t="str">
        <f>$A$6</f>
        <v>Future Value = FV</v>
      </c>
      <c r="B10" s="18"/>
    </row>
    <row r="11" spans="1:5" x14ac:dyDescent="0.3">
      <c r="A11" s="6" t="str">
        <f>$A$6</f>
        <v>Future Value = FV</v>
      </c>
      <c r="B11" s="18"/>
    </row>
    <row r="12" spans="1:5" x14ac:dyDescent="0.3">
      <c r="A12" s="6" t="str">
        <f>$A$6</f>
        <v>Future Value = FV</v>
      </c>
      <c r="B12" s="19"/>
    </row>
    <row r="13" spans="1:5" x14ac:dyDescent="0.3">
      <c r="A13" s="6" t="s">
        <v>44</v>
      </c>
      <c r="B13" s="19"/>
    </row>
    <row r="14" spans="1:5" x14ac:dyDescent="0.3">
      <c r="A14" s="6" t="s">
        <v>46</v>
      </c>
      <c r="B14" s="11"/>
      <c r="C14" s="11"/>
      <c r="D14" s="11"/>
      <c r="E14" s="11"/>
    </row>
  </sheetData>
  <phoneticPr fontId="0" type="noConversion"/>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A9C64-4B0E-41C9-998F-E9286F9FF594}">
  <sheetPr codeName="Sheet26">
    <tabColor rgb="FFFF0000"/>
  </sheetPr>
  <dimension ref="A1:E14"/>
  <sheetViews>
    <sheetView zoomScaleNormal="100" workbookViewId="0">
      <selection activeCell="B15" sqref="B15"/>
    </sheetView>
  </sheetViews>
  <sheetFormatPr defaultRowHeight="14.4" x14ac:dyDescent="0.3"/>
  <cols>
    <col min="1" max="1" width="49.44140625" bestFit="1" customWidth="1"/>
    <col min="2" max="2" width="17.21875" bestFit="1" customWidth="1"/>
    <col min="3" max="3" width="22.6640625" bestFit="1" customWidth="1"/>
  </cols>
  <sheetData>
    <row r="1" spans="1:5" ht="28.8" x14ac:dyDescent="0.3">
      <c r="A1" s="66" t="str">
        <f>"If we invest "&amp;DOLLAR(B2)&amp;" with an annual rate of "&amp;TEXT(B3,"0.00%")&amp;" compounded "&amp;B4&amp;" times a year for "&amp;B5&amp;" years, what is the future value of the investment?"</f>
        <v>If we invest $100,000.00 with an annual rate of 7.00% compounded 12 times a year for 10 years, what is the future value of the investment?</v>
      </c>
      <c r="B1" s="66"/>
    </row>
    <row r="2" spans="1:5" x14ac:dyDescent="0.3">
      <c r="A2" s="6" t="s">
        <v>35</v>
      </c>
      <c r="B2" s="9">
        <v>100000</v>
      </c>
    </row>
    <row r="3" spans="1:5" x14ac:dyDescent="0.3">
      <c r="A3" s="6" t="s">
        <v>36</v>
      </c>
      <c r="B3" s="10">
        <v>7.0000000000000007E-2</v>
      </c>
    </row>
    <row r="4" spans="1:5" x14ac:dyDescent="0.3">
      <c r="A4" s="6" t="s">
        <v>38</v>
      </c>
      <c r="B4" s="6">
        <v>12</v>
      </c>
    </row>
    <row r="5" spans="1:5" x14ac:dyDescent="0.3">
      <c r="A5" s="6" t="s">
        <v>37</v>
      </c>
      <c r="B5" s="6">
        <v>10</v>
      </c>
    </row>
    <row r="6" spans="1:5" x14ac:dyDescent="0.3">
      <c r="A6" s="6" t="s">
        <v>39</v>
      </c>
      <c r="B6" s="9"/>
    </row>
    <row r="7" spans="1:5" x14ac:dyDescent="0.3">
      <c r="A7" s="6" t="s">
        <v>41</v>
      </c>
      <c r="B7" s="16">
        <f>B3/B4</f>
        <v>5.8333333333333336E-3</v>
      </c>
    </row>
    <row r="8" spans="1:5" x14ac:dyDescent="0.3">
      <c r="A8" s="6" t="s">
        <v>42</v>
      </c>
      <c r="B8" s="16">
        <f>B4*B5</f>
        <v>120</v>
      </c>
    </row>
    <row r="9" spans="1:5" x14ac:dyDescent="0.3">
      <c r="A9" s="6" t="s">
        <v>43</v>
      </c>
      <c r="B9" s="17">
        <f>(1+B7)^B8</f>
        <v>2.0096613766956315</v>
      </c>
    </row>
    <row r="10" spans="1:5" x14ac:dyDescent="0.3">
      <c r="A10" s="6" t="str">
        <f>$A$6</f>
        <v>Future Value = FV</v>
      </c>
      <c r="B10" s="18">
        <f>B9*B2</f>
        <v>200966.13766956315</v>
      </c>
    </row>
    <row r="11" spans="1:5" x14ac:dyDescent="0.3">
      <c r="A11" s="6" t="str">
        <f>$A$6</f>
        <v>Future Value = FV</v>
      </c>
      <c r="B11" s="18">
        <f>B2*(1+B7)^B8</f>
        <v>200966.13766956315</v>
      </c>
    </row>
    <row r="12" spans="1:5" x14ac:dyDescent="0.3">
      <c r="A12" s="6" t="str">
        <f>$A$6</f>
        <v>Future Value = FV</v>
      </c>
      <c r="B12" s="19">
        <f>FV(B7,B8,,-B2)</f>
        <v>200966.13766956315</v>
      </c>
    </row>
    <row r="13" spans="1:5" x14ac:dyDescent="0.3">
      <c r="A13" s="6" t="s">
        <v>44</v>
      </c>
      <c r="B13" s="19">
        <f>B12-B2</f>
        <v>100966.13766956315</v>
      </c>
    </row>
    <row r="14" spans="1:5" ht="57.6" x14ac:dyDescent="0.3">
      <c r="A14" s="6" t="s">
        <v>46</v>
      </c>
      <c r="B14" s="11" t="str">
        <f>IF(B13="","","If we invest "&amp;DOLLAR(B2)&amp;" with an annual rate of "&amp;TEXT(B3,"0.00%")&amp;" compounded "&amp;B4&amp;" times a year for "&amp;B5&amp;" years, our future value of the investment will be "&amp;DOLLAR(FV(B3/B4,B5*B4,,-B2))&amp;". Of that amount, "&amp;DOLLAR(B13)&amp;" is the interest earned on the investment.")</f>
        <v>If we invest $100,000.00 with an annual rate of 7.00% compounded 12 times a year for 10 years, our future value of the investment will be $200,966.14. Of that amount, $100,966.14 is the interest earned on the investment.</v>
      </c>
      <c r="C14" s="11"/>
      <c r="D14" s="11"/>
      <c r="E14" s="11"/>
    </row>
  </sheetData>
  <phoneticPr fontId="0" type="noConversion"/>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FB5AF-B4BF-4897-BE29-CAC0E77B69E7}">
  <sheetPr codeName="Sheet15">
    <tabColor rgb="FF3333FF"/>
  </sheetPr>
  <dimension ref="A1:E12"/>
  <sheetViews>
    <sheetView zoomScale="115" zoomScaleNormal="115" workbookViewId="0">
      <selection activeCell="B7" sqref="B7"/>
    </sheetView>
  </sheetViews>
  <sheetFormatPr defaultRowHeight="14.4" x14ac:dyDescent="0.3"/>
  <cols>
    <col min="1" max="1" width="49.44140625" bestFit="1" customWidth="1"/>
    <col min="2" max="2" width="16.6640625" bestFit="1" customWidth="1"/>
    <col min="3" max="3" width="22.6640625" bestFit="1" customWidth="1"/>
  </cols>
  <sheetData>
    <row r="1" spans="1:5" ht="28.8" x14ac:dyDescent="0.3">
      <c r="A1" s="3" t="str">
        <f>"If we invest "&amp;DOLLAR(B2)&amp;" with an annual rate of "&amp;TEXT(B3,"0.00%")&amp;" compounded "&amp;B4&amp;" times a year for "&amp;B5&amp;" years, what is the future value of the investment?"</f>
        <v>If we invest $15,000.00 with an annual rate of 5.50% compounded 365 times a year for 10 years, what is the future value of the investment?</v>
      </c>
      <c r="B1" s="3"/>
    </row>
    <row r="2" spans="1:5" x14ac:dyDescent="0.3">
      <c r="A2" s="6" t="s">
        <v>35</v>
      </c>
      <c r="B2" s="9">
        <v>15000</v>
      </c>
    </row>
    <row r="3" spans="1:5" x14ac:dyDescent="0.3">
      <c r="A3" s="6" t="s">
        <v>36</v>
      </c>
      <c r="B3" s="10">
        <v>5.5E-2</v>
      </c>
    </row>
    <row r="4" spans="1:5" x14ac:dyDescent="0.3">
      <c r="A4" s="6" t="s">
        <v>38</v>
      </c>
      <c r="B4" s="6">
        <v>365</v>
      </c>
    </row>
    <row r="5" spans="1:5" x14ac:dyDescent="0.3">
      <c r="A5" s="6" t="s">
        <v>37</v>
      </c>
      <c r="B5" s="6">
        <v>10</v>
      </c>
    </row>
    <row r="6" spans="1:5" x14ac:dyDescent="0.3">
      <c r="A6" s="6" t="s">
        <v>39</v>
      </c>
      <c r="B6" s="9"/>
    </row>
    <row r="7" spans="1:5" x14ac:dyDescent="0.3">
      <c r="A7" s="6" t="s">
        <v>41</v>
      </c>
      <c r="B7" s="16"/>
    </row>
    <row r="8" spans="1:5" x14ac:dyDescent="0.3">
      <c r="A8" s="6" t="s">
        <v>42</v>
      </c>
      <c r="B8" s="16"/>
    </row>
    <row r="9" spans="1:5" x14ac:dyDescent="0.3">
      <c r="A9" s="6" t="str">
        <f>$A$6</f>
        <v>Future Value = FV</v>
      </c>
      <c r="B9" s="18"/>
    </row>
    <row r="10" spans="1:5" x14ac:dyDescent="0.3">
      <c r="A10" s="6" t="str">
        <f>$A$6</f>
        <v>Future Value = FV</v>
      </c>
      <c r="B10" s="19"/>
    </row>
    <row r="11" spans="1:5" x14ac:dyDescent="0.3">
      <c r="A11" s="6" t="s">
        <v>44</v>
      </c>
      <c r="B11" s="19"/>
    </row>
    <row r="12" spans="1:5" x14ac:dyDescent="0.3">
      <c r="A12" s="6" t="s">
        <v>46</v>
      </c>
      <c r="B12" s="11"/>
      <c r="C12" s="11"/>
      <c r="D12" s="11"/>
      <c r="E12" s="11"/>
    </row>
  </sheetData>
  <phoneticPr fontId="0"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247DB-8B47-4F4B-9590-F9D4F91DDB88}">
  <sheetPr codeName="Sheet29">
    <tabColor rgb="FFFF0000"/>
  </sheetPr>
  <dimension ref="A1:E12"/>
  <sheetViews>
    <sheetView zoomScale="115" zoomScaleNormal="115" workbookViewId="0">
      <selection activeCell="B7" sqref="B7"/>
    </sheetView>
  </sheetViews>
  <sheetFormatPr defaultRowHeight="14.4" x14ac:dyDescent="0.3"/>
  <cols>
    <col min="1" max="1" width="49.44140625" bestFit="1" customWidth="1"/>
    <col min="2" max="2" width="16.6640625" bestFit="1" customWidth="1"/>
    <col min="3" max="3" width="22.6640625" bestFit="1" customWidth="1"/>
  </cols>
  <sheetData>
    <row r="1" spans="1:5" ht="28.8" x14ac:dyDescent="0.3">
      <c r="A1" s="3" t="str">
        <f>"If we invest "&amp;DOLLAR(B2)&amp;" with an annual rate of "&amp;TEXT(B3,"0.00%")&amp;" compounded "&amp;B4&amp;" times a year for "&amp;B5&amp;" years, what is the future value of the investment?"</f>
        <v>If we invest $15,000.00 with an annual rate of 5.50% compounded 365 times a year for 10 years, what is the future value of the investment?</v>
      </c>
      <c r="B1" s="3"/>
    </row>
    <row r="2" spans="1:5" x14ac:dyDescent="0.3">
      <c r="A2" s="6" t="s">
        <v>35</v>
      </c>
      <c r="B2" s="9">
        <v>15000</v>
      </c>
    </row>
    <row r="3" spans="1:5" x14ac:dyDescent="0.3">
      <c r="A3" s="6" t="s">
        <v>36</v>
      </c>
      <c r="B3" s="10">
        <v>5.5E-2</v>
      </c>
    </row>
    <row r="4" spans="1:5" x14ac:dyDescent="0.3">
      <c r="A4" s="6" t="s">
        <v>38</v>
      </c>
      <c r="B4" s="6">
        <v>365</v>
      </c>
    </row>
    <row r="5" spans="1:5" x14ac:dyDescent="0.3">
      <c r="A5" s="6" t="s">
        <v>37</v>
      </c>
      <c r="B5" s="6">
        <v>10</v>
      </c>
    </row>
    <row r="6" spans="1:5" x14ac:dyDescent="0.3">
      <c r="A6" s="6" t="s">
        <v>39</v>
      </c>
      <c r="B6" s="9"/>
    </row>
    <row r="7" spans="1:5" x14ac:dyDescent="0.3">
      <c r="A7" s="6" t="s">
        <v>41</v>
      </c>
      <c r="B7" s="16">
        <f>B3/B4</f>
        <v>1.5068493150684933E-4</v>
      </c>
    </row>
    <row r="8" spans="1:5" x14ac:dyDescent="0.3">
      <c r="A8" s="6" t="s">
        <v>42</v>
      </c>
      <c r="B8" s="16">
        <f>B4*B5</f>
        <v>3650</v>
      </c>
    </row>
    <row r="9" spans="1:5" x14ac:dyDescent="0.3">
      <c r="A9" s="6" t="str">
        <f>$A$6</f>
        <v>Future Value = FV</v>
      </c>
      <c r="B9" s="18">
        <f>B2*(1+B3/B4)^(B4*B5)</f>
        <v>25997.718051217216</v>
      </c>
    </row>
    <row r="10" spans="1:5" x14ac:dyDescent="0.3">
      <c r="A10" s="6" t="str">
        <f>$A$6</f>
        <v>Future Value = FV</v>
      </c>
      <c r="B10" s="19">
        <f>FV(B7,B8,,-B2)</f>
        <v>25997.718051217216</v>
      </c>
    </row>
    <row r="11" spans="1:5" x14ac:dyDescent="0.3">
      <c r="A11" s="6" t="s">
        <v>44</v>
      </c>
      <c r="B11" s="19">
        <f>B10-B2</f>
        <v>10997.718051217216</v>
      </c>
    </row>
    <row r="12" spans="1:5" ht="57.6" x14ac:dyDescent="0.3">
      <c r="A12" s="6" t="s">
        <v>46</v>
      </c>
      <c r="B12" s="11" t="str">
        <f>IF(B11="","","If we invest "&amp;DOLLAR(B2)&amp;" with an annual rate of "&amp;TEXT(B3,"0.00%")&amp;" compounded "&amp;B4&amp;" times a year for "&amp;B5&amp;" years, our future value of the investment will be "&amp;DOLLAR(FV(B3/B4,B5*B4,,-B2))&amp;". Of that amount, "&amp;DOLLAR(B11)&amp;" is the interest earned on the investment.")</f>
        <v>If we invest $15,000.00 with an annual rate of 5.50% compounded 365 times a year for 10 years, our future value of the investment will be $25,997.72. Of that amount, $10,997.72 is the interest earned on the investment.</v>
      </c>
      <c r="C12" s="11"/>
      <c r="D12" s="11"/>
      <c r="E12" s="11"/>
    </row>
  </sheetData>
  <phoneticPr fontId="0" type="noConversion"/>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5F4CF-2B68-41EF-8C79-A3FC2E8017BA}">
  <sheetPr codeName="Sheet17">
    <tabColor rgb="FF3333FF"/>
  </sheetPr>
  <dimension ref="A1:E15"/>
  <sheetViews>
    <sheetView zoomScaleNormal="100" workbookViewId="0">
      <selection activeCell="B8" sqref="B8"/>
    </sheetView>
  </sheetViews>
  <sheetFormatPr defaultRowHeight="14.4" x14ac:dyDescent="0.3"/>
  <cols>
    <col min="1" max="1" width="49.44140625" style="13" bestFit="1" customWidth="1"/>
    <col min="2" max="2" width="20.44140625" bestFit="1" customWidth="1"/>
    <col min="3" max="3" width="22.6640625" bestFit="1" customWidth="1"/>
  </cols>
  <sheetData>
    <row r="1" spans="1:5" ht="43.2" x14ac:dyDescent="0.3">
      <c r="A1" s="3" t="str">
        <f>"How much would we have to invest today, if we want to have "&amp;DOLLAR(B6)&amp;" in "&amp;B5&amp;" years and we could earn an annual interest rate (discount rate) of "&amp;TEXT(B3,"0.00%")&amp;" compounded "&amp;IF(B4=1,"once ",B4&amp;" times ")&amp;" a year?"</f>
        <v>How much would we have to invest today, if we want to have $1,000,000.00 in 40 years and we could earn an annual interest rate (discount rate) of 10.00% compounded 12 times  a year?</v>
      </c>
      <c r="B1" s="3"/>
    </row>
    <row r="2" spans="1:5" x14ac:dyDescent="0.3">
      <c r="A2" s="12" t="s">
        <v>35</v>
      </c>
      <c r="B2" s="9"/>
    </row>
    <row r="3" spans="1:5" ht="28.8" x14ac:dyDescent="0.3">
      <c r="A3" s="12" t="s">
        <v>45</v>
      </c>
      <c r="B3" s="10">
        <v>0.1</v>
      </c>
    </row>
    <row r="4" spans="1:5" x14ac:dyDescent="0.3">
      <c r="A4" s="12" t="s">
        <v>38</v>
      </c>
      <c r="B4" s="6">
        <v>12</v>
      </c>
    </row>
    <row r="5" spans="1:5" x14ac:dyDescent="0.3">
      <c r="A5" s="12" t="s">
        <v>37</v>
      </c>
      <c r="B5" s="6">
        <v>40</v>
      </c>
    </row>
    <row r="6" spans="1:5" x14ac:dyDescent="0.3">
      <c r="A6" s="12" t="s">
        <v>39</v>
      </c>
      <c r="B6" s="9">
        <v>1000000</v>
      </c>
    </row>
    <row r="7" spans="1:5" x14ac:dyDescent="0.3">
      <c r="A7" s="12" t="s">
        <v>40</v>
      </c>
      <c r="B7" s="9"/>
    </row>
    <row r="8" spans="1:5" x14ac:dyDescent="0.3">
      <c r="A8" s="12" t="s">
        <v>41</v>
      </c>
      <c r="B8" s="16"/>
    </row>
    <row r="9" spans="1:5" x14ac:dyDescent="0.3">
      <c r="A9" s="12" t="s">
        <v>42</v>
      </c>
      <c r="B9" s="16"/>
    </row>
    <row r="10" spans="1:5" x14ac:dyDescent="0.3">
      <c r="A10" s="12" t="s">
        <v>43</v>
      </c>
      <c r="B10" s="17"/>
    </row>
    <row r="11" spans="1:5" x14ac:dyDescent="0.3">
      <c r="A11" s="12" t="str">
        <f>$A$2</f>
        <v>Present Value = PV</v>
      </c>
      <c r="B11" s="20"/>
    </row>
    <row r="12" spans="1:5" x14ac:dyDescent="0.3">
      <c r="A12" s="12" t="str">
        <f>$A$2</f>
        <v>Present Value = PV</v>
      </c>
      <c r="B12" s="18"/>
    </row>
    <row r="13" spans="1:5" x14ac:dyDescent="0.3">
      <c r="A13" s="12" t="str">
        <f>$A$2</f>
        <v>Present Value = PV</v>
      </c>
      <c r="B13" s="67"/>
    </row>
    <row r="14" spans="1:5" x14ac:dyDescent="0.3">
      <c r="A14" s="12" t="s">
        <v>44</v>
      </c>
      <c r="B14" s="18"/>
    </row>
    <row r="15" spans="1:5" x14ac:dyDescent="0.3">
      <c r="A15" s="6" t="s">
        <v>46</v>
      </c>
      <c r="B15" s="11"/>
      <c r="C15" s="11"/>
      <c r="D15" s="11"/>
      <c r="E15" s="11"/>
    </row>
  </sheetData>
  <phoneticPr fontId="0" type="noConversion"/>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07CE4-700E-451D-A3F9-277A400D75FF}">
  <sheetPr codeName="Sheet31">
    <tabColor rgb="FFFF0000"/>
  </sheetPr>
  <dimension ref="A1:E15"/>
  <sheetViews>
    <sheetView zoomScaleNormal="100" workbookViewId="0">
      <selection activeCell="I12" sqref="I12"/>
    </sheetView>
  </sheetViews>
  <sheetFormatPr defaultRowHeight="14.4" x14ac:dyDescent="0.3"/>
  <cols>
    <col min="1" max="1" width="49.44140625" style="13" bestFit="1" customWidth="1"/>
    <col min="2" max="2" width="20.44140625" bestFit="1" customWidth="1"/>
    <col min="3" max="3" width="22.6640625" bestFit="1" customWidth="1"/>
  </cols>
  <sheetData>
    <row r="1" spans="1:5" ht="43.2" x14ac:dyDescent="0.3">
      <c r="A1" s="3" t="str">
        <f>"How much would we have to invest today, if we want to have "&amp;DOLLAR(B6)&amp;" in "&amp;B5&amp;" years and we could earn an annual interest rate (discount rate) of "&amp;TEXT(B3,"0.00%")&amp;" compounded "&amp;IF(B4=1,"once ",B4&amp;" times ")&amp;" a year?"</f>
        <v>How much would we have to invest today, if we want to have $1,000,000.00 in 40 years and we could earn an annual interest rate (discount rate) of 10.00% compounded 12 times  a year?</v>
      </c>
      <c r="B1" s="3"/>
    </row>
    <row r="2" spans="1:5" x14ac:dyDescent="0.3">
      <c r="A2" s="12" t="s">
        <v>35</v>
      </c>
      <c r="B2" s="9"/>
    </row>
    <row r="3" spans="1:5" ht="28.8" x14ac:dyDescent="0.3">
      <c r="A3" s="12" t="s">
        <v>45</v>
      </c>
      <c r="B3" s="10">
        <v>0.1</v>
      </c>
    </row>
    <row r="4" spans="1:5" x14ac:dyDescent="0.3">
      <c r="A4" s="12" t="s">
        <v>38</v>
      </c>
      <c r="B4" s="6">
        <v>12</v>
      </c>
    </row>
    <row r="5" spans="1:5" x14ac:dyDescent="0.3">
      <c r="A5" s="12" t="s">
        <v>37</v>
      </c>
      <c r="B5" s="6">
        <v>40</v>
      </c>
    </row>
    <row r="6" spans="1:5" x14ac:dyDescent="0.3">
      <c r="A6" s="12" t="s">
        <v>39</v>
      </c>
      <c r="B6" s="9">
        <v>1000000</v>
      </c>
    </row>
    <row r="7" spans="1:5" x14ac:dyDescent="0.3">
      <c r="A7" s="12" t="s">
        <v>40</v>
      </c>
      <c r="B7" s="9"/>
    </row>
    <row r="8" spans="1:5" x14ac:dyDescent="0.3">
      <c r="A8" s="12" t="s">
        <v>41</v>
      </c>
      <c r="B8" s="16">
        <f>B3/B4</f>
        <v>8.3333333333333332E-3</v>
      </c>
    </row>
    <row r="9" spans="1:5" x14ac:dyDescent="0.3">
      <c r="A9" s="12" t="s">
        <v>42</v>
      </c>
      <c r="B9" s="16">
        <f>B5*B4</f>
        <v>480</v>
      </c>
    </row>
    <row r="10" spans="1:5" x14ac:dyDescent="0.3">
      <c r="A10" s="12" t="s">
        <v>43</v>
      </c>
      <c r="B10" s="17">
        <f>(1+B8)^B9</f>
        <v>53.700663174328909</v>
      </c>
    </row>
    <row r="11" spans="1:5" x14ac:dyDescent="0.3">
      <c r="A11" s="12" t="str">
        <f>$A$2</f>
        <v>Present Value = PV</v>
      </c>
      <c r="B11" s="20">
        <f>B6/B10</f>
        <v>18621.743957866809</v>
      </c>
    </row>
    <row r="12" spans="1:5" x14ac:dyDescent="0.3">
      <c r="A12" s="12" t="str">
        <f>$A$2</f>
        <v>Present Value = PV</v>
      </c>
      <c r="B12" s="18">
        <f>B6/(1+B3/B4)^(B4*B5)</f>
        <v>18621.743957866809</v>
      </c>
    </row>
    <row r="13" spans="1:5" x14ac:dyDescent="0.3">
      <c r="A13" s="12" t="str">
        <f>$A$2</f>
        <v>Present Value = PV</v>
      </c>
      <c r="B13" s="67">
        <f>PV(B8,B9,,B6)</f>
        <v>-18621.743957866809</v>
      </c>
    </row>
    <row r="14" spans="1:5" x14ac:dyDescent="0.3">
      <c r="A14" s="12" t="s">
        <v>44</v>
      </c>
      <c r="B14" s="18">
        <f>B6+B13</f>
        <v>981378.2560421332</v>
      </c>
    </row>
    <row r="15" spans="1:5" ht="43.2" x14ac:dyDescent="0.3">
      <c r="A15" s="6" t="s">
        <v>46</v>
      </c>
      <c r="B15" s="11" t="str">
        <f>"We would have to invest "&amp;DOLLAR(-B13)&amp;" today, if we want to have "&amp;DOLLAR(B6)&amp;" in "&amp;B5&amp;" years and we could earn an annual interest rate (discount rate) of "&amp;TEXT(B3,"0.00%")&amp;" compounded "&amp;IF(B4=1,"once ",B4&amp;" times ")&amp;" a year."</f>
        <v>We would have to invest $18,621.74 today, if we want to have $1,000,000.00 in 40 years and we could earn an annual interest rate (discount rate) of 10.00% compounded 12 times  a year.</v>
      </c>
      <c r="C15" s="11"/>
      <c r="D15" s="11"/>
      <c r="E15" s="11"/>
    </row>
  </sheetData>
  <phoneticPr fontId="0" type="noConversion"/>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56EFA-9725-4E42-AD0F-C9FFA2EBCB23}">
  <sheetPr codeName="Sheet18">
    <tabColor rgb="FF3333FF"/>
  </sheetPr>
  <dimension ref="A1:E15"/>
  <sheetViews>
    <sheetView zoomScale="115" zoomScaleNormal="115" workbookViewId="0">
      <selection activeCell="B8" sqref="B8"/>
    </sheetView>
  </sheetViews>
  <sheetFormatPr defaultRowHeight="14.4" x14ac:dyDescent="0.3"/>
  <cols>
    <col min="1" max="1" width="53" style="13" customWidth="1"/>
    <col min="2" max="2" width="20" customWidth="1"/>
    <col min="3" max="3" width="22.6640625" bestFit="1" customWidth="1"/>
  </cols>
  <sheetData>
    <row r="1" spans="1:5" ht="43.2" x14ac:dyDescent="0.3">
      <c r="A1" s="3" t="str">
        <f>"How much would we have to invest today, if we want to have "&amp;DOLLAR(B6)&amp;" (for our daughter's college tuition) in "&amp;B5&amp;" years and we could earn an annual interest rate (discount rate) of "&amp;TEXT(B3,"0.00%")&amp;" compounded "&amp;IF(B4=1,"once ",B4&amp;" times ")&amp;" a year?"</f>
        <v>How much would we have to invest today, if we want to have $150,000.00 (for our daughter's college tuition) in 18 years and we could earn an annual interest rate (discount rate) of 6.95% compounded 365 times  a year?</v>
      </c>
      <c r="B1" s="3"/>
    </row>
    <row r="2" spans="1:5" x14ac:dyDescent="0.3">
      <c r="A2" s="12" t="s">
        <v>35</v>
      </c>
      <c r="B2" s="9"/>
    </row>
    <row r="3" spans="1:5" ht="28.8" x14ac:dyDescent="0.3">
      <c r="A3" s="12" t="s">
        <v>45</v>
      </c>
      <c r="B3" s="10">
        <v>6.9500000000000006E-2</v>
      </c>
    </row>
    <row r="4" spans="1:5" x14ac:dyDescent="0.3">
      <c r="A4" s="12" t="s">
        <v>38</v>
      </c>
      <c r="B4" s="6">
        <v>365</v>
      </c>
    </row>
    <row r="5" spans="1:5" x14ac:dyDescent="0.3">
      <c r="A5" s="12" t="s">
        <v>37</v>
      </c>
      <c r="B5" s="6">
        <v>18</v>
      </c>
    </row>
    <row r="6" spans="1:5" x14ac:dyDescent="0.3">
      <c r="A6" s="12" t="s">
        <v>39</v>
      </c>
      <c r="B6" s="9">
        <v>150000</v>
      </c>
    </row>
    <row r="7" spans="1:5" x14ac:dyDescent="0.3">
      <c r="A7" s="12" t="s">
        <v>40</v>
      </c>
      <c r="B7" s="9"/>
    </row>
    <row r="8" spans="1:5" x14ac:dyDescent="0.3">
      <c r="A8" s="12" t="s">
        <v>41</v>
      </c>
      <c r="B8" s="69"/>
    </row>
    <row r="9" spans="1:5" x14ac:dyDescent="0.3">
      <c r="A9" s="12" t="s">
        <v>42</v>
      </c>
      <c r="B9" s="16"/>
    </row>
    <row r="10" spans="1:5" x14ac:dyDescent="0.3">
      <c r="A10" s="12" t="s">
        <v>43</v>
      </c>
      <c r="B10" s="17"/>
    </row>
    <row r="11" spans="1:5" x14ac:dyDescent="0.3">
      <c r="A11" s="12" t="str">
        <f>$A$2</f>
        <v>Present Value = PV</v>
      </c>
      <c r="B11" s="20"/>
    </row>
    <row r="12" spans="1:5" x14ac:dyDescent="0.3">
      <c r="A12" s="12" t="str">
        <f>$A$2</f>
        <v>Present Value = PV</v>
      </c>
      <c r="B12" s="18"/>
    </row>
    <row r="13" spans="1:5" x14ac:dyDescent="0.3">
      <c r="A13" s="12" t="str">
        <f>$A$2</f>
        <v>Present Value = PV</v>
      </c>
      <c r="B13" s="19"/>
    </row>
    <row r="14" spans="1:5" x14ac:dyDescent="0.3">
      <c r="A14" s="12" t="s">
        <v>44</v>
      </c>
      <c r="B14" s="18"/>
    </row>
    <row r="15" spans="1:5" x14ac:dyDescent="0.3">
      <c r="A15" s="6" t="s">
        <v>46</v>
      </c>
      <c r="B15" s="11"/>
      <c r="C15" s="11"/>
      <c r="D15" s="11"/>
      <c r="E15" s="11"/>
    </row>
  </sheetData>
  <phoneticPr fontId="0" type="noConversion"/>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2FD9D-EFBD-46B7-AFD1-F59CFF9EF116}">
  <sheetPr codeName="Sheet32">
    <tabColor rgb="FFFF0000"/>
  </sheetPr>
  <dimension ref="A1:E15"/>
  <sheetViews>
    <sheetView zoomScale="115" zoomScaleNormal="115" workbookViewId="0">
      <selection activeCell="B3" sqref="B3"/>
    </sheetView>
  </sheetViews>
  <sheetFormatPr defaultRowHeight="14.4" x14ac:dyDescent="0.3"/>
  <cols>
    <col min="1" max="1" width="53" style="13" customWidth="1"/>
    <col min="2" max="2" width="21.77734375" bestFit="1" customWidth="1"/>
    <col min="3" max="3" width="22.6640625" bestFit="1" customWidth="1"/>
  </cols>
  <sheetData>
    <row r="1" spans="1:5" ht="43.2" x14ac:dyDescent="0.3">
      <c r="A1" s="3" t="str">
        <f>"How much would we have to invest today, if we want to have "&amp;DOLLAR(B6)&amp;" (for our daughter's college tuition) in "&amp;B5&amp;" years and we could earn an annual interest rate (discount rate) of "&amp;TEXT(B3,"0.00%")&amp;" compounded "&amp;IF(B4=1,"once ",B4&amp;" times ")&amp;" a year?"</f>
        <v>How much would we have to invest today, if we want to have $150,000.00 (for our daughter's college tuition) in 18 years and we could earn an annual interest rate (discount rate) of 4.00% compounded 365 times  a year?</v>
      </c>
      <c r="B1" s="3"/>
    </row>
    <row r="2" spans="1:5" x14ac:dyDescent="0.3">
      <c r="A2" s="12" t="s">
        <v>35</v>
      </c>
      <c r="B2" s="9"/>
    </row>
    <row r="3" spans="1:5" ht="28.8" x14ac:dyDescent="0.3">
      <c r="A3" s="12" t="s">
        <v>45</v>
      </c>
      <c r="B3" s="10">
        <v>0.04</v>
      </c>
    </row>
    <row r="4" spans="1:5" x14ac:dyDescent="0.3">
      <c r="A4" s="12" t="s">
        <v>38</v>
      </c>
      <c r="B4" s="6">
        <v>365</v>
      </c>
    </row>
    <row r="5" spans="1:5" x14ac:dyDescent="0.3">
      <c r="A5" s="12" t="s">
        <v>37</v>
      </c>
      <c r="B5" s="6">
        <v>18</v>
      </c>
    </row>
    <row r="6" spans="1:5" x14ac:dyDescent="0.3">
      <c r="A6" s="12" t="s">
        <v>39</v>
      </c>
      <c r="B6" s="9">
        <v>150000</v>
      </c>
    </row>
    <row r="7" spans="1:5" x14ac:dyDescent="0.3">
      <c r="A7" s="12" t="s">
        <v>40</v>
      </c>
      <c r="B7" s="9"/>
    </row>
    <row r="8" spans="1:5" x14ac:dyDescent="0.3">
      <c r="A8" s="12" t="s">
        <v>41</v>
      </c>
      <c r="B8" s="21">
        <f>B3/B4</f>
        <v>1.0958904109589041E-4</v>
      </c>
    </row>
    <row r="9" spans="1:5" x14ac:dyDescent="0.3">
      <c r="A9" s="12" t="s">
        <v>42</v>
      </c>
      <c r="B9" s="16">
        <f>B4*B5</f>
        <v>6570</v>
      </c>
    </row>
    <row r="10" spans="1:5" x14ac:dyDescent="0.3">
      <c r="A10" s="12" t="s">
        <v>43</v>
      </c>
      <c r="B10" s="17">
        <f>(1+B3/B4)^(B4*B5)</f>
        <v>2.0543521665502258</v>
      </c>
    </row>
    <row r="11" spans="1:5" x14ac:dyDescent="0.3">
      <c r="A11" s="12" t="str">
        <f>$A$2</f>
        <v>Present Value = PV</v>
      </c>
      <c r="B11" s="20">
        <f>B6/B10</f>
        <v>73015.718746940911</v>
      </c>
    </row>
    <row r="12" spans="1:5" x14ac:dyDescent="0.3">
      <c r="A12" s="12" t="str">
        <f>$A$2</f>
        <v>Present Value = PV</v>
      </c>
      <c r="B12" s="18">
        <f>B6/((1+B3/B4)^(B4*B5))</f>
        <v>73015.718746940911</v>
      </c>
    </row>
    <row r="13" spans="1:5" x14ac:dyDescent="0.3">
      <c r="A13" s="12" t="str">
        <f>$A$2</f>
        <v>Present Value = PV</v>
      </c>
      <c r="B13" s="19">
        <f>PV(B3/B4,B4*B5,,B6)</f>
        <v>-73015.718746940911</v>
      </c>
    </row>
    <row r="14" spans="1:5" x14ac:dyDescent="0.3">
      <c r="A14" s="12" t="s">
        <v>44</v>
      </c>
      <c r="B14" s="18">
        <f>B6+B13</f>
        <v>76984.281253059089</v>
      </c>
    </row>
    <row r="15" spans="1:5" ht="57.6" x14ac:dyDescent="0.3">
      <c r="A15" s="6" t="s">
        <v>46</v>
      </c>
      <c r="B15" s="11" t="str">
        <f>"We would have to invest "&amp;DOLLAR(-PV(B3/B4,B5*B4,,B6))&amp;" today, if we want to have "&amp;DOLLAR(B6)&amp;" (for our daughter's college tuition) in "&amp;B5&amp;" years and we could earn an annual interest rate (discount rate) of "&amp;TEXT(B3,"0.00%")&amp;" compounded "&amp;IF(B4=1,"once ",B4&amp;" times ")&amp;" a year?"</f>
        <v>We would have to invest $73,015.72 today, if we want to have $150,000.00 (for our daughter's college tuition) in 18 years and we could earn an annual interest rate (discount rate) of 4.00% compounded 365 times  a year?</v>
      </c>
      <c r="C15" s="11"/>
      <c r="D15" s="11"/>
      <c r="E15" s="11"/>
    </row>
  </sheetData>
  <phoneticPr fontId="0" type="noConversion"/>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CB277-6D29-48CE-B532-B3E6EDB2DA75}">
  <sheetPr codeName="Sheet14">
    <tabColor rgb="FF3333FF"/>
  </sheetPr>
  <dimension ref="A1:E23"/>
  <sheetViews>
    <sheetView zoomScale="85" zoomScaleNormal="85" workbookViewId="0">
      <selection activeCell="B16" sqref="B16"/>
    </sheetView>
  </sheetViews>
  <sheetFormatPr defaultRowHeight="14.4" x14ac:dyDescent="0.3"/>
  <cols>
    <col min="1" max="1" width="30.21875" customWidth="1"/>
    <col min="2" max="4" width="18.88671875" customWidth="1"/>
  </cols>
  <sheetData>
    <row r="1" spans="1:5" ht="72" x14ac:dyDescent="0.3">
      <c r="A1" s="3" t="str">
        <f>"If you want to buy a "&amp;DOLLAR(B5)&amp;" C &amp; C Router Machine to improve manufacturing efficiency and you have "&amp;DOLLAR(B2)&amp;" today that you can invest at an annual rate of "&amp;TEXT(B3,"0.00%")&amp;" compounded "&amp;B4&amp;" times a year, how long do you have to wait (be careful about what period you need to make the calculation and what period you need for the answer) until you can afford the machine? (Assume the "&amp;DOLLAR(B5)&amp;" is the price in the future)."</f>
        <v>If you want to buy a $350,000.00 C &amp; C Router Machine to improve manufacturing efficiency and you have $200,000.00 today that you can invest at an annual rate of 8.50% compounded 12 times a year, how long do you have to wait (be careful about what period you need to make the calculation and what period you need for the answer) until you can afford the machine? (Assume the $350,000.00 is the price in the future).</v>
      </c>
      <c r="B1" s="3"/>
      <c r="C1" s="3"/>
      <c r="D1" s="3"/>
    </row>
    <row r="2" spans="1:5" x14ac:dyDescent="0.3">
      <c r="A2" s="6" t="s">
        <v>3</v>
      </c>
      <c r="B2" s="9">
        <v>200000</v>
      </c>
    </row>
    <row r="3" spans="1:5" x14ac:dyDescent="0.3">
      <c r="A3" s="6" t="s">
        <v>51</v>
      </c>
      <c r="B3" s="10">
        <v>8.5000000000000006E-2</v>
      </c>
    </row>
    <row r="4" spans="1:5" x14ac:dyDescent="0.3">
      <c r="A4" s="6" t="s">
        <v>52</v>
      </c>
      <c r="B4" s="6">
        <v>12</v>
      </c>
    </row>
    <row r="5" spans="1:5" x14ac:dyDescent="0.3">
      <c r="A5" s="6" t="s">
        <v>53</v>
      </c>
      <c r="B5" s="23">
        <v>350000</v>
      </c>
    </row>
    <row r="6" spans="1:5" x14ac:dyDescent="0.3">
      <c r="A6" s="22" t="s">
        <v>54</v>
      </c>
      <c r="B6" s="16"/>
      <c r="C6" t="s">
        <v>61</v>
      </c>
    </row>
    <row r="7" spans="1:5" x14ac:dyDescent="0.3">
      <c r="A7" s="22" t="s">
        <v>55</v>
      </c>
      <c r="B7" s="16"/>
      <c r="C7" t="s">
        <v>60</v>
      </c>
    </row>
    <row r="8" spans="1:5" x14ac:dyDescent="0.3">
      <c r="A8" s="6" t="s">
        <v>46</v>
      </c>
      <c r="B8" s="24"/>
      <c r="C8" s="11"/>
      <c r="D8" s="11"/>
      <c r="E8" s="11"/>
    </row>
    <row r="10" spans="1:5" x14ac:dyDescent="0.3">
      <c r="A10" s="6" t="s">
        <v>161</v>
      </c>
    </row>
    <row r="11" spans="1:5" x14ac:dyDescent="0.3">
      <c r="A11" s="6" t="s">
        <v>162</v>
      </c>
    </row>
    <row r="12" spans="1:5" x14ac:dyDescent="0.3">
      <c r="A12" s="6" t="s">
        <v>163</v>
      </c>
    </row>
    <row r="13" spans="1:5" x14ac:dyDescent="0.3">
      <c r="A13" s="6" t="s">
        <v>164</v>
      </c>
    </row>
    <row r="14" spans="1:5" x14ac:dyDescent="0.3">
      <c r="A14" s="6" t="s">
        <v>165</v>
      </c>
    </row>
    <row r="15" spans="1:5" x14ac:dyDescent="0.3">
      <c r="A15" s="6" t="s">
        <v>166</v>
      </c>
    </row>
    <row r="16" spans="1:5" x14ac:dyDescent="0.3">
      <c r="A16" s="6" t="s">
        <v>167</v>
      </c>
      <c r="B16" s="70">
        <f>LN(35/20)/LN(1.0071)/12</f>
        <v>6.5915502516210962</v>
      </c>
    </row>
    <row r="18" spans="1:3" x14ac:dyDescent="0.3">
      <c r="A18" s="6" t="s">
        <v>59</v>
      </c>
      <c r="B18" s="16">
        <f>B5/B2</f>
        <v>1.75</v>
      </c>
    </row>
    <row r="19" spans="1:3" x14ac:dyDescent="0.3">
      <c r="A19" s="6" t="s">
        <v>58</v>
      </c>
      <c r="B19" s="68">
        <f>1+B3/B4</f>
        <v>1.0070833333333333</v>
      </c>
    </row>
    <row r="20" spans="1:3" x14ac:dyDescent="0.3">
      <c r="A20" s="6" t="str">
        <f>"LN("&amp;A18&amp;")"</f>
        <v>LN(FV/PV)</v>
      </c>
      <c r="B20" s="16">
        <f>LN(B18)</f>
        <v>0.55961578793542266</v>
      </c>
    </row>
    <row r="21" spans="1:3" x14ac:dyDescent="0.3">
      <c r="A21" s="6" t="str">
        <f>"LN("&amp;A19&amp;")"</f>
        <v>LN((1+i/n))</v>
      </c>
      <c r="B21" s="16">
        <f>LN(B19)</f>
        <v>7.0583643674460208E-3</v>
      </c>
    </row>
    <row r="22" spans="1:3" x14ac:dyDescent="0.3">
      <c r="A22" s="6" t="str">
        <f>A20&amp;"/"&amp;A21</f>
        <v>LN(FV/PV)/LN((1+i/n))</v>
      </c>
      <c r="B22" s="16">
        <f>B20/B21</f>
        <v>79.284060556073626</v>
      </c>
      <c r="C22" s="6" t="s">
        <v>61</v>
      </c>
    </row>
    <row r="23" spans="1:3" x14ac:dyDescent="0.3">
      <c r="A23" s="6" t="str">
        <f>B22&amp;"/n = x ="</f>
        <v>79.2840605560736/n = x =</v>
      </c>
      <c r="B23" s="16">
        <f>B22/B4</f>
        <v>6.6070050463394692</v>
      </c>
      <c r="C23" s="6" t="s">
        <v>60</v>
      </c>
    </row>
  </sheetData>
  <phoneticPr fontId="0" type="noConversion"/>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95017-1D2B-4A12-9B9A-CA28C2DBE2CB}">
  <sheetPr codeName="Sheet16">
    <tabColor rgb="FFFF0000"/>
  </sheetPr>
  <dimension ref="A1:E23"/>
  <sheetViews>
    <sheetView zoomScale="85" zoomScaleNormal="85" workbookViewId="0">
      <selection activeCell="B7" sqref="B7"/>
    </sheetView>
  </sheetViews>
  <sheetFormatPr defaultRowHeight="14.4" x14ac:dyDescent="0.3"/>
  <cols>
    <col min="1" max="1" width="29.109375" bestFit="1" customWidth="1"/>
    <col min="2" max="2" width="18.44140625" bestFit="1" customWidth="1"/>
    <col min="3" max="4" width="18.88671875" customWidth="1"/>
  </cols>
  <sheetData>
    <row r="1" spans="1:5" ht="72" x14ac:dyDescent="0.3">
      <c r="A1" s="3" t="str">
        <f>"If you want to buy a "&amp;DOLLAR(B5)&amp;" C &amp; C Router Machine to improve manufacturing efficiency and you have "&amp;DOLLAR(B2)&amp;" today that you can invest at an annual rate of "&amp;TEXT(B3,"0.00%")&amp;" compounded "&amp;B4&amp;" times a year, how long do you have to wait (be careful about what period you need to make the calculation and what period you need for the answer) until you can afford the machine? (Assume the "&amp;DOLLAR(B5)&amp;" is the price in the future)."</f>
        <v>If you want to buy a $350,000.00 C &amp; C Router Machine to improve manufacturing efficiency and you have $200,000.00 today that you can invest at an annual rate of 8.50% compounded 12 times a year, how long do you have to wait (be careful about what period you need to make the calculation and what period you need for the answer) until you can afford the machine? (Assume the $350,000.00 is the price in the future).</v>
      </c>
      <c r="B1" s="3"/>
      <c r="C1" s="3"/>
      <c r="D1" s="3"/>
    </row>
    <row r="2" spans="1:5" x14ac:dyDescent="0.3">
      <c r="A2" s="6" t="s">
        <v>3</v>
      </c>
      <c r="B2" s="9">
        <v>200000</v>
      </c>
    </row>
    <row r="3" spans="1:5" x14ac:dyDescent="0.3">
      <c r="A3" s="6" t="s">
        <v>51</v>
      </c>
      <c r="B3" s="10">
        <v>8.5000000000000006E-2</v>
      </c>
    </row>
    <row r="4" spans="1:5" x14ac:dyDescent="0.3">
      <c r="A4" s="6" t="s">
        <v>52</v>
      </c>
      <c r="B4" s="6">
        <v>12</v>
      </c>
    </row>
    <row r="5" spans="1:5" x14ac:dyDescent="0.3">
      <c r="A5" s="6" t="s">
        <v>53</v>
      </c>
      <c r="B5" s="23">
        <v>350000</v>
      </c>
    </row>
    <row r="6" spans="1:5" x14ac:dyDescent="0.3">
      <c r="A6" s="22" t="s">
        <v>54</v>
      </c>
      <c r="B6" s="16">
        <f>NPER(B3/B4,,-B2,B5)</f>
        <v>79.284060556073641</v>
      </c>
      <c r="C6" t="s">
        <v>61</v>
      </c>
    </row>
    <row r="7" spans="1:5" x14ac:dyDescent="0.3">
      <c r="A7" s="22" t="s">
        <v>55</v>
      </c>
      <c r="B7" s="16">
        <f>B6/B4</f>
        <v>6.6070050463394701</v>
      </c>
      <c r="C7" t="s">
        <v>60</v>
      </c>
    </row>
    <row r="8" spans="1:5" ht="43.2" x14ac:dyDescent="0.3">
      <c r="A8" s="6" t="s">
        <v>46</v>
      </c>
      <c r="B8" s="24" t="str">
        <f>IF(B7="","","If you have "&amp;DOLLAR(B2)&amp;" to invest today at "&amp;TEXT(B3,"0.00%")&amp;" compounded "&amp;B4&amp;" a year and you need "&amp;DOLLAR(B5)&amp;" to buy the machine, you would have to wait "&amp;ROUND(B7,3)&amp;" years")</f>
        <v>If you have $200,000.00 to invest today at 8.50% compounded 12 a year and you need $350,000.00 to buy the machine, you would have to wait 6.607 years</v>
      </c>
      <c r="C8" s="11"/>
      <c r="D8" s="11"/>
      <c r="E8" s="11"/>
    </row>
    <row r="10" spans="1:5" x14ac:dyDescent="0.3">
      <c r="A10" s="6" t="s">
        <v>161</v>
      </c>
    </row>
    <row r="11" spans="1:5" x14ac:dyDescent="0.3">
      <c r="A11" s="6" t="s">
        <v>162</v>
      </c>
    </row>
    <row r="12" spans="1:5" x14ac:dyDescent="0.3">
      <c r="A12" s="6" t="s">
        <v>163</v>
      </c>
    </row>
    <row r="13" spans="1:5" x14ac:dyDescent="0.3">
      <c r="A13" s="6" t="s">
        <v>164</v>
      </c>
    </row>
    <row r="14" spans="1:5" x14ac:dyDescent="0.3">
      <c r="A14" s="6" t="s">
        <v>165</v>
      </c>
    </row>
    <row r="15" spans="1:5" x14ac:dyDescent="0.3">
      <c r="A15" s="6" t="s">
        <v>166</v>
      </c>
    </row>
    <row r="16" spans="1:5" x14ac:dyDescent="0.3">
      <c r="A16" s="6" t="s">
        <v>167</v>
      </c>
      <c r="B16" s="70">
        <f>LN(35/20)/LN(1.0071)/12</f>
        <v>6.5915502516210962</v>
      </c>
    </row>
    <row r="18" spans="1:3" x14ac:dyDescent="0.3">
      <c r="A18" s="6" t="s">
        <v>59</v>
      </c>
      <c r="B18" s="16">
        <f>B5/B2</f>
        <v>1.75</v>
      </c>
    </row>
    <row r="19" spans="1:3" x14ac:dyDescent="0.3">
      <c r="A19" s="6" t="s">
        <v>58</v>
      </c>
      <c r="B19" s="68">
        <f>1+B3/B4</f>
        <v>1.0070833333333333</v>
      </c>
    </row>
    <row r="20" spans="1:3" x14ac:dyDescent="0.3">
      <c r="A20" s="6" t="str">
        <f>"LN("&amp;A18&amp;")"</f>
        <v>LN(FV/PV)</v>
      </c>
      <c r="B20" s="16">
        <f>LN(B18)</f>
        <v>0.55961578793542266</v>
      </c>
    </row>
    <row r="21" spans="1:3" x14ac:dyDescent="0.3">
      <c r="A21" s="6" t="str">
        <f>"LN("&amp;A19&amp;")"</f>
        <v>LN((1+i/n))</v>
      </c>
      <c r="B21" s="16">
        <f>LN(B19)</f>
        <v>7.0583643674460208E-3</v>
      </c>
    </row>
    <row r="22" spans="1:3" x14ac:dyDescent="0.3">
      <c r="A22" s="6" t="str">
        <f>A20&amp;"/"&amp;A21</f>
        <v>LN(FV/PV)/LN((1+i/n))</v>
      </c>
      <c r="B22" s="16">
        <f>B20/B21</f>
        <v>79.284060556073626</v>
      </c>
      <c r="C22" s="6" t="s">
        <v>61</v>
      </c>
    </row>
    <row r="23" spans="1:3" x14ac:dyDescent="0.3">
      <c r="A23" s="6" t="str">
        <f>B22&amp;"/n = x ="</f>
        <v>79.2840605560736/n = x =</v>
      </c>
      <c r="B23" s="16">
        <f>B22/B4</f>
        <v>6.6070050463394692</v>
      </c>
      <c r="C23" s="6" t="s">
        <v>60</v>
      </c>
    </row>
  </sheetData>
  <phoneticPr fontId="0" type="noConversion"/>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70E21-7FFD-45E4-8575-BC469E3F126B}">
  <sheetPr codeName="Sheet20">
    <tabColor rgb="FF3333FF"/>
  </sheetPr>
  <dimension ref="A1:J18"/>
  <sheetViews>
    <sheetView zoomScale="70" zoomScaleNormal="70" workbookViewId="0">
      <selection activeCell="B20" sqref="B20"/>
    </sheetView>
  </sheetViews>
  <sheetFormatPr defaultColWidth="11.44140625" defaultRowHeight="14.4" x14ac:dyDescent="0.3"/>
  <cols>
    <col min="1" max="1" width="5.44140625" bestFit="1" customWidth="1"/>
    <col min="2" max="2" width="33.44140625" bestFit="1" customWidth="1"/>
    <col min="3" max="4" width="17.5546875" style="13" bestFit="1" customWidth="1"/>
    <col min="5" max="5" width="17.5546875" bestFit="1" customWidth="1"/>
    <col min="6" max="10" width="18.5546875" bestFit="1" customWidth="1"/>
  </cols>
  <sheetData>
    <row r="1" spans="1:10" x14ac:dyDescent="0.3">
      <c r="B1" s="6" t="s">
        <v>20</v>
      </c>
      <c r="C1" s="7">
        <v>100</v>
      </c>
    </row>
    <row r="2" spans="1:10" x14ac:dyDescent="0.3">
      <c r="B2" s="6" t="s">
        <v>21</v>
      </c>
      <c r="C2" s="6">
        <v>0.1</v>
      </c>
    </row>
    <row r="3" spans="1:10" x14ac:dyDescent="0.3">
      <c r="B3" s="6" t="s">
        <v>22</v>
      </c>
      <c r="C3" s="6">
        <v>1</v>
      </c>
    </row>
    <row r="4" spans="1:10" x14ac:dyDescent="0.3">
      <c r="B4" s="6" t="s">
        <v>23</v>
      </c>
      <c r="C4" s="6">
        <v>4</v>
      </c>
    </row>
    <row r="5" spans="1:10" x14ac:dyDescent="0.3">
      <c r="B5" s="6" t="s">
        <v>49</v>
      </c>
      <c r="C5" s="6">
        <v>2.5000000000000001E-2</v>
      </c>
    </row>
    <row r="7" spans="1:10" s="13" customFormat="1" ht="39.75" customHeight="1" x14ac:dyDescent="0.3">
      <c r="A7" s="12" t="s">
        <v>47</v>
      </c>
      <c r="B7" s="15">
        <v>0</v>
      </c>
      <c r="C7" s="15">
        <f>B7+$C$5</f>
        <v>2.5000000000000001E-2</v>
      </c>
      <c r="D7" s="15">
        <f t="shared" ref="D7:J7" si="0">C7+$C$5</f>
        <v>0.05</v>
      </c>
      <c r="E7" s="15">
        <f t="shared" si="0"/>
        <v>7.5000000000000011E-2</v>
      </c>
      <c r="F7" s="15">
        <f t="shared" si="0"/>
        <v>0.1</v>
      </c>
      <c r="G7" s="15">
        <f t="shared" si="0"/>
        <v>0.125</v>
      </c>
      <c r="H7" s="15">
        <f t="shared" si="0"/>
        <v>0.15</v>
      </c>
      <c r="I7" s="15">
        <f>H7+$C$5</f>
        <v>0.17499999999999999</v>
      </c>
      <c r="J7" s="15">
        <f t="shared" si="0"/>
        <v>0.19999999999999998</v>
      </c>
    </row>
    <row r="8" spans="1:10" x14ac:dyDescent="0.3">
      <c r="A8" s="6">
        <v>0</v>
      </c>
      <c r="B8" s="14">
        <f t="shared" ref="B8:J18" si="1">PV(B$7/$C$3,$C$3*$A8,,-$C$1)</f>
        <v>100</v>
      </c>
      <c r="C8" s="7">
        <f t="shared" si="1"/>
        <v>100</v>
      </c>
      <c r="D8" s="7">
        <f t="shared" si="1"/>
        <v>100</v>
      </c>
      <c r="E8" s="7">
        <f t="shared" si="1"/>
        <v>100</v>
      </c>
      <c r="F8" s="7">
        <f t="shared" si="1"/>
        <v>100</v>
      </c>
      <c r="G8" s="7">
        <f t="shared" si="1"/>
        <v>100</v>
      </c>
      <c r="H8" s="7">
        <f t="shared" si="1"/>
        <v>100</v>
      </c>
      <c r="I8" s="7">
        <f t="shared" si="1"/>
        <v>100</v>
      </c>
      <c r="J8" s="7">
        <f t="shared" si="1"/>
        <v>100</v>
      </c>
    </row>
    <row r="9" spans="1:10" x14ac:dyDescent="0.3">
      <c r="A9" s="6">
        <v>1</v>
      </c>
      <c r="B9" s="14">
        <f t="shared" si="1"/>
        <v>100</v>
      </c>
      <c r="C9" s="7">
        <f t="shared" si="1"/>
        <v>97.560975609756099</v>
      </c>
      <c r="D9" s="7">
        <f t="shared" si="1"/>
        <v>95.238095238095241</v>
      </c>
      <c r="E9" s="7">
        <f t="shared" si="1"/>
        <v>93.023255813953497</v>
      </c>
      <c r="F9" s="7">
        <f t="shared" si="1"/>
        <v>90.909090909090907</v>
      </c>
      <c r="G9" s="7">
        <f t="shared" si="1"/>
        <v>88.888888888888886</v>
      </c>
      <c r="H9" s="7">
        <f t="shared" si="1"/>
        <v>86.956521739130437</v>
      </c>
      <c r="I9" s="7">
        <f t="shared" si="1"/>
        <v>85.106382978723403</v>
      </c>
      <c r="J9" s="7">
        <f t="shared" si="1"/>
        <v>83.333333333333343</v>
      </c>
    </row>
    <row r="10" spans="1:10" x14ac:dyDescent="0.3">
      <c r="A10" s="6">
        <v>2</v>
      </c>
      <c r="B10" s="14">
        <f t="shared" si="1"/>
        <v>100</v>
      </c>
      <c r="C10" s="7">
        <f t="shared" si="1"/>
        <v>95.181439619274244</v>
      </c>
      <c r="D10" s="7">
        <f t="shared" si="1"/>
        <v>90.702947845804985</v>
      </c>
      <c r="E10" s="7">
        <f t="shared" si="1"/>
        <v>86.53326122228232</v>
      </c>
      <c r="F10" s="7">
        <f t="shared" si="1"/>
        <v>82.644628099173545</v>
      </c>
      <c r="G10" s="7">
        <f t="shared" si="1"/>
        <v>79.012345679012341</v>
      </c>
      <c r="H10" s="7">
        <f t="shared" si="1"/>
        <v>75.61436672967865</v>
      </c>
      <c r="I10" s="7">
        <f t="shared" si="1"/>
        <v>72.430964237211398</v>
      </c>
      <c r="J10" s="7">
        <f t="shared" si="1"/>
        <v>69.444444444444443</v>
      </c>
    </row>
    <row r="11" spans="1:10" x14ac:dyDescent="0.3">
      <c r="A11" s="6">
        <v>3</v>
      </c>
      <c r="B11" s="14">
        <f t="shared" si="1"/>
        <v>100</v>
      </c>
      <c r="C11" s="7">
        <f t="shared" si="1"/>
        <v>92.859941091974875</v>
      </c>
      <c r="D11" s="7">
        <f t="shared" si="1"/>
        <v>86.383759853147595</v>
      </c>
      <c r="E11" s="7">
        <f t="shared" si="1"/>
        <v>80.496056950960309</v>
      </c>
      <c r="F11" s="7">
        <f t="shared" si="1"/>
        <v>75.131480090157751</v>
      </c>
      <c r="G11" s="7">
        <f t="shared" si="1"/>
        <v>70.233196159122087</v>
      </c>
      <c r="H11" s="7">
        <f t="shared" si="1"/>
        <v>65.751623243198836</v>
      </c>
      <c r="I11" s="7">
        <f t="shared" si="1"/>
        <v>61.643373818903314</v>
      </c>
      <c r="J11" s="7">
        <f t="shared" si="1"/>
        <v>57.870370370370374</v>
      </c>
    </row>
    <row r="12" spans="1:10" x14ac:dyDescent="0.3">
      <c r="A12" s="6">
        <v>4</v>
      </c>
      <c r="B12" s="14">
        <f t="shared" si="1"/>
        <v>100</v>
      </c>
      <c r="C12" s="7">
        <f t="shared" si="1"/>
        <v>90.595064479975505</v>
      </c>
      <c r="D12" s="7">
        <f t="shared" si="1"/>
        <v>82.2702474791882</v>
      </c>
      <c r="E12" s="7">
        <f t="shared" si="1"/>
        <v>74.88005297763749</v>
      </c>
      <c r="F12" s="7">
        <f t="shared" si="1"/>
        <v>68.301345536507057</v>
      </c>
      <c r="G12" s="7">
        <f t="shared" si="1"/>
        <v>62.429507696997412</v>
      </c>
      <c r="H12" s="7">
        <f t="shared" si="1"/>
        <v>57.175324559303334</v>
      </c>
      <c r="I12" s="7">
        <f t="shared" si="1"/>
        <v>52.462445803321963</v>
      </c>
      <c r="J12" s="7">
        <f t="shared" si="1"/>
        <v>48.22530864197531</v>
      </c>
    </row>
    <row r="13" spans="1:10" x14ac:dyDescent="0.3">
      <c r="A13" s="6">
        <v>5</v>
      </c>
      <c r="B13" s="14">
        <f t="shared" si="1"/>
        <v>100</v>
      </c>
      <c r="C13" s="7">
        <f t="shared" si="1"/>
        <v>88.385428760951712</v>
      </c>
      <c r="D13" s="7">
        <f t="shared" si="1"/>
        <v>78.352616646845888</v>
      </c>
      <c r="E13" s="7">
        <f t="shared" si="1"/>
        <v>69.655863235011623</v>
      </c>
      <c r="F13" s="7">
        <f t="shared" si="1"/>
        <v>62.092132305915499</v>
      </c>
      <c r="G13" s="7">
        <f t="shared" si="1"/>
        <v>55.492895730664365</v>
      </c>
      <c r="H13" s="7">
        <f t="shared" si="1"/>
        <v>49.717673529828986</v>
      </c>
      <c r="I13" s="7">
        <f t="shared" si="1"/>
        <v>44.648890045380391</v>
      </c>
      <c r="J13" s="7">
        <f t="shared" si="1"/>
        <v>40.187757201646093</v>
      </c>
    </row>
    <row r="14" spans="1:10" x14ac:dyDescent="0.3">
      <c r="A14" s="6">
        <v>6</v>
      </c>
      <c r="B14" s="14">
        <f t="shared" si="1"/>
        <v>100</v>
      </c>
      <c r="C14" s="7">
        <f t="shared" si="1"/>
        <v>86.229686596050456</v>
      </c>
      <c r="D14" s="7">
        <f t="shared" si="1"/>
        <v>74.621539663662773</v>
      </c>
      <c r="E14" s="7">
        <f t="shared" si="1"/>
        <v>64.796151846522449</v>
      </c>
      <c r="F14" s="7">
        <f t="shared" si="1"/>
        <v>56.44739300537772</v>
      </c>
      <c r="G14" s="7">
        <f t="shared" si="1"/>
        <v>49.327018427257215</v>
      </c>
      <c r="H14" s="7">
        <f t="shared" si="1"/>
        <v>43.232759591155649</v>
      </c>
      <c r="I14" s="7">
        <f t="shared" si="1"/>
        <v>37.999055357770537</v>
      </c>
      <c r="J14" s="7">
        <f t="shared" si="1"/>
        <v>33.489797668038413</v>
      </c>
    </row>
    <row r="15" spans="1:10" x14ac:dyDescent="0.3">
      <c r="A15" s="6">
        <v>7</v>
      </c>
      <c r="B15" s="14">
        <f t="shared" si="1"/>
        <v>100</v>
      </c>
      <c r="C15" s="7">
        <f t="shared" si="1"/>
        <v>84.126523508341904</v>
      </c>
      <c r="D15" s="7">
        <f t="shared" si="1"/>
        <v>71.068133013012144</v>
      </c>
      <c r="E15" s="7">
        <f t="shared" si="1"/>
        <v>60.275490089788313</v>
      </c>
      <c r="F15" s="7">
        <f t="shared" si="1"/>
        <v>51.315811823070646</v>
      </c>
      <c r="G15" s="7">
        <f t="shared" si="1"/>
        <v>43.846238602006409</v>
      </c>
      <c r="H15" s="7">
        <f t="shared" si="1"/>
        <v>37.593703992309266</v>
      </c>
      <c r="I15" s="7">
        <f t="shared" si="1"/>
        <v>32.33962158108131</v>
      </c>
      <c r="J15" s="7">
        <f t="shared" si="1"/>
        <v>27.908164723365342</v>
      </c>
    </row>
    <row r="16" spans="1:10" x14ac:dyDescent="0.3">
      <c r="A16" s="6">
        <v>8</v>
      </c>
      <c r="B16" s="14">
        <f t="shared" si="1"/>
        <v>100</v>
      </c>
      <c r="C16" s="7">
        <f t="shared" si="1"/>
        <v>82.074657081309184</v>
      </c>
      <c r="D16" s="7">
        <f t="shared" si="1"/>
        <v>67.683936202868722</v>
      </c>
      <c r="E16" s="7">
        <f t="shared" si="1"/>
        <v>56.070223339337971</v>
      </c>
      <c r="F16" s="7">
        <f t="shared" si="1"/>
        <v>46.650738020973314</v>
      </c>
      <c r="G16" s="7">
        <f t="shared" si="1"/>
        <v>38.974434312894587</v>
      </c>
      <c r="H16" s="7">
        <f t="shared" si="1"/>
        <v>32.690177384616753</v>
      </c>
      <c r="I16" s="7">
        <f t="shared" si="1"/>
        <v>27.523082196664941</v>
      </c>
      <c r="J16" s="7">
        <f t="shared" si="1"/>
        <v>23.256803936137786</v>
      </c>
    </row>
    <row r="17" spans="1:10" x14ac:dyDescent="0.3">
      <c r="A17" s="6">
        <v>9</v>
      </c>
      <c r="B17" s="14">
        <f t="shared" si="1"/>
        <v>100</v>
      </c>
      <c r="C17" s="7">
        <f t="shared" si="1"/>
        <v>80.072836176887023</v>
      </c>
      <c r="D17" s="7">
        <f t="shared" si="1"/>
        <v>64.460891621779723</v>
      </c>
      <c r="E17" s="7">
        <f t="shared" si="1"/>
        <v>52.158347292407413</v>
      </c>
      <c r="F17" s="7">
        <f t="shared" si="1"/>
        <v>42.409761837248467</v>
      </c>
      <c r="G17" s="7">
        <f t="shared" si="1"/>
        <v>34.643941611461855</v>
      </c>
      <c r="H17" s="7">
        <f t="shared" si="1"/>
        <v>28.426241204014573</v>
      </c>
      <c r="I17" s="7">
        <f t="shared" si="1"/>
        <v>23.423899741842504</v>
      </c>
      <c r="J17" s="7">
        <f t="shared" si="1"/>
        <v>19.380669946781488</v>
      </c>
    </row>
    <row r="18" spans="1:10" x14ac:dyDescent="0.3">
      <c r="A18" s="6">
        <v>10</v>
      </c>
      <c r="B18" s="14">
        <f t="shared" si="1"/>
        <v>100</v>
      </c>
      <c r="C18" s="7">
        <f t="shared" si="1"/>
        <v>78.119840172572708</v>
      </c>
      <c r="D18" s="7">
        <f t="shared" si="1"/>
        <v>61.391325354075931</v>
      </c>
      <c r="E18" s="7">
        <f t="shared" si="1"/>
        <v>48.519392830146444</v>
      </c>
      <c r="F18" s="7">
        <f t="shared" si="1"/>
        <v>38.554328942953148</v>
      </c>
      <c r="G18" s="7">
        <f t="shared" si="1"/>
        <v>30.794614765743873</v>
      </c>
      <c r="H18" s="7">
        <f t="shared" si="1"/>
        <v>24.718470612186586</v>
      </c>
      <c r="I18" s="7">
        <f t="shared" si="1"/>
        <v>19.93523382284468</v>
      </c>
      <c r="J18" s="7">
        <f t="shared" si="1"/>
        <v>16.150558288984573</v>
      </c>
    </row>
  </sheetData>
  <phoneticPr fontId="0" type="noConversion"/>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BDAB0-BE38-4BBE-B5FD-504628208BF0}">
  <sheetPr codeName="Sheet22">
    <tabColor rgb="FF3333FF"/>
  </sheetPr>
  <dimension ref="A1:E13"/>
  <sheetViews>
    <sheetView zoomScale="115" zoomScaleNormal="115" workbookViewId="0">
      <selection activeCell="B6" sqref="B6"/>
    </sheetView>
  </sheetViews>
  <sheetFormatPr defaultRowHeight="14.4" x14ac:dyDescent="0.3"/>
  <cols>
    <col min="1" max="1" width="20.88671875" bestFit="1" customWidth="1"/>
    <col min="2" max="4" width="18.88671875" customWidth="1"/>
  </cols>
  <sheetData>
    <row r="1" spans="1:5" ht="57.6" x14ac:dyDescent="0.3">
      <c r="A1" s="3" t="str">
        <f>"If you want to buy a "&amp;DOLLAR(B5)&amp;" C &amp; C Router Machine to improve manufacturing efficiency and you can invest "&amp;DOLLAR(B2)&amp;" today for the next "&amp;B4&amp;" years (compounding "&amp;B3&amp;" times a year), what annual interest rate (APR) do you need to find (be careful about periods) so that you can afford the machine? (Assume the "&amp;DOLLAR(B5)&amp;" is the price in the future)."</f>
        <v>If you want to buy a $350,000.00 C &amp; C Router Machine to improve manufacturing efficiency and you can invest $250,000.00 today for the next 5 years (compounding 2 times a year), what annual interest rate (APR) do you need to find (be careful about periods) so that you can afford the machine? (Assume the $350,000.00 is the price in the future).</v>
      </c>
      <c r="B1" s="3"/>
      <c r="C1" s="3"/>
      <c r="D1" s="3"/>
    </row>
    <row r="2" spans="1:5" x14ac:dyDescent="0.3">
      <c r="A2" s="6" t="s">
        <v>3</v>
      </c>
      <c r="B2" s="9">
        <v>250000</v>
      </c>
    </row>
    <row r="3" spans="1:5" x14ac:dyDescent="0.3">
      <c r="A3" s="6" t="s">
        <v>52</v>
      </c>
      <c r="B3" s="6">
        <v>2</v>
      </c>
    </row>
    <row r="4" spans="1:5" x14ac:dyDescent="0.3">
      <c r="A4" s="6" t="s">
        <v>56</v>
      </c>
      <c r="B4" s="6">
        <v>5</v>
      </c>
    </row>
    <row r="5" spans="1:5" x14ac:dyDescent="0.3">
      <c r="A5" s="6" t="s">
        <v>53</v>
      </c>
      <c r="B5" s="9">
        <v>350000</v>
      </c>
    </row>
    <row r="6" spans="1:5" x14ac:dyDescent="0.3">
      <c r="A6" s="6" t="s">
        <v>57</v>
      </c>
      <c r="B6" s="25"/>
    </row>
    <row r="7" spans="1:5" x14ac:dyDescent="0.3">
      <c r="A7" s="6" t="s">
        <v>51</v>
      </c>
      <c r="B7" s="26"/>
    </row>
    <row r="8" spans="1:5" x14ac:dyDescent="0.3">
      <c r="A8" s="6" t="s">
        <v>46</v>
      </c>
      <c r="B8" s="11"/>
      <c r="C8" s="11"/>
      <c r="D8" s="11"/>
      <c r="E8" s="11"/>
    </row>
    <row r="10" spans="1:5" x14ac:dyDescent="0.3">
      <c r="A10" s="6" t="s">
        <v>59</v>
      </c>
      <c r="B10" s="16">
        <f>B5/B2</f>
        <v>1.4</v>
      </c>
    </row>
    <row r="11" spans="1:5" x14ac:dyDescent="0.3">
      <c r="A11" s="6" t="str">
        <f>A10&amp;"^(1/(n*x))"</f>
        <v>FV/PV^(1/(n*x))</v>
      </c>
      <c r="B11" s="16">
        <f>B10^(1/(B3*B4))</f>
        <v>1.0342196941293802</v>
      </c>
    </row>
    <row r="12" spans="1:5" x14ac:dyDescent="0.3">
      <c r="A12" s="6" t="str">
        <f>A11&amp;"-1"</f>
        <v>FV/PV^(1/(n*x))-1</v>
      </c>
      <c r="B12" s="16">
        <f>B11-1</f>
        <v>3.4219694129380196E-2</v>
      </c>
      <c r="C12" s="6" t="s">
        <v>63</v>
      </c>
    </row>
    <row r="13" spans="1:5" x14ac:dyDescent="0.3">
      <c r="A13" s="6" t="str">
        <f>B12&amp;"*"&amp;B3</f>
        <v>0.0342196941293802*2</v>
      </c>
      <c r="B13" s="16">
        <f>B12*B3</f>
        <v>6.8439388258760392E-2</v>
      </c>
      <c r="C13" s="6" t="s">
        <v>62</v>
      </c>
    </row>
  </sheetData>
  <phoneticPr fontId="0"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C5809-B4FC-4721-935A-36A632849B2A}">
  <sheetPr codeName="Sheet25">
    <tabColor rgb="FFFF0000"/>
  </sheetPr>
  <dimension ref="A1:E13"/>
  <sheetViews>
    <sheetView zoomScale="115" zoomScaleNormal="115" workbookViewId="0">
      <selection activeCell="B7" sqref="B7"/>
    </sheetView>
  </sheetViews>
  <sheetFormatPr defaultRowHeight="14.4" x14ac:dyDescent="0.3"/>
  <cols>
    <col min="1" max="1" width="20.88671875" bestFit="1" customWidth="1"/>
    <col min="2" max="4" width="18.88671875" customWidth="1"/>
  </cols>
  <sheetData>
    <row r="1" spans="1:5" ht="57.6" x14ac:dyDescent="0.3">
      <c r="A1" s="3" t="str">
        <f>"If you want to buy a "&amp;DOLLAR(B5)&amp;" C &amp; C Router Machine to improve manufacturing efficiency and you can invest "&amp;DOLLAR(B2)&amp;" today for the next "&amp;B4&amp;" years (compounding "&amp;B3&amp;" times a year), what annual interest rate (APR) do you need to find (be careful about periods) so that you can afford the machine? (Assume the "&amp;DOLLAR(B5)&amp;" is the price in the future)."</f>
        <v>If you want to buy a $350,000.00 C &amp; C Router Machine to improve manufacturing efficiency and you can invest $250,000.00 today for the next 5 years (compounding 2 times a year), what annual interest rate (APR) do you need to find (be careful about periods) so that you can afford the machine? (Assume the $350,000.00 is the price in the future).</v>
      </c>
      <c r="B1" s="3"/>
      <c r="C1" s="3"/>
      <c r="D1" s="3"/>
    </row>
    <row r="2" spans="1:5" x14ac:dyDescent="0.3">
      <c r="A2" s="6" t="s">
        <v>3</v>
      </c>
      <c r="B2" s="9">
        <v>250000</v>
      </c>
    </row>
    <row r="3" spans="1:5" x14ac:dyDescent="0.3">
      <c r="A3" s="6" t="s">
        <v>52</v>
      </c>
      <c r="B3" s="6">
        <v>2</v>
      </c>
    </row>
    <row r="4" spans="1:5" x14ac:dyDescent="0.3">
      <c r="A4" s="6" t="s">
        <v>56</v>
      </c>
      <c r="B4" s="6">
        <v>5</v>
      </c>
    </row>
    <row r="5" spans="1:5" x14ac:dyDescent="0.3">
      <c r="A5" s="6" t="s">
        <v>53</v>
      </c>
      <c r="B5" s="9">
        <v>350000</v>
      </c>
    </row>
    <row r="6" spans="1:5" x14ac:dyDescent="0.3">
      <c r="A6" s="6" t="s">
        <v>57</v>
      </c>
      <c r="B6" s="25">
        <f>RATE(B4*B3,,-B2,B5)</f>
        <v>3.4219694129380196E-2</v>
      </c>
    </row>
    <row r="7" spans="1:5" x14ac:dyDescent="0.3">
      <c r="A7" s="6" t="s">
        <v>51</v>
      </c>
      <c r="B7" s="26">
        <f>B6*B3</f>
        <v>6.8439388258760392E-2</v>
      </c>
    </row>
    <row r="8" spans="1:5" ht="57.6" x14ac:dyDescent="0.3">
      <c r="A8" s="6" t="s">
        <v>46</v>
      </c>
      <c r="B8" s="11" t="str">
        <f>"If you want to buy a "&amp;DOLLAR(B5)&amp;" C &amp; C Router Machine to improve manufacturing efficiency and you can invest "&amp;DOLLAR(B2)&amp;" today for the next "&amp;B4&amp;" years (compounding "&amp;B3&amp;" times a year), the annual interest rate (APR) you need to find is "&amp;TEXT(B7,"0.00%")&amp;"."</f>
        <v>If you want to buy a $350,000.00 C &amp; C Router Machine to improve manufacturing efficiency and you can invest $250,000.00 today for the next 5 years (compounding 2 times a year), the annual interest rate (APR) you need to find is 6.84%.</v>
      </c>
      <c r="C8" s="11"/>
      <c r="D8" s="11"/>
      <c r="E8" s="11"/>
    </row>
    <row r="10" spans="1:5" x14ac:dyDescent="0.3">
      <c r="A10" s="6" t="s">
        <v>59</v>
      </c>
      <c r="B10" s="16">
        <f>B5/B2</f>
        <v>1.4</v>
      </c>
    </row>
    <row r="11" spans="1:5" x14ac:dyDescent="0.3">
      <c r="A11" s="6" t="str">
        <f>A10&amp;"^(1/(n*x))"</f>
        <v>FV/PV^(1/(n*x))</v>
      </c>
      <c r="B11" s="16">
        <f>B10^(1/(B3*B4))</f>
        <v>1.0342196941293802</v>
      </c>
    </row>
    <row r="12" spans="1:5" x14ac:dyDescent="0.3">
      <c r="A12" s="6" t="str">
        <f>A11&amp;"-1"</f>
        <v>FV/PV^(1/(n*x))-1</v>
      </c>
      <c r="B12" s="16">
        <f>B11-1</f>
        <v>3.4219694129380196E-2</v>
      </c>
      <c r="C12" s="6" t="s">
        <v>63</v>
      </c>
    </row>
    <row r="13" spans="1:5" x14ac:dyDescent="0.3">
      <c r="A13" s="6" t="str">
        <f>B12&amp;"*"&amp;B3</f>
        <v>0.0342196941293802*2</v>
      </c>
      <c r="B13" s="16">
        <f>B12*B3</f>
        <v>6.8439388258760392E-2</v>
      </c>
      <c r="C13" s="6" t="s">
        <v>62</v>
      </c>
    </row>
  </sheetData>
  <phoneticPr fontId="0"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52DEB-5921-4B7A-888D-87821F18FF87}">
  <sheetPr codeName="Sheet27">
    <tabColor rgb="FF0000FF"/>
  </sheetPr>
  <dimension ref="A1:J12"/>
  <sheetViews>
    <sheetView tabSelected="1" zoomScale="130" zoomScaleNormal="130" workbookViewId="0">
      <selection activeCell="B6" sqref="B6"/>
    </sheetView>
  </sheetViews>
  <sheetFormatPr defaultRowHeight="14.4" x14ac:dyDescent="0.3"/>
  <cols>
    <col min="1" max="1" width="31.44140625" bestFit="1" customWidth="1"/>
    <col min="2" max="2" width="13.21875" bestFit="1" customWidth="1"/>
    <col min="4" max="4" width="11" bestFit="1" customWidth="1"/>
  </cols>
  <sheetData>
    <row r="1" spans="1:10" ht="28.8" x14ac:dyDescent="0.3">
      <c r="A1" s="66" t="s">
        <v>169</v>
      </c>
      <c r="B1" s="66"/>
    </row>
    <row r="2" spans="1:10" x14ac:dyDescent="0.3">
      <c r="A2" s="6" t="s">
        <v>3</v>
      </c>
      <c r="B2" s="7">
        <v>1000</v>
      </c>
    </row>
    <row r="3" spans="1:10" x14ac:dyDescent="0.3">
      <c r="A3" s="6" t="s">
        <v>53</v>
      </c>
      <c r="B3" s="7">
        <v>2000</v>
      </c>
    </row>
    <row r="4" spans="1:10" x14ac:dyDescent="0.3">
      <c r="A4" s="6" t="s">
        <v>52</v>
      </c>
      <c r="B4" s="6">
        <v>12</v>
      </c>
    </row>
    <row r="5" spans="1:10" x14ac:dyDescent="0.3">
      <c r="A5" s="6" t="s">
        <v>56</v>
      </c>
      <c r="B5" s="6">
        <v>5</v>
      </c>
    </row>
    <row r="6" spans="1:10" x14ac:dyDescent="0.3">
      <c r="A6" s="6" t="s">
        <v>76</v>
      </c>
      <c r="B6" s="30"/>
    </row>
    <row r="7" spans="1:10" ht="28.8" x14ac:dyDescent="0.3">
      <c r="A7" s="6" t="s">
        <v>78</v>
      </c>
      <c r="B7" s="38"/>
      <c r="C7" s="66" t="s">
        <v>170</v>
      </c>
      <c r="D7" s="66"/>
      <c r="E7" s="66"/>
      <c r="F7" s="66"/>
      <c r="G7" s="66"/>
      <c r="H7" s="66"/>
      <c r="I7" s="66"/>
      <c r="J7" s="66"/>
    </row>
    <row r="8" spans="1:10" ht="28.8" x14ac:dyDescent="0.3">
      <c r="A8" s="6" t="s">
        <v>96</v>
      </c>
      <c r="B8" s="37"/>
      <c r="C8" s="66" t="s">
        <v>171</v>
      </c>
      <c r="D8" s="66"/>
      <c r="E8" s="66"/>
      <c r="F8" s="66"/>
      <c r="G8" s="66"/>
      <c r="H8" s="66"/>
      <c r="I8" s="66"/>
      <c r="J8" s="66"/>
    </row>
    <row r="9" spans="1:10" x14ac:dyDescent="0.3">
      <c r="A9" s="6" t="s">
        <v>172</v>
      </c>
      <c r="B9" s="30"/>
    </row>
    <row r="10" spans="1:10" x14ac:dyDescent="0.3">
      <c r="A10" s="6" t="s">
        <v>168</v>
      </c>
      <c r="B10" s="32"/>
    </row>
    <row r="11" spans="1:10" x14ac:dyDescent="0.3">
      <c r="A11" s="6" t="s">
        <v>77</v>
      </c>
      <c r="B11" s="30"/>
    </row>
    <row r="12" spans="1:10" x14ac:dyDescent="0.3">
      <c r="A12" s="6" t="s">
        <v>79</v>
      </c>
      <c r="B12" s="28"/>
      <c r="C12" t="s">
        <v>80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C5FE8-D4F8-4A92-A9DC-10799C75D121}">
  <sheetPr codeName="Sheet28">
    <tabColor rgb="FFFF0000"/>
  </sheetPr>
  <dimension ref="A1:J12"/>
  <sheetViews>
    <sheetView zoomScale="115" zoomScaleNormal="115" workbookViewId="0">
      <selection activeCell="B6" sqref="B6"/>
    </sheetView>
  </sheetViews>
  <sheetFormatPr defaultRowHeight="14.4" x14ac:dyDescent="0.3"/>
  <cols>
    <col min="1" max="1" width="30.77734375" bestFit="1" customWidth="1"/>
    <col min="2" max="2" width="9.88671875" bestFit="1" customWidth="1"/>
    <col min="4" max="4" width="10.6640625" bestFit="1" customWidth="1"/>
  </cols>
  <sheetData>
    <row r="1" spans="1:10" ht="28.8" x14ac:dyDescent="0.3">
      <c r="A1" s="66" t="s">
        <v>169</v>
      </c>
      <c r="B1" s="66"/>
    </row>
    <row r="2" spans="1:10" x14ac:dyDescent="0.3">
      <c r="A2" s="6" t="s">
        <v>3</v>
      </c>
      <c r="B2" s="7">
        <v>1000</v>
      </c>
    </row>
    <row r="3" spans="1:10" x14ac:dyDescent="0.3">
      <c r="A3" s="6" t="s">
        <v>53</v>
      </c>
      <c r="B3" s="7">
        <v>2000</v>
      </c>
    </row>
    <row r="4" spans="1:10" x14ac:dyDescent="0.3">
      <c r="A4" s="6" t="s">
        <v>52</v>
      </c>
      <c r="B4" s="6">
        <v>12</v>
      </c>
    </row>
    <row r="5" spans="1:10" x14ac:dyDescent="0.3">
      <c r="A5" s="6" t="s">
        <v>56</v>
      </c>
      <c r="B5" s="6">
        <v>5</v>
      </c>
    </row>
    <row r="6" spans="1:10" x14ac:dyDescent="0.3">
      <c r="A6" s="6" t="s">
        <v>76</v>
      </c>
      <c r="B6" s="30">
        <f>B4*B5</f>
        <v>60</v>
      </c>
    </row>
    <row r="7" spans="1:10" ht="28.8" x14ac:dyDescent="0.3">
      <c r="A7" s="6" t="s">
        <v>78</v>
      </c>
      <c r="B7" s="38">
        <f>72/B6</f>
        <v>1.2</v>
      </c>
      <c r="C7" s="66" t="str">
        <f>"Notice that this is the number "&amp;B7&amp;" not "&amp;B7/100&amp;". To get an estimate of the real rate (using the Rule of 72), you would have to divide the result by 100."</f>
        <v>Notice that this is the number 1.2 not 0.012. To get an estimate of the real rate (using the Rule of 72), you would have to divide the result by 100.</v>
      </c>
      <c r="D7" s="66"/>
      <c r="E7" s="66"/>
      <c r="F7" s="66"/>
      <c r="G7" s="66"/>
      <c r="H7" s="66"/>
      <c r="I7" s="66"/>
      <c r="J7" s="66"/>
    </row>
    <row r="8" spans="1:10" ht="28.8" x14ac:dyDescent="0.3">
      <c r="A8" s="6" t="s">
        <v>96</v>
      </c>
      <c r="B8" s="37">
        <f>B7*B4</f>
        <v>14.399999999999999</v>
      </c>
      <c r="C8" s="66" t="str">
        <f>"Notice that this is the number "&amp;B8&amp;" not "&amp;B8/100&amp;". To get an estimate of the real rate (using the Rule of 72), you would have to divide the result by 100."</f>
        <v>Notice that this is the number 14.4 not 0.144. To get an estimate of the real rate (using the Rule of 72), you would have to divide the result by 100.</v>
      </c>
      <c r="D8" s="66"/>
      <c r="E8" s="66"/>
      <c r="F8" s="66"/>
      <c r="G8" s="66"/>
      <c r="H8" s="66"/>
      <c r="I8" s="66"/>
      <c r="J8" s="66"/>
    </row>
    <row r="9" spans="1:10" x14ac:dyDescent="0.3">
      <c r="A9" s="6" t="s">
        <v>172</v>
      </c>
      <c r="B9" s="30">
        <f>B8/100</f>
        <v>0.14399999999999999</v>
      </c>
    </row>
    <row r="10" spans="1:10" x14ac:dyDescent="0.3">
      <c r="A10" s="6" t="s">
        <v>168</v>
      </c>
      <c r="B10" s="32">
        <f>RATE(B6,,-B2,B3)*B4</f>
        <v>0.13943328362339791</v>
      </c>
    </row>
    <row r="11" spans="1:10" x14ac:dyDescent="0.3">
      <c r="A11" s="6" t="s">
        <v>77</v>
      </c>
      <c r="B11" s="30"/>
    </row>
    <row r="12" spans="1:10" x14ac:dyDescent="0.3">
      <c r="A12" s="6" t="s">
        <v>79</v>
      </c>
      <c r="B12" s="28">
        <f>FV(B7/100,B6,,-B2)</f>
        <v>2045.6472680649083</v>
      </c>
      <c r="C12" t="s">
        <v>80</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7320B-AE78-4361-B2DA-8796E0D84508}">
  <sheetPr codeName="Sheet30">
    <tabColor rgb="FF0066FF"/>
  </sheetPr>
  <dimension ref="A1:C11"/>
  <sheetViews>
    <sheetView zoomScale="130" zoomScaleNormal="130" workbookViewId="0">
      <selection activeCell="B11" sqref="B11"/>
    </sheetView>
  </sheetViews>
  <sheetFormatPr defaultRowHeight="14.4" x14ac:dyDescent="0.3"/>
  <cols>
    <col min="1" max="1" width="32.6640625" bestFit="1" customWidth="1"/>
    <col min="2" max="2" width="11.6640625" bestFit="1" customWidth="1"/>
    <col min="3" max="3" width="10.5546875" bestFit="1" customWidth="1"/>
    <col min="4" max="4" width="11.5546875" bestFit="1" customWidth="1"/>
    <col min="5" max="8" width="18" customWidth="1"/>
  </cols>
  <sheetData>
    <row r="1" spans="1:3" x14ac:dyDescent="0.3">
      <c r="A1" s="66" t="s">
        <v>120</v>
      </c>
      <c r="B1" s="66"/>
      <c r="C1" s="66"/>
    </row>
    <row r="2" spans="1:3" x14ac:dyDescent="0.3">
      <c r="A2" s="6" t="s">
        <v>119</v>
      </c>
      <c r="B2" s="6">
        <v>36</v>
      </c>
      <c r="C2" s="6" t="s">
        <v>61</v>
      </c>
    </row>
    <row r="3" spans="1:3" x14ac:dyDescent="0.3">
      <c r="A3" s="6" t="s">
        <v>116</v>
      </c>
      <c r="B3" s="6" t="s">
        <v>52</v>
      </c>
      <c r="C3" s="6">
        <v>2</v>
      </c>
    </row>
    <row r="4" spans="1:3" x14ac:dyDescent="0.3">
      <c r="A4" s="6" t="s">
        <v>118</v>
      </c>
      <c r="B4" s="6" t="s">
        <v>3</v>
      </c>
      <c r="C4" s="48">
        <v>72500</v>
      </c>
    </row>
    <row r="5" spans="1:3" x14ac:dyDescent="0.3">
      <c r="A5" s="6" t="s">
        <v>114</v>
      </c>
      <c r="B5" s="6" t="s">
        <v>53</v>
      </c>
      <c r="C5" s="48">
        <v>100000</v>
      </c>
    </row>
    <row r="6" spans="1:3" x14ac:dyDescent="0.3">
      <c r="A6" s="6" t="s">
        <v>86</v>
      </c>
      <c r="B6" s="6" t="s">
        <v>56</v>
      </c>
      <c r="C6" s="30"/>
    </row>
    <row r="7" spans="1:3" x14ac:dyDescent="0.3">
      <c r="A7" s="6" t="s">
        <v>117</v>
      </c>
      <c r="B7" s="6" t="s">
        <v>76</v>
      </c>
      <c r="C7" s="30"/>
    </row>
    <row r="8" spans="1:3" x14ac:dyDescent="0.3">
      <c r="A8" s="6" t="s">
        <v>87</v>
      </c>
      <c r="B8" s="6" t="s">
        <v>51</v>
      </c>
      <c r="C8" s="51"/>
    </row>
    <row r="9" spans="1:3" x14ac:dyDescent="0.3">
      <c r="A9" s="6" t="s">
        <v>115</v>
      </c>
      <c r="B9" s="6" t="s">
        <v>57</v>
      </c>
      <c r="C9" s="51"/>
    </row>
    <row r="11" spans="1:3" x14ac:dyDescent="0.3">
      <c r="A11" s="6" t="s">
        <v>121</v>
      </c>
      <c r="B11" s="28"/>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48D87-60E1-4D2F-AC8C-7CE737208919}">
  <sheetPr codeName="Sheet33">
    <tabColor rgb="FFFF0000"/>
  </sheetPr>
  <dimension ref="A1:C11"/>
  <sheetViews>
    <sheetView zoomScale="130" zoomScaleNormal="130" workbookViewId="0">
      <selection activeCell="C8" sqref="C8"/>
    </sheetView>
  </sheetViews>
  <sheetFormatPr defaultRowHeight="14.4" x14ac:dyDescent="0.3"/>
  <cols>
    <col min="1" max="1" width="32.6640625" bestFit="1" customWidth="1"/>
    <col min="2" max="2" width="11.6640625" bestFit="1" customWidth="1"/>
    <col min="3" max="3" width="10.109375" bestFit="1" customWidth="1"/>
    <col min="4" max="5" width="11.5546875" bestFit="1" customWidth="1"/>
    <col min="6" max="6" width="6.88671875" bestFit="1" customWidth="1"/>
    <col min="7" max="7" width="11.88671875" bestFit="1" customWidth="1"/>
  </cols>
  <sheetData>
    <row r="1" spans="1:3" x14ac:dyDescent="0.3">
      <c r="A1" s="66" t="s">
        <v>120</v>
      </c>
      <c r="B1" s="66"/>
      <c r="C1" s="66"/>
    </row>
    <row r="2" spans="1:3" x14ac:dyDescent="0.3">
      <c r="A2" s="6" t="s">
        <v>119</v>
      </c>
      <c r="B2" s="6">
        <v>36</v>
      </c>
      <c r="C2" s="6" t="s">
        <v>61</v>
      </c>
    </row>
    <row r="3" spans="1:3" x14ac:dyDescent="0.3">
      <c r="A3" s="6" t="s">
        <v>116</v>
      </c>
      <c r="B3" s="6" t="s">
        <v>52</v>
      </c>
      <c r="C3" s="6">
        <v>2</v>
      </c>
    </row>
    <row r="4" spans="1:3" x14ac:dyDescent="0.3">
      <c r="A4" s="6" t="s">
        <v>118</v>
      </c>
      <c r="B4" s="6" t="s">
        <v>3</v>
      </c>
      <c r="C4" s="48">
        <v>72500</v>
      </c>
    </row>
    <row r="5" spans="1:3" x14ac:dyDescent="0.3">
      <c r="A5" s="6" t="s">
        <v>114</v>
      </c>
      <c r="B5" s="6" t="s">
        <v>53</v>
      </c>
      <c r="C5" s="48">
        <v>100000</v>
      </c>
    </row>
    <row r="6" spans="1:3" x14ac:dyDescent="0.3">
      <c r="A6" s="6" t="s">
        <v>86</v>
      </c>
      <c r="B6" s="6" t="s">
        <v>56</v>
      </c>
      <c r="C6" s="30">
        <f>B2/12</f>
        <v>3</v>
      </c>
    </row>
    <row r="7" spans="1:3" x14ac:dyDescent="0.3">
      <c r="A7" s="6" t="s">
        <v>117</v>
      </c>
      <c r="B7" s="6" t="s">
        <v>76</v>
      </c>
      <c r="C7" s="30">
        <f>C6*C3</f>
        <v>6</v>
      </c>
    </row>
    <row r="8" spans="1:3" x14ac:dyDescent="0.3">
      <c r="A8" s="6" t="s">
        <v>87</v>
      </c>
      <c r="B8" s="6" t="s">
        <v>51</v>
      </c>
      <c r="C8" s="51">
        <f>C9*C3</f>
        <v>0.11011922630180079</v>
      </c>
    </row>
    <row r="9" spans="1:3" x14ac:dyDescent="0.3">
      <c r="A9" s="6" t="s">
        <v>115</v>
      </c>
      <c r="B9" s="6" t="s">
        <v>57</v>
      </c>
      <c r="C9" s="51">
        <f>RATE(C7,,-C4,C5)</f>
        <v>5.5059613150900397E-2</v>
      </c>
    </row>
    <row r="11" spans="1:3" x14ac:dyDescent="0.3">
      <c r="A11" s="6" t="s">
        <v>121</v>
      </c>
      <c r="B11" s="28">
        <f>FV(C9,C7,,-C4)</f>
        <v>100000.00000003343</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1FD83-8068-4320-AF05-D858DD00C356}">
  <sheetPr codeName="Sheet34">
    <tabColor rgb="FF0000FF"/>
  </sheetPr>
  <dimension ref="A1:E19"/>
  <sheetViews>
    <sheetView zoomScale="115" zoomScaleNormal="115" workbookViewId="0">
      <selection activeCell="B7" sqref="B7:B9"/>
    </sheetView>
  </sheetViews>
  <sheetFormatPr defaultRowHeight="14.4" x14ac:dyDescent="0.3"/>
  <cols>
    <col min="1" max="1" width="37.88671875" bestFit="1" customWidth="1"/>
    <col min="2" max="2" width="28.21875" customWidth="1"/>
    <col min="5" max="5" width="12.5546875" bestFit="1" customWidth="1"/>
  </cols>
  <sheetData>
    <row r="1" spans="1:5" ht="28.8" x14ac:dyDescent="0.3">
      <c r="A1" s="66" t="s">
        <v>173</v>
      </c>
      <c r="B1" s="66"/>
    </row>
    <row r="2" spans="1:5" x14ac:dyDescent="0.3">
      <c r="A2" s="6" t="s">
        <v>35</v>
      </c>
      <c r="B2" s="71">
        <v>-250000</v>
      </c>
    </row>
    <row r="3" spans="1:5" x14ac:dyDescent="0.3">
      <c r="A3" s="6" t="s">
        <v>36</v>
      </c>
      <c r="B3" s="10">
        <v>5.5E-2</v>
      </c>
    </row>
    <row r="4" spans="1:5" x14ac:dyDescent="0.3">
      <c r="A4" s="6" t="s">
        <v>38</v>
      </c>
      <c r="B4" s="6">
        <v>2</v>
      </c>
    </row>
    <row r="5" spans="1:5" x14ac:dyDescent="0.3">
      <c r="A5" s="6" t="s">
        <v>37</v>
      </c>
      <c r="B5" s="6">
        <v>15</v>
      </c>
    </row>
    <row r="6" spans="1:5" x14ac:dyDescent="0.3">
      <c r="A6" s="6" t="s">
        <v>39</v>
      </c>
      <c r="B6" s="9"/>
    </row>
    <row r="7" spans="1:5" x14ac:dyDescent="0.3">
      <c r="A7" s="6" t="s">
        <v>41</v>
      </c>
      <c r="B7" s="16"/>
    </row>
    <row r="8" spans="1:5" x14ac:dyDescent="0.3">
      <c r="A8" s="6" t="s">
        <v>42</v>
      </c>
      <c r="B8" s="16"/>
      <c r="E8" s="6" t="s">
        <v>121</v>
      </c>
    </row>
    <row r="9" spans="1:5" x14ac:dyDescent="0.3">
      <c r="A9" s="6" t="str">
        <f>$A$6</f>
        <v>Future Value = FV</v>
      </c>
      <c r="B9" s="8"/>
      <c r="E9" s="8">
        <f>-((1+B3/B4)^(B5*B4)*B2)</f>
        <v>564150.43209696375</v>
      </c>
    </row>
    <row r="11" spans="1:5" ht="28.8" x14ac:dyDescent="0.3">
      <c r="A11" s="66" t="s">
        <v>174</v>
      </c>
      <c r="B11" s="66"/>
    </row>
    <row r="12" spans="1:5" x14ac:dyDescent="0.3">
      <c r="A12" s="6" t="s">
        <v>35</v>
      </c>
      <c r="B12" s="9">
        <v>250000</v>
      </c>
    </row>
    <row r="13" spans="1:5" x14ac:dyDescent="0.3">
      <c r="A13" s="6" t="s">
        <v>36</v>
      </c>
      <c r="B13" s="10">
        <v>5.5E-2</v>
      </c>
    </row>
    <row r="14" spans="1:5" x14ac:dyDescent="0.3">
      <c r="A14" s="6" t="s">
        <v>38</v>
      </c>
      <c r="B14" s="6">
        <v>2</v>
      </c>
    </row>
    <row r="15" spans="1:5" x14ac:dyDescent="0.3">
      <c r="A15" s="6" t="s">
        <v>37</v>
      </c>
      <c r="B15" s="6">
        <v>15</v>
      </c>
    </row>
    <row r="16" spans="1:5" x14ac:dyDescent="0.3">
      <c r="A16" s="6" t="s">
        <v>39</v>
      </c>
      <c r="B16" s="9"/>
    </row>
    <row r="17" spans="1:5" x14ac:dyDescent="0.3">
      <c r="A17" s="6" t="s">
        <v>41</v>
      </c>
      <c r="B17" s="16"/>
    </row>
    <row r="18" spans="1:5" x14ac:dyDescent="0.3">
      <c r="A18" s="6" t="s">
        <v>42</v>
      </c>
      <c r="B18" s="16"/>
      <c r="E18" s="6" t="s">
        <v>121</v>
      </c>
    </row>
    <row r="19" spans="1:5" x14ac:dyDescent="0.3">
      <c r="A19" s="6" t="str">
        <f>$A$6</f>
        <v>Future Value = FV</v>
      </c>
      <c r="B19" s="72"/>
      <c r="E19" s="8">
        <f>-((1+B13/B14)^(B15*B14)*B12)</f>
        <v>-564150.43209696375</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270BC-0EBB-4758-9526-FA34178FC856}">
  <sheetPr codeName="Sheet35">
    <tabColor rgb="FFFF0000"/>
  </sheetPr>
  <dimension ref="A1:E19"/>
  <sheetViews>
    <sheetView zoomScale="115" zoomScaleNormal="115" workbookViewId="0">
      <selection activeCell="B19" sqref="B19"/>
    </sheetView>
  </sheetViews>
  <sheetFormatPr defaultRowHeight="14.4" x14ac:dyDescent="0.3"/>
  <cols>
    <col min="1" max="1" width="37.88671875" bestFit="1" customWidth="1"/>
    <col min="2" max="2" width="28.21875" customWidth="1"/>
    <col min="5" max="5" width="12.5546875" bestFit="1" customWidth="1"/>
  </cols>
  <sheetData>
    <row r="1" spans="1:5" ht="28.8" x14ac:dyDescent="0.3">
      <c r="A1" s="66" t="s">
        <v>173</v>
      </c>
      <c r="B1" s="66"/>
    </row>
    <row r="2" spans="1:5" x14ac:dyDescent="0.3">
      <c r="A2" s="6" t="s">
        <v>35</v>
      </c>
      <c r="B2" s="71">
        <v>-250000</v>
      </c>
    </row>
    <row r="3" spans="1:5" x14ac:dyDescent="0.3">
      <c r="A3" s="6" t="s">
        <v>36</v>
      </c>
      <c r="B3" s="10">
        <v>5.5E-2</v>
      </c>
    </row>
    <row r="4" spans="1:5" x14ac:dyDescent="0.3">
      <c r="A4" s="6" t="s">
        <v>38</v>
      </c>
      <c r="B4" s="6">
        <v>2</v>
      </c>
    </row>
    <row r="5" spans="1:5" x14ac:dyDescent="0.3">
      <c r="A5" s="6" t="s">
        <v>37</v>
      </c>
      <c r="B5" s="6">
        <v>15</v>
      </c>
    </row>
    <row r="6" spans="1:5" x14ac:dyDescent="0.3">
      <c r="A6" s="6" t="s">
        <v>39</v>
      </c>
      <c r="B6" s="9"/>
    </row>
    <row r="7" spans="1:5" x14ac:dyDescent="0.3">
      <c r="A7" s="6" t="s">
        <v>41</v>
      </c>
      <c r="B7" s="16">
        <f>B3/B4</f>
        <v>2.75E-2</v>
      </c>
    </row>
    <row r="8" spans="1:5" x14ac:dyDescent="0.3">
      <c r="A8" s="6" t="s">
        <v>42</v>
      </c>
      <c r="B8" s="16">
        <f>B5*B4</f>
        <v>30</v>
      </c>
      <c r="E8" s="6" t="s">
        <v>121</v>
      </c>
    </row>
    <row r="9" spans="1:5" x14ac:dyDescent="0.3">
      <c r="A9" s="6" t="str">
        <f>$A$6</f>
        <v>Future Value = FV</v>
      </c>
      <c r="B9" s="8">
        <f>FV(B7,B8,,B2)</f>
        <v>564150.43209696375</v>
      </c>
      <c r="E9" s="8">
        <f>-((1+B3/B4)^(B5*B4)*B2)</f>
        <v>564150.43209696375</v>
      </c>
    </row>
    <row r="11" spans="1:5" ht="28.8" x14ac:dyDescent="0.3">
      <c r="A11" s="66" t="s">
        <v>174</v>
      </c>
      <c r="B11" s="66"/>
    </row>
    <row r="12" spans="1:5" x14ac:dyDescent="0.3">
      <c r="A12" s="6" t="s">
        <v>35</v>
      </c>
      <c r="B12" s="9">
        <v>250000</v>
      </c>
    </row>
    <row r="13" spans="1:5" x14ac:dyDescent="0.3">
      <c r="A13" s="6" t="s">
        <v>36</v>
      </c>
      <c r="B13" s="10">
        <v>5.5E-2</v>
      </c>
    </row>
    <row r="14" spans="1:5" x14ac:dyDescent="0.3">
      <c r="A14" s="6" t="s">
        <v>38</v>
      </c>
      <c r="B14" s="6">
        <v>2</v>
      </c>
    </row>
    <row r="15" spans="1:5" x14ac:dyDescent="0.3">
      <c r="A15" s="6" t="s">
        <v>37</v>
      </c>
      <c r="B15" s="6">
        <v>15</v>
      </c>
    </row>
    <row r="16" spans="1:5" x14ac:dyDescent="0.3">
      <c r="A16" s="6" t="s">
        <v>39</v>
      </c>
      <c r="B16" s="9"/>
    </row>
    <row r="17" spans="1:5" x14ac:dyDescent="0.3">
      <c r="A17" s="6" t="s">
        <v>41</v>
      </c>
      <c r="B17" s="16">
        <f>B13/B14</f>
        <v>2.75E-2</v>
      </c>
    </row>
    <row r="18" spans="1:5" x14ac:dyDescent="0.3">
      <c r="A18" s="6" t="s">
        <v>42</v>
      </c>
      <c r="B18" s="16">
        <f>B15*B14</f>
        <v>30</v>
      </c>
      <c r="E18" s="6" t="s">
        <v>121</v>
      </c>
    </row>
    <row r="19" spans="1:5" x14ac:dyDescent="0.3">
      <c r="A19" s="6" t="str">
        <f>$A$6</f>
        <v>Future Value = FV</v>
      </c>
      <c r="B19" s="72">
        <f>FV(B17,B18,,B12)</f>
        <v>-564150.43209696375</v>
      </c>
      <c r="E19" s="8">
        <f>-((1+B13/B14)^(B15*B14)*B12)</f>
        <v>-564150.43209696375</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A4766-D10A-47A2-AA23-0F29A7DC1199}">
  <sheetPr codeName="Sheet5">
    <tabColor theme="1"/>
  </sheetPr>
  <dimension ref="A1"/>
  <sheetViews>
    <sheetView workbookViewId="0">
      <selection activeCell="B20" sqref="B20"/>
    </sheetView>
  </sheetViews>
  <sheetFormatPr defaultRowHeight="14.4" x14ac:dyDescent="0.3"/>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1EAA4-BCEE-4E0E-8BE6-F7AC1C7FE63F}">
  <sheetPr codeName="Sheet6">
    <tabColor rgb="FF3333FF"/>
  </sheetPr>
  <dimension ref="A1:K15"/>
  <sheetViews>
    <sheetView workbookViewId="0">
      <selection activeCell="B20" sqref="B20"/>
    </sheetView>
  </sheetViews>
  <sheetFormatPr defaultRowHeight="14.4" x14ac:dyDescent="0.3"/>
  <cols>
    <col min="2" max="2" width="10.5546875" bestFit="1" customWidth="1"/>
    <col min="3" max="3" width="3.5546875" customWidth="1"/>
    <col min="4" max="4" width="18.88671875" bestFit="1" customWidth="1"/>
    <col min="5" max="5" width="12.5546875" bestFit="1" customWidth="1"/>
    <col min="6" max="6" width="3.5546875" customWidth="1"/>
    <col min="7" max="7" width="20.109375" bestFit="1" customWidth="1"/>
    <col min="8" max="8" width="10.5546875" bestFit="1" customWidth="1"/>
    <col min="9" max="9" width="3.5546875" customWidth="1"/>
    <col min="11" max="11" width="20.44140625" bestFit="1" customWidth="1"/>
  </cols>
  <sheetData>
    <row r="1" spans="1:11" x14ac:dyDescent="0.3">
      <c r="A1" s="27">
        <v>4.0999999999999996</v>
      </c>
      <c r="B1" s="27"/>
      <c r="D1" s="27">
        <v>4.2</v>
      </c>
      <c r="E1" s="27"/>
      <c r="G1" s="27">
        <v>4.3</v>
      </c>
      <c r="H1" s="27"/>
      <c r="J1" s="27">
        <v>4.4000000000000004</v>
      </c>
      <c r="K1" s="27"/>
    </row>
    <row r="2" spans="1:11" x14ac:dyDescent="0.3">
      <c r="A2" s="6" t="s">
        <v>64</v>
      </c>
      <c r="B2" s="6">
        <v>1000</v>
      </c>
      <c r="D2" s="6" t="s">
        <v>70</v>
      </c>
      <c r="E2" s="6">
        <v>19</v>
      </c>
      <c r="G2" s="6" t="s">
        <v>64</v>
      </c>
      <c r="H2" s="54">
        <v>1</v>
      </c>
      <c r="J2" s="6" t="s">
        <v>64</v>
      </c>
      <c r="K2" s="54">
        <v>10000</v>
      </c>
    </row>
    <row r="3" spans="1:11" x14ac:dyDescent="0.3">
      <c r="A3" s="6" t="s">
        <v>65</v>
      </c>
      <c r="B3" s="10">
        <v>0.08</v>
      </c>
      <c r="D3" s="6" t="s">
        <v>71</v>
      </c>
      <c r="E3" s="6">
        <v>25</v>
      </c>
      <c r="G3" s="6" t="s">
        <v>68</v>
      </c>
      <c r="H3" s="29">
        <v>1</v>
      </c>
      <c r="J3" s="6" t="s">
        <v>65</v>
      </c>
      <c r="K3" s="10">
        <v>7.0000000000000007E-2</v>
      </c>
    </row>
    <row r="4" spans="1:11" x14ac:dyDescent="0.3">
      <c r="A4" s="6" t="s">
        <v>68</v>
      </c>
      <c r="B4" s="29">
        <v>1</v>
      </c>
      <c r="D4" s="6" t="s">
        <v>69</v>
      </c>
      <c r="E4" s="55"/>
      <c r="G4" s="6" t="s">
        <v>66</v>
      </c>
      <c r="H4" s="6">
        <v>12</v>
      </c>
      <c r="J4" s="6" t="s">
        <v>68</v>
      </c>
      <c r="K4" s="29">
        <v>1</v>
      </c>
    </row>
    <row r="5" spans="1:11" x14ac:dyDescent="0.3">
      <c r="A5" s="6" t="s">
        <v>66</v>
      </c>
      <c r="B5" s="6">
        <v>4</v>
      </c>
      <c r="D5" s="6" t="s">
        <v>67</v>
      </c>
      <c r="E5" s="54">
        <v>100000</v>
      </c>
      <c r="G5" s="6" t="s">
        <v>67</v>
      </c>
      <c r="H5" s="56">
        <v>2</v>
      </c>
      <c r="J5" s="6" t="s">
        <v>67</v>
      </c>
      <c r="K5" s="56">
        <v>20000</v>
      </c>
    </row>
    <row r="6" spans="1:11" x14ac:dyDescent="0.3">
      <c r="A6" s="6" t="s">
        <v>67</v>
      </c>
      <c r="B6" s="57"/>
      <c r="D6" s="6" t="s">
        <v>65</v>
      </c>
      <c r="E6" s="10">
        <v>0.11</v>
      </c>
      <c r="G6" s="6" t="s">
        <v>65</v>
      </c>
      <c r="H6" s="32"/>
      <c r="J6" s="31" t="s">
        <v>66</v>
      </c>
      <c r="K6" s="30"/>
    </row>
    <row r="7" spans="1:11" x14ac:dyDescent="0.3">
      <c r="A7" s="6" t="s">
        <v>67</v>
      </c>
      <c r="B7" s="28"/>
      <c r="D7" s="6" t="s">
        <v>68</v>
      </c>
      <c r="E7" s="6">
        <v>1</v>
      </c>
      <c r="G7" s="6" t="s">
        <v>65</v>
      </c>
      <c r="H7" s="32"/>
      <c r="J7" s="6" t="s">
        <v>66</v>
      </c>
      <c r="K7" s="30"/>
    </row>
    <row r="8" spans="1:11" x14ac:dyDescent="0.3">
      <c r="D8" s="6" t="s">
        <v>66</v>
      </c>
      <c r="E8" s="55"/>
      <c r="G8" s="6" t="s">
        <v>73</v>
      </c>
      <c r="H8" s="30"/>
    </row>
    <row r="9" spans="1:11" x14ac:dyDescent="0.3">
      <c r="D9" s="6" t="s">
        <v>64</v>
      </c>
      <c r="E9" s="30"/>
      <c r="J9" s="27">
        <v>4.4000000000000004</v>
      </c>
      <c r="K9" s="27"/>
    </row>
    <row r="10" spans="1:11" x14ac:dyDescent="0.3">
      <c r="D10" s="6" t="s">
        <v>64</v>
      </c>
      <c r="E10" s="28"/>
      <c r="J10" s="6" t="s">
        <v>64</v>
      </c>
      <c r="K10" s="54">
        <v>10000</v>
      </c>
    </row>
    <row r="11" spans="1:11" x14ac:dyDescent="0.3">
      <c r="J11" s="6" t="s">
        <v>65</v>
      </c>
      <c r="K11" s="10">
        <v>7.0000000000000007E-2</v>
      </c>
    </row>
    <row r="12" spans="1:11" x14ac:dyDescent="0.3">
      <c r="J12" s="6" t="s">
        <v>68</v>
      </c>
      <c r="K12" s="29">
        <v>1</v>
      </c>
    </row>
    <row r="13" spans="1:11" x14ac:dyDescent="0.3">
      <c r="J13" s="6" t="s">
        <v>67</v>
      </c>
      <c r="K13" s="56">
        <v>30000</v>
      </c>
    </row>
    <row r="14" spans="1:11" x14ac:dyDescent="0.3">
      <c r="J14" s="31" t="s">
        <v>74</v>
      </c>
      <c r="K14" s="30"/>
    </row>
    <row r="15" spans="1:11" x14ac:dyDescent="0.3">
      <c r="J15" s="6" t="s">
        <v>66</v>
      </c>
      <c r="K15" s="30"/>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DF8BA-347A-468F-B061-2093495D84DA}">
  <sheetPr codeName="Sheet19">
    <tabColor rgb="FFFF0000"/>
  </sheetPr>
  <dimension ref="A1:K23"/>
  <sheetViews>
    <sheetView workbookViewId="0">
      <selection activeCell="B20" sqref="B20"/>
    </sheetView>
  </sheetViews>
  <sheetFormatPr defaultRowHeight="14.4" x14ac:dyDescent="0.3"/>
  <cols>
    <col min="2" max="2" width="10.5546875" bestFit="1" customWidth="1"/>
    <col min="3" max="3" width="3.5546875" customWidth="1"/>
    <col min="4" max="4" width="18.88671875" bestFit="1" customWidth="1"/>
    <col min="5" max="5" width="12.5546875" bestFit="1" customWidth="1"/>
    <col min="6" max="6" width="3.5546875" customWidth="1"/>
    <col min="7" max="7" width="20.109375" bestFit="1" customWidth="1"/>
    <col min="8" max="8" width="10.5546875" bestFit="1" customWidth="1"/>
    <col min="9" max="9" width="3.5546875" customWidth="1"/>
    <col min="11" max="11" width="20.44140625" bestFit="1" customWidth="1"/>
  </cols>
  <sheetData>
    <row r="1" spans="1:11" x14ac:dyDescent="0.3">
      <c r="A1" s="27">
        <v>4.0999999999999996</v>
      </c>
      <c r="B1" s="27"/>
      <c r="D1" s="27">
        <v>4.2</v>
      </c>
      <c r="E1" s="27"/>
      <c r="G1" s="27">
        <v>4.3</v>
      </c>
      <c r="H1" s="27"/>
      <c r="J1" s="27">
        <v>4.4000000000000004</v>
      </c>
      <c r="K1" s="27"/>
    </row>
    <row r="2" spans="1:11" x14ac:dyDescent="0.3">
      <c r="A2" s="6" t="s">
        <v>64</v>
      </c>
      <c r="B2" s="6">
        <v>1000</v>
      </c>
      <c r="D2" s="6" t="s">
        <v>70</v>
      </c>
      <c r="E2" s="6">
        <v>19</v>
      </c>
      <c r="G2" s="6" t="s">
        <v>64</v>
      </c>
      <c r="H2" s="54">
        <v>1</v>
      </c>
      <c r="J2" s="6" t="s">
        <v>64</v>
      </c>
      <c r="K2" s="54">
        <v>10000</v>
      </c>
    </row>
    <row r="3" spans="1:11" x14ac:dyDescent="0.3">
      <c r="A3" s="6" t="s">
        <v>65</v>
      </c>
      <c r="B3" s="10">
        <v>0.08</v>
      </c>
      <c r="D3" s="6" t="s">
        <v>71</v>
      </c>
      <c r="E3" s="6">
        <v>25</v>
      </c>
      <c r="G3" s="6" t="s">
        <v>68</v>
      </c>
      <c r="H3" s="29">
        <v>1</v>
      </c>
      <c r="J3" s="6" t="s">
        <v>65</v>
      </c>
      <c r="K3" s="10">
        <v>7.0000000000000007E-2</v>
      </c>
    </row>
    <row r="4" spans="1:11" x14ac:dyDescent="0.3">
      <c r="A4" s="6" t="s">
        <v>68</v>
      </c>
      <c r="B4" s="29">
        <v>1</v>
      </c>
      <c r="D4" s="6" t="s">
        <v>69</v>
      </c>
      <c r="E4" s="55">
        <f>E3-E2</f>
        <v>6</v>
      </c>
      <c r="G4" s="6" t="s">
        <v>66</v>
      </c>
      <c r="H4" s="6">
        <v>12</v>
      </c>
      <c r="J4" s="6" t="s">
        <v>68</v>
      </c>
      <c r="K4" s="29">
        <v>1</v>
      </c>
    </row>
    <row r="5" spans="1:11" x14ac:dyDescent="0.3">
      <c r="A5" s="6" t="s">
        <v>66</v>
      </c>
      <c r="B5" s="6">
        <v>4</v>
      </c>
      <c r="D5" s="6" t="s">
        <v>67</v>
      </c>
      <c r="E5" s="54">
        <v>100000</v>
      </c>
      <c r="G5" s="6" t="s">
        <v>67</v>
      </c>
      <c r="H5" s="56">
        <v>2</v>
      </c>
      <c r="J5" s="6" t="s">
        <v>67</v>
      </c>
      <c r="K5" s="56">
        <v>20000</v>
      </c>
    </row>
    <row r="6" spans="1:11" x14ac:dyDescent="0.3">
      <c r="A6" s="6" t="s">
        <v>67</v>
      </c>
      <c r="B6" s="57">
        <f>B2*(1+B3/B4)^(B4*B5)</f>
        <v>1360.4889600000004</v>
      </c>
      <c r="D6" s="6" t="s">
        <v>65</v>
      </c>
      <c r="E6" s="10">
        <v>0.11</v>
      </c>
      <c r="G6" s="6" t="s">
        <v>65</v>
      </c>
      <c r="H6" s="32">
        <f>RATE(H4*H3,,-H2,H5)</f>
        <v>5.9463094359295601E-2</v>
      </c>
      <c r="J6" s="31" t="s">
        <v>66</v>
      </c>
      <c r="K6" s="30">
        <f>NPER(K3/K4,,-K2,K5)</f>
        <v>10.244768351058712</v>
      </c>
    </row>
    <row r="7" spans="1:11" x14ac:dyDescent="0.3">
      <c r="A7" s="6" t="s">
        <v>67</v>
      </c>
      <c r="B7" s="28">
        <f>FV(B3/B4,B4*B5,,-B2)</f>
        <v>1360.4889600000004</v>
      </c>
      <c r="D7" s="6" t="s">
        <v>68</v>
      </c>
      <c r="E7" s="6">
        <v>1</v>
      </c>
      <c r="G7" s="6" t="s">
        <v>65</v>
      </c>
      <c r="H7" s="32">
        <f>H5^(1/H4)-1</f>
        <v>5.946309435929531E-2</v>
      </c>
      <c r="J7" s="6" t="s">
        <v>66</v>
      </c>
      <c r="K7" s="30">
        <f>LN(K5/K2)/LN(1+K3)</f>
        <v>10.244768351058712</v>
      </c>
    </row>
    <row r="8" spans="1:11" x14ac:dyDescent="0.3">
      <c r="D8" s="6" t="s">
        <v>66</v>
      </c>
      <c r="E8" s="55">
        <f>E4</f>
        <v>6</v>
      </c>
      <c r="G8" s="6" t="s">
        <v>73</v>
      </c>
      <c r="H8" s="30">
        <f>72/H4</f>
        <v>6</v>
      </c>
    </row>
    <row r="9" spans="1:11" x14ac:dyDescent="0.3">
      <c r="D9" s="6" t="s">
        <v>64</v>
      </c>
      <c r="E9" s="30">
        <f>E5/((1+E6/E7)^(E7*E8))</f>
        <v>53464.083608879155</v>
      </c>
      <c r="J9" s="27">
        <v>4.4000000000000004</v>
      </c>
      <c r="K9" s="27"/>
    </row>
    <row r="10" spans="1:11" x14ac:dyDescent="0.3">
      <c r="D10" s="6" t="s">
        <v>64</v>
      </c>
      <c r="E10" s="28">
        <f>PV(E6/E7,E7*E8,,E5)</f>
        <v>-53464.083608879155</v>
      </c>
      <c r="J10" s="6" t="s">
        <v>64</v>
      </c>
      <c r="K10" s="54">
        <v>10000</v>
      </c>
    </row>
    <row r="11" spans="1:11" x14ac:dyDescent="0.3">
      <c r="G11" t="s">
        <v>139</v>
      </c>
      <c r="J11" s="6" t="s">
        <v>65</v>
      </c>
      <c r="K11" s="10">
        <v>7.0000000000000007E-2</v>
      </c>
    </row>
    <row r="12" spans="1:11" x14ac:dyDescent="0.3">
      <c r="G12" t="s">
        <v>140</v>
      </c>
      <c r="J12" s="6" t="s">
        <v>68</v>
      </c>
      <c r="K12" s="29">
        <v>1</v>
      </c>
    </row>
    <row r="13" spans="1:11" x14ac:dyDescent="0.3">
      <c r="G13" t="s">
        <v>141</v>
      </c>
      <c r="J13" s="6" t="s">
        <v>67</v>
      </c>
      <c r="K13" s="56">
        <v>30000</v>
      </c>
    </row>
    <row r="14" spans="1:11" x14ac:dyDescent="0.3">
      <c r="G14" t="s">
        <v>142</v>
      </c>
      <c r="J14" s="31" t="s">
        <v>74</v>
      </c>
      <c r="K14" s="30">
        <f>LN(K13/K10)/LN(1+K3)</f>
        <v>16.237573665002973</v>
      </c>
    </row>
    <row r="15" spans="1:11" x14ac:dyDescent="0.3">
      <c r="J15" s="6" t="s">
        <v>66</v>
      </c>
      <c r="K15" s="30">
        <f>NPER(K11/K12,,-K10,K13)</f>
        <v>16.237573665002969</v>
      </c>
    </row>
    <row r="17" spans="11:11" x14ac:dyDescent="0.3">
      <c r="K17" t="s">
        <v>139</v>
      </c>
    </row>
    <row r="18" spans="11:11" x14ac:dyDescent="0.3">
      <c r="K18" t="s">
        <v>143</v>
      </c>
    </row>
    <row r="19" spans="11:11" x14ac:dyDescent="0.3">
      <c r="K19" t="s">
        <v>144</v>
      </c>
    </row>
    <row r="21" spans="11:11" x14ac:dyDescent="0.3">
      <c r="K21" t="s">
        <v>139</v>
      </c>
    </row>
    <row r="22" spans="11:11" x14ac:dyDescent="0.3">
      <c r="K22" t="s">
        <v>145</v>
      </c>
    </row>
    <row r="23" spans="11:11" x14ac:dyDescent="0.3">
      <c r="K23" t="s">
        <v>146</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C5947-B79A-4401-B774-0A880A76BE53}">
  <sheetPr codeName="Sheet36">
    <tabColor rgb="FF3333FF"/>
  </sheetPr>
  <dimension ref="A1:B3"/>
  <sheetViews>
    <sheetView zoomScale="70" zoomScaleNormal="70" workbookViewId="0">
      <selection activeCell="B20" sqref="B20"/>
    </sheetView>
  </sheetViews>
  <sheetFormatPr defaultRowHeight="14.4" x14ac:dyDescent="0.3"/>
  <cols>
    <col min="2" max="2" width="99.109375" customWidth="1"/>
  </cols>
  <sheetData>
    <row r="1" spans="1:2" ht="113.25" customHeight="1" x14ac:dyDescent="0.3">
      <c r="A1" s="35">
        <v>4.0999999999999996</v>
      </c>
      <c r="B1" s="34"/>
    </row>
    <row r="2" spans="1:2" ht="113.25" customHeight="1" x14ac:dyDescent="0.3">
      <c r="A2" s="35">
        <v>4.2</v>
      </c>
      <c r="B2" s="34"/>
    </row>
    <row r="3" spans="1:2" ht="113.25" customHeight="1" x14ac:dyDescent="0.3">
      <c r="A3" s="35">
        <v>4.3</v>
      </c>
      <c r="B3" s="34"/>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2476C-BC22-424A-A8D6-CE90231A06A4}">
  <sheetPr codeName="Sheet37">
    <tabColor rgb="FFFF0000"/>
  </sheetPr>
  <dimension ref="A1:B3"/>
  <sheetViews>
    <sheetView workbookViewId="0">
      <selection activeCell="B20" sqref="B20"/>
    </sheetView>
  </sheetViews>
  <sheetFormatPr defaultRowHeight="14.4" x14ac:dyDescent="0.3"/>
  <cols>
    <col min="2" max="2" width="99.109375" customWidth="1"/>
  </cols>
  <sheetData>
    <row r="1" spans="1:2" ht="158.4" x14ac:dyDescent="0.3">
      <c r="A1" s="35">
        <v>4.0999999999999996</v>
      </c>
      <c r="B1" s="34" t="s">
        <v>81</v>
      </c>
    </row>
    <row r="2" spans="1:2" ht="67.5" customHeight="1" x14ac:dyDescent="0.3">
      <c r="A2" s="35">
        <v>4.2</v>
      </c>
      <c r="B2" s="34" t="s">
        <v>75</v>
      </c>
    </row>
    <row r="3" spans="1:2" ht="55.5" customHeight="1" x14ac:dyDescent="0.3">
      <c r="A3" s="35">
        <v>4.3</v>
      </c>
      <c r="B3" s="34" t="s">
        <v>82</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DE91A-586B-4FD4-B0CD-B32929892D53}">
  <sheetPr codeName="Sheet38">
    <tabColor rgb="FF3333FF"/>
  </sheetPr>
  <dimension ref="A1:E11"/>
  <sheetViews>
    <sheetView workbookViewId="0">
      <selection activeCell="B20" sqref="B20"/>
    </sheetView>
  </sheetViews>
  <sheetFormatPr defaultRowHeight="14.4" x14ac:dyDescent="0.3"/>
  <cols>
    <col min="1" max="1" width="33" bestFit="1" customWidth="1"/>
    <col min="2" max="2" width="11.5546875" bestFit="1" customWidth="1"/>
    <col min="3" max="3" width="4" customWidth="1"/>
    <col min="5" max="5" width="11.5546875" bestFit="1" customWidth="1"/>
  </cols>
  <sheetData>
    <row r="1" spans="1:5" x14ac:dyDescent="0.3">
      <c r="A1" s="39" t="s">
        <v>83</v>
      </c>
      <c r="B1" s="39"/>
      <c r="D1" t="s">
        <v>84</v>
      </c>
    </row>
    <row r="2" spans="1:5" x14ac:dyDescent="0.3">
      <c r="A2" s="6" t="s">
        <v>51</v>
      </c>
      <c r="B2" s="6">
        <v>7.0000000000000007E-2</v>
      </c>
      <c r="D2" s="6" t="s">
        <v>51</v>
      </c>
      <c r="E2" s="6">
        <v>0.08</v>
      </c>
    </row>
    <row r="3" spans="1:5" x14ac:dyDescent="0.3">
      <c r="A3" s="6"/>
      <c r="B3" s="6"/>
      <c r="D3" s="6" t="s">
        <v>52</v>
      </c>
      <c r="E3" s="6">
        <v>1</v>
      </c>
    </row>
    <row r="4" spans="1:5" x14ac:dyDescent="0.3">
      <c r="A4" s="6" t="s">
        <v>3</v>
      </c>
      <c r="B4" s="6">
        <v>8000</v>
      </c>
      <c r="D4" s="6" t="s">
        <v>3</v>
      </c>
      <c r="E4" s="6">
        <f>B4</f>
        <v>8000</v>
      </c>
    </row>
    <row r="5" spans="1:5" x14ac:dyDescent="0.3">
      <c r="A5" s="6" t="s">
        <v>56</v>
      </c>
      <c r="B5" s="6">
        <v>10</v>
      </c>
      <c r="D5" s="6" t="s">
        <v>56</v>
      </c>
      <c r="E5" s="6">
        <v>10</v>
      </c>
    </row>
    <row r="6" spans="1:5" x14ac:dyDescent="0.3">
      <c r="A6" s="6" t="s">
        <v>53</v>
      </c>
      <c r="B6" s="30"/>
      <c r="D6" s="6" t="s">
        <v>53</v>
      </c>
      <c r="E6" s="57"/>
    </row>
    <row r="7" spans="1:5" x14ac:dyDescent="0.3">
      <c r="D7" s="6" t="s">
        <v>53</v>
      </c>
      <c r="E7" s="28"/>
    </row>
    <row r="9" spans="1:5" x14ac:dyDescent="0.3">
      <c r="A9" s="6" t="str">
        <f>A1&amp;" "&amp;A6</f>
        <v>1st City FV</v>
      </c>
      <c r="B9" s="30"/>
    </row>
    <row r="10" spans="1:5" x14ac:dyDescent="0.3">
      <c r="A10" s="6" t="str">
        <f>D1&amp;" "&amp;D6</f>
        <v>2nd City FV</v>
      </c>
      <c r="B10" s="40"/>
    </row>
    <row r="11" spans="1:5" x14ac:dyDescent="0.3">
      <c r="A11" s="6" t="s">
        <v>85</v>
      </c>
      <c r="B11" s="40"/>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08A78-5799-4A21-A14B-EBDCE147E6DD}">
  <sheetPr codeName="Sheet39">
    <tabColor rgb="FFFF0000"/>
  </sheetPr>
  <dimension ref="A1:E11"/>
  <sheetViews>
    <sheetView workbookViewId="0">
      <selection activeCell="B20" sqref="B20"/>
    </sheetView>
  </sheetViews>
  <sheetFormatPr defaultRowHeight="14.4" x14ac:dyDescent="0.3"/>
  <cols>
    <col min="1" max="1" width="32.5546875" bestFit="1" customWidth="1"/>
    <col min="2" max="2" width="11.5546875" bestFit="1" customWidth="1"/>
    <col min="5" max="5" width="11.5546875" bestFit="1" customWidth="1"/>
  </cols>
  <sheetData>
    <row r="1" spans="1:5" x14ac:dyDescent="0.3">
      <c r="A1" s="39" t="s">
        <v>83</v>
      </c>
      <c r="B1" s="39"/>
      <c r="D1" t="s">
        <v>84</v>
      </c>
    </row>
    <row r="2" spans="1:5" x14ac:dyDescent="0.3">
      <c r="A2" s="6" t="s">
        <v>51</v>
      </c>
      <c r="B2" s="6">
        <v>7.0000000000000007E-2</v>
      </c>
      <c r="D2" s="6" t="s">
        <v>51</v>
      </c>
      <c r="E2" s="6">
        <v>0.08</v>
      </c>
    </row>
    <row r="3" spans="1:5" x14ac:dyDescent="0.3">
      <c r="A3" s="6"/>
      <c r="B3" s="6"/>
      <c r="D3" s="6" t="s">
        <v>52</v>
      </c>
      <c r="E3" s="6">
        <v>1</v>
      </c>
    </row>
    <row r="4" spans="1:5" x14ac:dyDescent="0.3">
      <c r="A4" s="6" t="s">
        <v>3</v>
      </c>
      <c r="B4" s="6">
        <v>8000</v>
      </c>
      <c r="D4" s="6" t="s">
        <v>3</v>
      </c>
      <c r="E4" s="6">
        <f>B4</f>
        <v>8000</v>
      </c>
    </row>
    <row r="5" spans="1:5" x14ac:dyDescent="0.3">
      <c r="A5" s="6" t="s">
        <v>56</v>
      </c>
      <c r="B5" s="6">
        <v>10</v>
      </c>
      <c r="D5" s="6" t="s">
        <v>56</v>
      </c>
      <c r="E5" s="6">
        <v>10</v>
      </c>
    </row>
    <row r="6" spans="1:5" x14ac:dyDescent="0.3">
      <c r="A6" s="6" t="s">
        <v>53</v>
      </c>
      <c r="B6" s="28">
        <f>B4+B4*B2*B5</f>
        <v>13600</v>
      </c>
      <c r="D6" s="6" t="s">
        <v>53</v>
      </c>
      <c r="E6" s="58">
        <f>E4*(1+E2/E3)^(E3*E5)</f>
        <v>17271.3999781823</v>
      </c>
    </row>
    <row r="7" spans="1:5" x14ac:dyDescent="0.3">
      <c r="D7" s="6" t="s">
        <v>53</v>
      </c>
      <c r="E7" s="28">
        <f>FV(E2/E3,E3*E5,,-E4)</f>
        <v>17271.3999781823</v>
      </c>
    </row>
    <row r="9" spans="1:5" x14ac:dyDescent="0.3">
      <c r="A9" s="6" t="str">
        <f>A1&amp;" "&amp;A6</f>
        <v>1st City FV</v>
      </c>
      <c r="B9" s="28">
        <f>B6</f>
        <v>13600</v>
      </c>
    </row>
    <row r="10" spans="1:5" x14ac:dyDescent="0.3">
      <c r="A10" s="6" t="str">
        <f>D1&amp;" "&amp;D6</f>
        <v>2nd City FV</v>
      </c>
      <c r="B10" s="28">
        <f>E6</f>
        <v>17271.3999781823</v>
      </c>
    </row>
    <row r="11" spans="1:5" x14ac:dyDescent="0.3">
      <c r="A11" s="6" t="s">
        <v>85</v>
      </c>
      <c r="B11" s="28">
        <f>B10-B9</f>
        <v>3671.3999781823004</v>
      </c>
      <c r="D11" t="s">
        <v>147</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6AAA1-C846-411E-8FD0-6D65F7A0B8E7}">
  <sheetPr codeName="Sheet40">
    <tabColor rgb="FF3333FF"/>
  </sheetPr>
  <dimension ref="A1:G5"/>
  <sheetViews>
    <sheetView zoomScale="115" zoomScaleNormal="115" workbookViewId="0">
      <selection activeCell="B20" sqref="B20"/>
    </sheetView>
  </sheetViews>
  <sheetFormatPr defaultColWidth="16.44140625" defaultRowHeight="14.4" x14ac:dyDescent="0.3"/>
  <cols>
    <col min="1" max="1" width="4.109375" bestFit="1" customWidth="1"/>
    <col min="2" max="2" width="16.44140625" customWidth="1"/>
    <col min="3" max="3" width="13" customWidth="1"/>
    <col min="4" max="4" width="16.44140625" customWidth="1"/>
    <col min="5" max="5" width="13" customWidth="1"/>
    <col min="6" max="7" width="24.6640625" customWidth="1"/>
  </cols>
  <sheetData>
    <row r="1" spans="1:7" s="13" customFormat="1" ht="28.8" x14ac:dyDescent="0.3">
      <c r="A1" s="33" t="s">
        <v>89</v>
      </c>
      <c r="B1" s="33" t="s">
        <v>3</v>
      </c>
      <c r="C1" s="33" t="s">
        <v>86</v>
      </c>
      <c r="D1" s="33" t="s">
        <v>87</v>
      </c>
      <c r="E1" s="33" t="s">
        <v>88</v>
      </c>
      <c r="F1" s="33" t="s">
        <v>53</v>
      </c>
      <c r="G1" s="33" t="s">
        <v>53</v>
      </c>
    </row>
    <row r="2" spans="1:7" x14ac:dyDescent="0.3">
      <c r="A2" s="36">
        <v>1</v>
      </c>
      <c r="B2" s="54">
        <v>3150</v>
      </c>
      <c r="C2" s="6">
        <v>6</v>
      </c>
      <c r="D2" s="59">
        <v>0.18</v>
      </c>
      <c r="E2" s="6">
        <v>1</v>
      </c>
      <c r="F2" s="58"/>
      <c r="G2" s="58"/>
    </row>
    <row r="3" spans="1:7" x14ac:dyDescent="0.3">
      <c r="A3" s="36">
        <v>2</v>
      </c>
      <c r="B3" s="54">
        <v>8453</v>
      </c>
      <c r="C3" s="6">
        <v>19</v>
      </c>
      <c r="D3" s="59">
        <v>0.06</v>
      </c>
      <c r="E3" s="6">
        <v>1</v>
      </c>
      <c r="F3" s="58"/>
      <c r="G3" s="58"/>
    </row>
    <row r="4" spans="1:7" x14ac:dyDescent="0.3">
      <c r="A4" s="36">
        <v>3</v>
      </c>
      <c r="B4" s="54">
        <v>89305</v>
      </c>
      <c r="C4" s="6">
        <v>13</v>
      </c>
      <c r="D4" s="59">
        <v>0.11</v>
      </c>
      <c r="E4" s="6">
        <v>1</v>
      </c>
      <c r="F4" s="58"/>
      <c r="G4" s="58"/>
    </row>
    <row r="5" spans="1:7" x14ac:dyDescent="0.3">
      <c r="A5" s="36">
        <v>4</v>
      </c>
      <c r="B5" s="56">
        <v>227382</v>
      </c>
      <c r="C5" s="6">
        <v>29</v>
      </c>
      <c r="D5" s="59">
        <v>0.05</v>
      </c>
      <c r="E5" s="6">
        <v>1</v>
      </c>
      <c r="F5" s="58"/>
      <c r="G5" s="58"/>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CA920-E686-470A-A5FF-4CB77919B3C6}">
  <sheetPr codeName="Sheet41">
    <tabColor rgb="FFFF0000"/>
  </sheetPr>
  <dimension ref="A1:G5"/>
  <sheetViews>
    <sheetView zoomScale="115" zoomScaleNormal="115" workbookViewId="0">
      <selection activeCell="B20" sqref="B20"/>
    </sheetView>
  </sheetViews>
  <sheetFormatPr defaultColWidth="16.44140625" defaultRowHeight="14.4" x14ac:dyDescent="0.3"/>
  <cols>
    <col min="1" max="1" width="4.109375" bestFit="1" customWidth="1"/>
    <col min="2" max="2" width="16.44140625" customWidth="1"/>
    <col min="3" max="3" width="13" customWidth="1"/>
    <col min="4" max="4" width="16.44140625" customWidth="1"/>
    <col min="5" max="5" width="13" customWidth="1"/>
    <col min="6" max="7" width="24.6640625" customWidth="1"/>
  </cols>
  <sheetData>
    <row r="1" spans="1:7" s="13" customFormat="1" ht="28.8" x14ac:dyDescent="0.3">
      <c r="A1" s="33" t="s">
        <v>89</v>
      </c>
      <c r="B1" s="33" t="s">
        <v>3</v>
      </c>
      <c r="C1" s="33" t="s">
        <v>86</v>
      </c>
      <c r="D1" s="33" t="s">
        <v>87</v>
      </c>
      <c r="E1" s="33" t="s">
        <v>88</v>
      </c>
      <c r="F1" s="33" t="s">
        <v>53</v>
      </c>
      <c r="G1" s="33" t="s">
        <v>53</v>
      </c>
    </row>
    <row r="2" spans="1:7" x14ac:dyDescent="0.3">
      <c r="A2" s="36">
        <v>1</v>
      </c>
      <c r="B2" s="54">
        <v>3150</v>
      </c>
      <c r="C2" s="6">
        <v>6</v>
      </c>
      <c r="D2" s="59">
        <v>0.18</v>
      </c>
      <c r="E2" s="6">
        <v>1</v>
      </c>
      <c r="F2" s="57">
        <f>B2*(1+D2/E2)^(E2*C2)</f>
        <v>8503.5955820255986</v>
      </c>
      <c r="G2" s="58">
        <f>FV(D2/E2,E2*C2,,-B2)</f>
        <v>8503.5955820255986</v>
      </c>
    </row>
    <row r="3" spans="1:7" x14ac:dyDescent="0.3">
      <c r="A3" s="36">
        <v>2</v>
      </c>
      <c r="B3" s="54">
        <v>8453</v>
      </c>
      <c r="C3" s="6">
        <v>19</v>
      </c>
      <c r="D3" s="59">
        <v>0.06</v>
      </c>
      <c r="E3" s="6">
        <v>1</v>
      </c>
      <c r="F3" s="57">
        <f>B3*(1+D3/E3)^(E3*C3)</f>
        <v>25575.392591146421</v>
      </c>
      <c r="G3" s="58">
        <f>FV(D3/E3,E3*C3,,-B3)</f>
        <v>25575.392591146421</v>
      </c>
    </row>
    <row r="4" spans="1:7" x14ac:dyDescent="0.3">
      <c r="A4" s="36">
        <v>3</v>
      </c>
      <c r="B4" s="54">
        <v>89305</v>
      </c>
      <c r="C4" s="6">
        <v>13</v>
      </c>
      <c r="D4" s="59">
        <v>0.11</v>
      </c>
      <c r="E4" s="6">
        <v>1</v>
      </c>
      <c r="F4" s="57">
        <f>B4*(1+D4/E4)^(E4*C4)</f>
        <v>346796.3349208642</v>
      </c>
      <c r="G4" s="58">
        <f>FV(D4/E4,E4*C4,,-B4)</f>
        <v>346796.3349208642</v>
      </c>
    </row>
    <row r="5" spans="1:7" x14ac:dyDescent="0.3">
      <c r="A5" s="36">
        <v>4</v>
      </c>
      <c r="B5" s="56">
        <v>227382</v>
      </c>
      <c r="C5" s="6">
        <v>29</v>
      </c>
      <c r="D5" s="59">
        <v>0.05</v>
      </c>
      <c r="E5" s="6">
        <v>1</v>
      </c>
      <c r="F5" s="57">
        <f>B5*(1+D5/E5)^(E5*C5)</f>
        <v>935935.14394905546</v>
      </c>
      <c r="G5" s="58">
        <f>FV(D5/E5,E5*C5,,-B5)</f>
        <v>935935.14394905546</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7FBC5-33B6-4EE7-A88F-91D3295503BA}">
  <sheetPr codeName="Sheet42">
    <tabColor rgb="FF3333FF"/>
  </sheetPr>
  <dimension ref="A1:G5"/>
  <sheetViews>
    <sheetView zoomScale="115" zoomScaleNormal="115" workbookViewId="0">
      <selection activeCell="B20" sqref="B20"/>
    </sheetView>
  </sheetViews>
  <sheetFormatPr defaultColWidth="16.44140625" defaultRowHeight="14.4" x14ac:dyDescent="0.3"/>
  <cols>
    <col min="1" max="1" width="4.109375" bestFit="1" customWidth="1"/>
    <col min="2" max="3" width="25.88671875" customWidth="1"/>
    <col min="4" max="4" width="13" customWidth="1"/>
    <col min="5" max="5" width="16.44140625" customWidth="1"/>
    <col min="6" max="6" width="13" customWidth="1"/>
  </cols>
  <sheetData>
    <row r="1" spans="1:7" s="13" customFormat="1" ht="28.8" x14ac:dyDescent="0.3">
      <c r="A1" s="33" t="s">
        <v>89</v>
      </c>
      <c r="B1" s="33" t="s">
        <v>3</v>
      </c>
      <c r="C1" s="33" t="s">
        <v>3</v>
      </c>
      <c r="D1" s="33" t="s">
        <v>86</v>
      </c>
      <c r="E1" s="33" t="s">
        <v>87</v>
      </c>
      <c r="F1" s="33" t="s">
        <v>88</v>
      </c>
      <c r="G1" s="33" t="s">
        <v>53</v>
      </c>
    </row>
    <row r="2" spans="1:7" x14ac:dyDescent="0.3">
      <c r="A2" s="36">
        <v>1</v>
      </c>
      <c r="B2" s="58"/>
      <c r="C2" s="58"/>
      <c r="D2" s="6">
        <v>12</v>
      </c>
      <c r="E2" s="59">
        <v>0.04</v>
      </c>
      <c r="F2" s="6">
        <v>1</v>
      </c>
      <c r="G2" s="54">
        <v>17328</v>
      </c>
    </row>
    <row r="3" spans="1:7" x14ac:dyDescent="0.3">
      <c r="A3" s="36">
        <v>2</v>
      </c>
      <c r="B3" s="58"/>
      <c r="C3" s="58"/>
      <c r="D3" s="6">
        <v>4</v>
      </c>
      <c r="E3" s="59">
        <v>0.09</v>
      </c>
      <c r="F3" s="6">
        <v>1</v>
      </c>
      <c r="G3" s="54">
        <v>41517</v>
      </c>
    </row>
    <row r="4" spans="1:7" x14ac:dyDescent="0.3">
      <c r="A4" s="36">
        <v>3</v>
      </c>
      <c r="B4" s="58"/>
      <c r="C4" s="58"/>
      <c r="D4" s="6">
        <v>16</v>
      </c>
      <c r="E4" s="59">
        <v>0.12</v>
      </c>
      <c r="F4" s="6">
        <v>1</v>
      </c>
      <c r="G4" s="54">
        <v>790382</v>
      </c>
    </row>
    <row r="5" spans="1:7" x14ac:dyDescent="0.3">
      <c r="A5" s="36">
        <v>4</v>
      </c>
      <c r="B5" s="58"/>
      <c r="C5" s="58"/>
      <c r="D5" s="6">
        <v>21</v>
      </c>
      <c r="E5" s="59">
        <v>0.11</v>
      </c>
      <c r="F5" s="6">
        <v>1</v>
      </c>
      <c r="G5" s="54">
        <v>647816</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12441-487F-4344-9E4A-D11FCEF917C6}">
  <sheetPr codeName="Sheet43">
    <tabColor rgb="FFFF0000"/>
  </sheetPr>
  <dimension ref="A1:G5"/>
  <sheetViews>
    <sheetView zoomScale="115" zoomScaleNormal="115" workbookViewId="0">
      <selection activeCell="B20" sqref="B20"/>
    </sheetView>
  </sheetViews>
  <sheetFormatPr defaultColWidth="16.44140625" defaultRowHeight="14.4" x14ac:dyDescent="0.3"/>
  <cols>
    <col min="1" max="1" width="4.109375" bestFit="1" customWidth="1"/>
    <col min="2" max="3" width="25.88671875" customWidth="1"/>
    <col min="4" max="4" width="13" customWidth="1"/>
    <col min="5" max="5" width="16.44140625" customWidth="1"/>
    <col min="6" max="6" width="13" customWidth="1"/>
  </cols>
  <sheetData>
    <row r="1" spans="1:7" s="13" customFormat="1" ht="28.8" x14ac:dyDescent="0.3">
      <c r="A1" s="33" t="s">
        <v>89</v>
      </c>
      <c r="B1" s="33" t="s">
        <v>3</v>
      </c>
      <c r="C1" s="33" t="s">
        <v>3</v>
      </c>
      <c r="D1" s="33" t="s">
        <v>86</v>
      </c>
      <c r="E1" s="33" t="s">
        <v>87</v>
      </c>
      <c r="F1" s="33" t="s">
        <v>88</v>
      </c>
      <c r="G1" s="33" t="s">
        <v>53</v>
      </c>
    </row>
    <row r="2" spans="1:7" x14ac:dyDescent="0.3">
      <c r="A2" s="36">
        <v>1</v>
      </c>
      <c r="B2" s="58">
        <f>PV(E2/F2,F2*D2,,G2)</f>
        <v>-10823.017675123368</v>
      </c>
      <c r="C2" s="57">
        <f>G2/((1+E2/F2)^(D2*F2))</f>
        <v>10823.017675123368</v>
      </c>
      <c r="D2" s="6">
        <v>12</v>
      </c>
      <c r="E2" s="59">
        <v>0.04</v>
      </c>
      <c r="F2" s="6">
        <v>1</v>
      </c>
      <c r="G2" s="54">
        <v>17328</v>
      </c>
    </row>
    <row r="3" spans="1:7" x14ac:dyDescent="0.3">
      <c r="A3" s="36">
        <v>2</v>
      </c>
      <c r="B3" s="58">
        <f>PV(E3/F3,F3*D3,,G3)</f>
        <v>-29411.689487793759</v>
      </c>
      <c r="C3" s="57">
        <f>G3/((1+E3/F3)^(D3*F3))</f>
        <v>29411.689487793759</v>
      </c>
      <c r="D3" s="6">
        <v>4</v>
      </c>
      <c r="E3" s="59">
        <v>0.09</v>
      </c>
      <c r="F3" s="6">
        <v>1</v>
      </c>
      <c r="G3" s="54">
        <v>41517</v>
      </c>
    </row>
    <row r="4" spans="1:7" x14ac:dyDescent="0.3">
      <c r="A4" s="36">
        <v>3</v>
      </c>
      <c r="B4" s="58">
        <f>PV(E4/F4,F4*D4,,G4)</f>
        <v>-128928.42533082172</v>
      </c>
      <c r="C4" s="57">
        <f>G4/((1+E4/F4)^(D4*F4))</f>
        <v>128928.42533082172</v>
      </c>
      <c r="D4" s="6">
        <v>16</v>
      </c>
      <c r="E4" s="59">
        <v>0.12</v>
      </c>
      <c r="F4" s="6">
        <v>1</v>
      </c>
      <c r="G4" s="54">
        <v>790382</v>
      </c>
    </row>
    <row r="5" spans="1:7" x14ac:dyDescent="0.3">
      <c r="A5" s="36">
        <v>4</v>
      </c>
      <c r="B5" s="58">
        <f>PV(E5/F5,F5*D5,,G5)</f>
        <v>-72388.42302268841</v>
      </c>
      <c r="C5" s="57">
        <f>G5/((1+E5/F5)^(D5*F5))</f>
        <v>72388.42302268841</v>
      </c>
      <c r="D5" s="6">
        <v>21</v>
      </c>
      <c r="E5" s="59">
        <v>0.11</v>
      </c>
      <c r="F5" s="6">
        <v>1</v>
      </c>
      <c r="G5" s="54">
        <v>647816</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ECB80-9DF2-48DD-BE17-99D9B10B92A9}">
  <sheetPr codeName="Sheet44">
    <tabColor rgb="FF3333FF"/>
  </sheetPr>
  <dimension ref="A1:G5"/>
  <sheetViews>
    <sheetView zoomScale="115" zoomScaleNormal="115" workbookViewId="0">
      <selection activeCell="B20" sqref="B20"/>
    </sheetView>
  </sheetViews>
  <sheetFormatPr defaultColWidth="16.44140625" defaultRowHeight="14.4" x14ac:dyDescent="0.3"/>
  <cols>
    <col min="1" max="1" width="4.109375" bestFit="1" customWidth="1"/>
    <col min="2" max="2" width="16.44140625" customWidth="1"/>
    <col min="3" max="3" width="13" customWidth="1"/>
    <col min="4" max="4" width="16.44140625" customWidth="1"/>
    <col min="5" max="5" width="20.44140625" bestFit="1" customWidth="1"/>
    <col min="6" max="6" width="13" customWidth="1"/>
  </cols>
  <sheetData>
    <row r="1" spans="1:7" s="13" customFormat="1" ht="28.8" x14ac:dyDescent="0.3">
      <c r="A1" s="33" t="s">
        <v>89</v>
      </c>
      <c r="B1" s="33" t="s">
        <v>3</v>
      </c>
      <c r="C1" s="33" t="s">
        <v>86</v>
      </c>
      <c r="D1" s="33" t="s">
        <v>87</v>
      </c>
      <c r="E1" s="33" t="s">
        <v>87</v>
      </c>
      <c r="F1" s="33" t="s">
        <v>88</v>
      </c>
      <c r="G1" s="33" t="s">
        <v>53</v>
      </c>
    </row>
    <row r="2" spans="1:7" x14ac:dyDescent="0.3">
      <c r="A2" s="36">
        <v>1</v>
      </c>
      <c r="B2" s="54">
        <v>715</v>
      </c>
      <c r="C2" s="6">
        <v>6</v>
      </c>
      <c r="D2" s="60"/>
      <c r="E2" s="60"/>
      <c r="F2" s="6">
        <v>1</v>
      </c>
      <c r="G2" s="54">
        <v>1381</v>
      </c>
    </row>
    <row r="3" spans="1:7" x14ac:dyDescent="0.3">
      <c r="A3" s="36">
        <v>2</v>
      </c>
      <c r="B3" s="54">
        <v>905</v>
      </c>
      <c r="C3" s="6">
        <v>7</v>
      </c>
      <c r="D3" s="60"/>
      <c r="E3" s="60"/>
      <c r="F3" s="6">
        <v>1</v>
      </c>
      <c r="G3" s="54">
        <v>1718</v>
      </c>
    </row>
    <row r="4" spans="1:7" x14ac:dyDescent="0.3">
      <c r="A4" s="36">
        <v>3</v>
      </c>
      <c r="B4" s="54">
        <v>15000</v>
      </c>
      <c r="C4" s="6">
        <v>18</v>
      </c>
      <c r="D4" s="60"/>
      <c r="E4" s="60"/>
      <c r="F4" s="6">
        <v>1</v>
      </c>
      <c r="G4" s="54">
        <v>141832</v>
      </c>
    </row>
    <row r="5" spans="1:7" x14ac:dyDescent="0.3">
      <c r="A5" s="36">
        <v>4</v>
      </c>
      <c r="B5" s="54">
        <v>70300</v>
      </c>
      <c r="C5" s="6">
        <v>21</v>
      </c>
      <c r="D5" s="60"/>
      <c r="E5" s="60"/>
      <c r="F5" s="6">
        <v>1</v>
      </c>
      <c r="G5" s="54">
        <v>312815</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C902E-067B-487C-8E22-C1C68E083B25}">
  <sheetPr codeName="Sheet45">
    <tabColor rgb="FFFF0000"/>
  </sheetPr>
  <dimension ref="A1:G9"/>
  <sheetViews>
    <sheetView zoomScale="115" zoomScaleNormal="115" workbookViewId="0">
      <selection activeCell="B20" sqref="B20"/>
    </sheetView>
  </sheetViews>
  <sheetFormatPr defaultColWidth="16.44140625" defaultRowHeight="14.4" x14ac:dyDescent="0.3"/>
  <cols>
    <col min="1" max="1" width="4.109375" bestFit="1" customWidth="1"/>
    <col min="2" max="2" width="16.44140625" customWidth="1"/>
    <col min="3" max="3" width="13" customWidth="1"/>
    <col min="4" max="5" width="16.44140625" customWidth="1"/>
    <col min="6" max="6" width="13" customWidth="1"/>
  </cols>
  <sheetData>
    <row r="1" spans="1:7" s="13" customFormat="1" ht="28.8" x14ac:dyDescent="0.3">
      <c r="A1" s="33" t="s">
        <v>89</v>
      </c>
      <c r="B1" s="33" t="s">
        <v>3</v>
      </c>
      <c r="C1" s="33" t="s">
        <v>86</v>
      </c>
      <c r="D1" s="33" t="s">
        <v>87</v>
      </c>
      <c r="E1" s="33" t="s">
        <v>87</v>
      </c>
      <c r="F1" s="33" t="s">
        <v>88</v>
      </c>
      <c r="G1" s="33" t="s">
        <v>53</v>
      </c>
    </row>
    <row r="2" spans="1:7" x14ac:dyDescent="0.3">
      <c r="A2" s="36">
        <v>1</v>
      </c>
      <c r="B2" s="54">
        <v>715</v>
      </c>
      <c r="C2" s="6">
        <v>6</v>
      </c>
      <c r="D2" s="60">
        <f>RATE(C2*F2,,-B2,G2)</f>
        <v>0.11595823019822107</v>
      </c>
      <c r="E2" s="60">
        <f>(G2/B2)^(1/C2)-1</f>
        <v>0.11595823019636842</v>
      </c>
      <c r="F2" s="6">
        <v>1</v>
      </c>
      <c r="G2" s="54">
        <v>1381</v>
      </c>
    </row>
    <row r="3" spans="1:7" x14ac:dyDescent="0.3">
      <c r="A3" s="36">
        <v>2</v>
      </c>
      <c r="B3" s="54">
        <v>905</v>
      </c>
      <c r="C3" s="6">
        <v>7</v>
      </c>
      <c r="D3" s="60">
        <f>RATE(C3*F3,,-B3,G3)</f>
        <v>9.589210241474444E-2</v>
      </c>
      <c r="E3" s="60">
        <f>(G3/B3)^(1/C3)-1</f>
        <v>9.5892102414744329E-2</v>
      </c>
      <c r="F3" s="6">
        <v>1</v>
      </c>
      <c r="G3" s="54">
        <v>1718</v>
      </c>
    </row>
    <row r="4" spans="1:7" x14ac:dyDescent="0.3">
      <c r="A4" s="36">
        <v>3</v>
      </c>
      <c r="B4" s="54">
        <v>15000</v>
      </c>
      <c r="C4" s="6">
        <v>18</v>
      </c>
      <c r="D4" s="60">
        <f>RATE(C4*F4,,-B4,G4)</f>
        <v>0.13293399716129775</v>
      </c>
      <c r="E4" s="60">
        <f>(G4/B4)^(1/C4)-1</f>
        <v>0.13293399716129772</v>
      </c>
      <c r="F4" s="6">
        <v>1</v>
      </c>
      <c r="G4" s="54">
        <v>141832</v>
      </c>
    </row>
    <row r="5" spans="1:7" x14ac:dyDescent="0.3">
      <c r="A5" s="36">
        <v>4</v>
      </c>
      <c r="B5" s="54">
        <v>70300</v>
      </c>
      <c r="C5" s="6">
        <v>21</v>
      </c>
      <c r="D5" s="60">
        <f>RATE(C5*F5,,-B5,G5)</f>
        <v>7.3675304470868286E-2</v>
      </c>
      <c r="E5" s="60">
        <f>(G5/B5)^(1/C5)-1</f>
        <v>7.36753044708649E-2</v>
      </c>
      <c r="F5" s="6">
        <v>1</v>
      </c>
      <c r="G5" s="54">
        <v>312815</v>
      </c>
    </row>
    <row r="7" spans="1:7" x14ac:dyDescent="0.3">
      <c r="E7" t="s">
        <v>139</v>
      </c>
    </row>
    <row r="8" spans="1:7" x14ac:dyDescent="0.3">
      <c r="E8" t="s">
        <v>148</v>
      </c>
    </row>
    <row r="9" spans="1:7" x14ac:dyDescent="0.3">
      <c r="E9" t="s">
        <v>149</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14326-77CE-4220-85D5-31B090AFCEAD}">
  <sheetPr codeName="Sheet46">
    <tabColor rgb="FF3333FF"/>
  </sheetPr>
  <dimension ref="A1:G5"/>
  <sheetViews>
    <sheetView zoomScale="115" zoomScaleNormal="115" workbookViewId="0">
      <selection activeCell="B20" sqref="B20"/>
    </sheetView>
  </sheetViews>
  <sheetFormatPr defaultColWidth="16.44140625" defaultRowHeight="14.4" x14ac:dyDescent="0.3"/>
  <cols>
    <col min="1" max="1" width="4.109375" bestFit="1" customWidth="1"/>
    <col min="2" max="2" width="16.44140625" customWidth="1"/>
    <col min="3" max="4" width="13" customWidth="1"/>
    <col min="5" max="5" width="16.44140625" customWidth="1"/>
    <col min="6" max="6" width="13" customWidth="1"/>
  </cols>
  <sheetData>
    <row r="1" spans="1:7" s="13" customFormat="1" ht="28.8" x14ac:dyDescent="0.3">
      <c r="A1" s="33" t="s">
        <v>89</v>
      </c>
      <c r="B1" s="33" t="s">
        <v>3</v>
      </c>
      <c r="C1" s="33" t="s">
        <v>86</v>
      </c>
      <c r="D1" s="33" t="s">
        <v>86</v>
      </c>
      <c r="E1" s="33" t="s">
        <v>87</v>
      </c>
      <c r="F1" s="33" t="s">
        <v>88</v>
      </c>
      <c r="G1" s="33" t="s">
        <v>53</v>
      </c>
    </row>
    <row r="2" spans="1:7" x14ac:dyDescent="0.3">
      <c r="A2" s="36">
        <v>1</v>
      </c>
      <c r="B2" s="54">
        <v>250</v>
      </c>
      <c r="C2" s="30"/>
      <c r="D2" s="30"/>
      <c r="E2" s="59">
        <v>0.09</v>
      </c>
      <c r="F2" s="6">
        <v>1</v>
      </c>
      <c r="G2" s="54">
        <v>1105</v>
      </c>
    </row>
    <row r="3" spans="1:7" x14ac:dyDescent="0.3">
      <c r="A3" s="36">
        <v>2</v>
      </c>
      <c r="B3" s="54">
        <v>1941</v>
      </c>
      <c r="C3" s="30"/>
      <c r="D3" s="30"/>
      <c r="E3" s="59">
        <v>7.0000000000000007E-2</v>
      </c>
      <c r="F3" s="6">
        <v>1</v>
      </c>
      <c r="G3" s="54">
        <v>3700</v>
      </c>
    </row>
    <row r="4" spans="1:7" x14ac:dyDescent="0.3">
      <c r="A4" s="36">
        <v>3</v>
      </c>
      <c r="B4" s="54">
        <v>32805</v>
      </c>
      <c r="C4" s="30"/>
      <c r="D4" s="30"/>
      <c r="E4" s="59">
        <v>0.12</v>
      </c>
      <c r="F4" s="6">
        <v>1</v>
      </c>
      <c r="G4" s="54">
        <v>387120</v>
      </c>
    </row>
    <row r="5" spans="1:7" x14ac:dyDescent="0.3">
      <c r="A5" s="36">
        <v>4</v>
      </c>
      <c r="B5" s="54">
        <v>32500</v>
      </c>
      <c r="C5" s="30"/>
      <c r="D5" s="30"/>
      <c r="E5" s="59">
        <v>0.19</v>
      </c>
      <c r="F5" s="6">
        <v>1</v>
      </c>
      <c r="G5" s="54">
        <v>198212</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1AE90-D40A-4183-904F-8FDC1B1D25B7}">
  <sheetPr codeName="Sheet47">
    <tabColor rgb="FFFF0000"/>
  </sheetPr>
  <dimension ref="A1:G5"/>
  <sheetViews>
    <sheetView zoomScale="115" zoomScaleNormal="115" workbookViewId="0">
      <selection activeCell="B20" sqref="B20"/>
    </sheetView>
  </sheetViews>
  <sheetFormatPr defaultColWidth="16.44140625" defaultRowHeight="14.4" x14ac:dyDescent="0.3"/>
  <cols>
    <col min="1" max="1" width="4.109375" bestFit="1" customWidth="1"/>
    <col min="2" max="2" width="16.44140625" customWidth="1"/>
    <col min="3" max="4" width="13" customWidth="1"/>
    <col min="5" max="5" width="16.44140625" customWidth="1"/>
    <col min="6" max="6" width="13" customWidth="1"/>
  </cols>
  <sheetData>
    <row r="1" spans="1:7" s="13" customFormat="1" ht="28.8" x14ac:dyDescent="0.3">
      <c r="A1" s="33" t="s">
        <v>89</v>
      </c>
      <c r="B1" s="33" t="s">
        <v>3</v>
      </c>
      <c r="C1" s="33" t="s">
        <v>86</v>
      </c>
      <c r="D1" s="33" t="s">
        <v>86</v>
      </c>
      <c r="E1" s="33" t="s">
        <v>87</v>
      </c>
      <c r="F1" s="33" t="s">
        <v>88</v>
      </c>
      <c r="G1" s="33" t="s">
        <v>53</v>
      </c>
    </row>
    <row r="2" spans="1:7" x14ac:dyDescent="0.3">
      <c r="A2" s="36">
        <v>1</v>
      </c>
      <c r="B2" s="54">
        <v>250</v>
      </c>
      <c r="C2" s="30">
        <f>NPER(E2/F2,,-B2,G2)/F2</f>
        <v>17.245061784114569</v>
      </c>
      <c r="D2" s="30">
        <f>(LN(G2/B2)/LN(1+E2/F2))/F2</f>
        <v>17.245061784114569</v>
      </c>
      <c r="E2" s="59">
        <v>0.09</v>
      </c>
      <c r="F2" s="6">
        <v>1</v>
      </c>
      <c r="G2" s="54">
        <v>1105</v>
      </c>
    </row>
    <row r="3" spans="1:7" x14ac:dyDescent="0.3">
      <c r="A3" s="36">
        <v>2</v>
      </c>
      <c r="B3" s="54">
        <v>1941</v>
      </c>
      <c r="C3" s="30">
        <f>NPER(E3/F3,,-B3,G3)/F3</f>
        <v>9.5350635878129086</v>
      </c>
      <c r="D3" s="30">
        <f>(LN(G3/B3)/LN(1+E3/F3))/F3</f>
        <v>9.5350635878129086</v>
      </c>
      <c r="E3" s="59">
        <v>7.0000000000000007E-2</v>
      </c>
      <c r="F3" s="6">
        <v>1</v>
      </c>
      <c r="G3" s="54">
        <v>3700</v>
      </c>
    </row>
    <row r="4" spans="1:7" x14ac:dyDescent="0.3">
      <c r="A4" s="36">
        <v>3</v>
      </c>
      <c r="B4" s="54">
        <v>32805</v>
      </c>
      <c r="C4" s="30">
        <f>NPER(E4/F4,,-B4,G4)/F4</f>
        <v>21.778720656664145</v>
      </c>
      <c r="D4" s="30">
        <f>(LN(G4/B4)/LN(1+E4/F4))/F4</f>
        <v>21.778720656664145</v>
      </c>
      <c r="E4" s="59">
        <v>0.12</v>
      </c>
      <c r="F4" s="6">
        <v>1</v>
      </c>
      <c r="G4" s="54">
        <v>387120</v>
      </c>
    </row>
    <row r="5" spans="1:7" x14ac:dyDescent="0.3">
      <c r="A5" s="36">
        <v>4</v>
      </c>
      <c r="B5" s="54">
        <v>32500</v>
      </c>
      <c r="C5" s="30">
        <f>NPER(E5/F5,,-B5,G5)/F5</f>
        <v>10.394151772857823</v>
      </c>
      <c r="D5" s="30">
        <f>(LN(G5/B5)/LN(1+E5/F5))/F5</f>
        <v>10.394151772857823</v>
      </c>
      <c r="E5" s="59">
        <v>0.19</v>
      </c>
      <c r="F5" s="6">
        <v>1</v>
      </c>
      <c r="G5" s="54">
        <v>198212</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78F3C-B71B-4BFB-9605-BD6ED8626177}">
  <sheetPr codeName="Sheet48">
    <tabColor rgb="FF3333FF"/>
  </sheetPr>
  <dimension ref="A1:E7"/>
  <sheetViews>
    <sheetView zoomScale="145" zoomScaleNormal="145" workbookViewId="0">
      <selection activeCell="B20" sqref="B20"/>
    </sheetView>
  </sheetViews>
  <sheetFormatPr defaultRowHeight="14.4" x14ac:dyDescent="0.3"/>
  <cols>
    <col min="1" max="1" width="24.88671875" bestFit="1" customWidth="1"/>
    <col min="3" max="5" width="17.88671875" customWidth="1"/>
  </cols>
  <sheetData>
    <row r="1" spans="1:5" x14ac:dyDescent="0.3">
      <c r="A1" s="6" t="s">
        <v>90</v>
      </c>
      <c r="B1" s="6">
        <v>320000</v>
      </c>
    </row>
    <row r="2" spans="1:5" x14ac:dyDescent="0.3">
      <c r="A2" s="6" t="s">
        <v>66</v>
      </c>
      <c r="B2" s="6">
        <v>18</v>
      </c>
    </row>
    <row r="3" spans="1:5" x14ac:dyDescent="0.3">
      <c r="A3" s="6" t="s">
        <v>64</v>
      </c>
      <c r="B3" s="6">
        <v>50000</v>
      </c>
    </row>
    <row r="4" spans="1:5" x14ac:dyDescent="0.3">
      <c r="A4" s="6" t="s">
        <v>68</v>
      </c>
      <c r="B4" s="6">
        <v>1</v>
      </c>
    </row>
    <row r="5" spans="1:5" x14ac:dyDescent="0.3">
      <c r="A5" s="6" t="s">
        <v>72</v>
      </c>
      <c r="B5" s="41"/>
      <c r="C5" s="41"/>
    </row>
    <row r="6" spans="1:5" x14ac:dyDescent="0.3">
      <c r="A6" s="6" t="s">
        <v>65</v>
      </c>
      <c r="B6" s="30"/>
      <c r="C6" s="30"/>
    </row>
    <row r="7" spans="1:5" x14ac:dyDescent="0.3">
      <c r="A7" s="31" t="s">
        <v>91</v>
      </c>
      <c r="B7" s="45"/>
      <c r="C7" s="46"/>
      <c r="D7" s="46"/>
      <c r="E7" s="47"/>
    </row>
  </sheetData>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ABC7A-B739-42F0-8EAD-2DB85B7ABD44}">
  <sheetPr codeName="Sheet49">
    <tabColor rgb="FFFF0000"/>
  </sheetPr>
  <dimension ref="A1:E10"/>
  <sheetViews>
    <sheetView zoomScale="145" zoomScaleNormal="145" workbookViewId="0">
      <selection activeCell="B20" sqref="B20"/>
    </sheetView>
  </sheetViews>
  <sheetFormatPr defaultRowHeight="14.4" x14ac:dyDescent="0.3"/>
  <cols>
    <col min="1" max="1" width="24.88671875" bestFit="1" customWidth="1"/>
    <col min="2" max="2" width="19" bestFit="1" customWidth="1"/>
    <col min="3" max="5" width="17.88671875" customWidth="1"/>
  </cols>
  <sheetData>
    <row r="1" spans="1:5" x14ac:dyDescent="0.3">
      <c r="A1" s="6" t="s">
        <v>90</v>
      </c>
      <c r="B1" s="6">
        <v>320000</v>
      </c>
    </row>
    <row r="2" spans="1:5" x14ac:dyDescent="0.3">
      <c r="A2" s="6" t="s">
        <v>66</v>
      </c>
      <c r="B2" s="6">
        <v>18</v>
      </c>
    </row>
    <row r="3" spans="1:5" x14ac:dyDescent="0.3">
      <c r="A3" s="6" t="s">
        <v>64</v>
      </c>
      <c r="B3" s="6">
        <v>50000</v>
      </c>
    </row>
    <row r="4" spans="1:5" x14ac:dyDescent="0.3">
      <c r="A4" s="6" t="s">
        <v>68</v>
      </c>
      <c r="B4" s="6">
        <v>1</v>
      </c>
    </row>
    <row r="5" spans="1:5" x14ac:dyDescent="0.3">
      <c r="A5" s="6" t="s">
        <v>72</v>
      </c>
      <c r="B5" s="41">
        <f>(B1/B3)^(1/B2*B4)-1</f>
        <v>0.10863293491975656</v>
      </c>
      <c r="C5" s="41">
        <f>RATE(B2*B4,,-B3,B1)</f>
        <v>0.10863293491975637</v>
      </c>
    </row>
    <row r="6" spans="1:5" x14ac:dyDescent="0.3">
      <c r="A6" s="6" t="s">
        <v>65</v>
      </c>
      <c r="B6" s="30">
        <f>B5*B4</f>
        <v>0.10863293491975656</v>
      </c>
      <c r="C6" s="30">
        <f>C5*B4</f>
        <v>0.10863293491975637</v>
      </c>
    </row>
    <row r="7" spans="1:5" ht="28.8" x14ac:dyDescent="0.3">
      <c r="A7" s="31" t="s">
        <v>91</v>
      </c>
      <c r="B7" s="42" t="str">
        <f>"To allow our current investment of "&amp;DOLLAR(B3)&amp;" to cover the our child's eduction costs in "&amp;B2&amp;" years, we would have to earn an annual return of "&amp;TEXT(B6,"0.00%")&amp;"."</f>
        <v>To allow our current investment of $50,000.00 to cover the our child's eduction costs in 18 years, we would have to earn an annual return of 10.86%.</v>
      </c>
      <c r="C7" s="42"/>
      <c r="D7" s="42"/>
      <c r="E7" s="42"/>
    </row>
    <row r="9" spans="1:5" x14ac:dyDescent="0.3">
      <c r="B9" t="s">
        <v>139</v>
      </c>
    </row>
    <row r="10" spans="1:5" x14ac:dyDescent="0.3">
      <c r="B10" t="s">
        <v>150</v>
      </c>
    </row>
  </sheetData>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F41FC-F5F3-42A2-A0A5-4242674F5EC0}">
  <sheetPr codeName="Sheet50">
    <tabColor rgb="FF3333FF"/>
  </sheetPr>
  <dimension ref="A1:G16"/>
  <sheetViews>
    <sheetView workbookViewId="0">
      <selection activeCell="B20" sqref="B20"/>
    </sheetView>
  </sheetViews>
  <sheetFormatPr defaultRowHeight="14.4" x14ac:dyDescent="0.3"/>
  <cols>
    <col min="1" max="1" width="47.88671875" bestFit="1" customWidth="1"/>
  </cols>
  <sheetData>
    <row r="1" spans="1:7" x14ac:dyDescent="0.3">
      <c r="A1" s="6" t="s">
        <v>94</v>
      </c>
      <c r="B1" s="6">
        <v>7.0000000000000007E-2</v>
      </c>
      <c r="D1" t="s">
        <v>139</v>
      </c>
    </row>
    <row r="2" spans="1:7" x14ac:dyDescent="0.3">
      <c r="A2" s="6" t="s">
        <v>68</v>
      </c>
      <c r="B2" s="6">
        <v>1</v>
      </c>
      <c r="D2" t="s">
        <v>151</v>
      </c>
    </row>
    <row r="3" spans="1:7" ht="15.6" x14ac:dyDescent="0.35">
      <c r="A3" s="6" t="s">
        <v>92</v>
      </c>
      <c r="B3" s="6">
        <v>1</v>
      </c>
    </row>
    <row r="4" spans="1:7" ht="15.6" x14ac:dyDescent="0.35">
      <c r="A4" s="6" t="s">
        <v>152</v>
      </c>
      <c r="B4" s="6">
        <v>2</v>
      </c>
      <c r="D4" s="6" t="s">
        <v>50</v>
      </c>
      <c r="E4" s="6" t="s">
        <v>79</v>
      </c>
    </row>
    <row r="5" spans="1:7" x14ac:dyDescent="0.3">
      <c r="A5" s="6" t="s">
        <v>95</v>
      </c>
      <c r="B5" s="30"/>
      <c r="D5" s="30"/>
      <c r="E5" s="28"/>
    </row>
    <row r="6" spans="1:7" x14ac:dyDescent="0.3">
      <c r="A6" s="6" t="s">
        <v>66</v>
      </c>
      <c r="B6" s="30"/>
    </row>
    <row r="8" spans="1:7" x14ac:dyDescent="0.3">
      <c r="A8" s="6" t="s">
        <v>94</v>
      </c>
      <c r="B8" s="6">
        <v>7.0000000000000007E-2</v>
      </c>
    </row>
    <row r="9" spans="1:7" x14ac:dyDescent="0.3">
      <c r="A9" s="6" t="s">
        <v>68</v>
      </c>
      <c r="B9" s="6">
        <v>1</v>
      </c>
    </row>
    <row r="10" spans="1:7" ht="15.6" x14ac:dyDescent="0.35">
      <c r="A10" s="6" t="s">
        <v>153</v>
      </c>
      <c r="B10" s="6">
        <v>1</v>
      </c>
    </row>
    <row r="11" spans="1:7" ht="15.6" x14ac:dyDescent="0.35">
      <c r="A11" s="6" t="s">
        <v>93</v>
      </c>
      <c r="B11" s="6">
        <v>4</v>
      </c>
      <c r="D11" s="6" t="s">
        <v>50</v>
      </c>
      <c r="E11" s="6" t="s">
        <v>79</v>
      </c>
    </row>
    <row r="12" spans="1:7" x14ac:dyDescent="0.3">
      <c r="A12" s="6" t="s">
        <v>95</v>
      </c>
      <c r="B12" s="30"/>
      <c r="D12" s="30"/>
      <c r="E12" s="28"/>
    </row>
    <row r="13" spans="1:7" x14ac:dyDescent="0.3">
      <c r="A13" s="6" t="s">
        <v>66</v>
      </c>
      <c r="B13" s="30"/>
    </row>
    <row r="15" spans="1:7" x14ac:dyDescent="0.3">
      <c r="A15" t="s">
        <v>91</v>
      </c>
      <c r="B15" s="45"/>
      <c r="C15" s="46"/>
      <c r="D15" s="46"/>
      <c r="E15" s="46"/>
      <c r="F15" s="46"/>
      <c r="G15" s="47"/>
    </row>
    <row r="16" spans="1:7" x14ac:dyDescent="0.3">
      <c r="A16" t="s">
        <v>91</v>
      </c>
      <c r="B16" s="45"/>
      <c r="C16" s="46"/>
      <c r="D16" s="46"/>
      <c r="E16" s="46"/>
      <c r="F16" s="46"/>
      <c r="G16" s="47"/>
    </row>
  </sheetData>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CC7AA-BB34-485D-B4F7-B3B57A9532D4}">
  <sheetPr codeName="Sheet51">
    <tabColor rgb="FFFF0000"/>
  </sheetPr>
  <dimension ref="A1:G19"/>
  <sheetViews>
    <sheetView topLeftCell="A4" workbookViewId="0">
      <selection activeCell="B20" sqref="B20"/>
    </sheetView>
  </sheetViews>
  <sheetFormatPr defaultRowHeight="14.4" x14ac:dyDescent="0.3"/>
  <cols>
    <col min="1" max="1" width="47.88671875" bestFit="1" customWidth="1"/>
  </cols>
  <sheetData>
    <row r="1" spans="1:5" x14ac:dyDescent="0.3">
      <c r="A1" s="6" t="s">
        <v>94</v>
      </c>
      <c r="B1" s="6">
        <v>7.0000000000000007E-2</v>
      </c>
    </row>
    <row r="2" spans="1:5" x14ac:dyDescent="0.3">
      <c r="A2" s="6" t="s">
        <v>68</v>
      </c>
      <c r="B2" s="6">
        <v>1</v>
      </c>
    </row>
    <row r="3" spans="1:5" ht="15.6" x14ac:dyDescent="0.35">
      <c r="A3" s="6" t="s">
        <v>92</v>
      </c>
      <c r="B3" s="6">
        <v>1</v>
      </c>
    </row>
    <row r="4" spans="1:5" x14ac:dyDescent="0.3">
      <c r="A4" s="6" t="s">
        <v>94</v>
      </c>
      <c r="B4" s="6">
        <v>7.0000000000000007E-2</v>
      </c>
      <c r="D4" t="s">
        <v>139</v>
      </c>
    </row>
    <row r="5" spans="1:5" x14ac:dyDescent="0.3">
      <c r="A5" s="6" t="s">
        <v>68</v>
      </c>
      <c r="B5" s="6">
        <v>1</v>
      </c>
      <c r="D5" t="s">
        <v>151</v>
      </c>
    </row>
    <row r="6" spans="1:5" ht="15.6" x14ac:dyDescent="0.35">
      <c r="A6" s="6" t="s">
        <v>92</v>
      </c>
      <c r="B6" s="6">
        <v>1</v>
      </c>
    </row>
    <row r="7" spans="1:5" ht="15.6" x14ac:dyDescent="0.35">
      <c r="A7" s="6" t="s">
        <v>152</v>
      </c>
      <c r="B7" s="6">
        <v>2</v>
      </c>
      <c r="D7" s="6" t="s">
        <v>50</v>
      </c>
      <c r="E7" s="6" t="s">
        <v>79</v>
      </c>
    </row>
    <row r="8" spans="1:5" x14ac:dyDescent="0.3">
      <c r="A8" s="6" t="s">
        <v>95</v>
      </c>
      <c r="B8" s="30">
        <f>NPER(B4/B5,,-B6,B7)</f>
        <v>10.244768351058712</v>
      </c>
      <c r="D8" s="30">
        <f>LN(B7/B6)/LN(1+B4)</f>
        <v>10.244768351058712</v>
      </c>
      <c r="E8" s="28">
        <f>FV(B4/B5,D8,,-B6)</f>
        <v>2</v>
      </c>
    </row>
    <row r="9" spans="1:5" x14ac:dyDescent="0.3">
      <c r="A9" s="6" t="s">
        <v>66</v>
      </c>
      <c r="B9" s="30">
        <f>B8/B5</f>
        <v>10.244768351058712</v>
      </c>
    </row>
    <row r="11" spans="1:5" x14ac:dyDescent="0.3">
      <c r="A11" s="6" t="s">
        <v>94</v>
      </c>
      <c r="B11" s="6">
        <v>7.0000000000000007E-2</v>
      </c>
    </row>
    <row r="12" spans="1:5" x14ac:dyDescent="0.3">
      <c r="A12" s="6" t="s">
        <v>68</v>
      </c>
      <c r="B12" s="6">
        <v>1</v>
      </c>
    </row>
    <row r="13" spans="1:5" ht="15.6" x14ac:dyDescent="0.35">
      <c r="A13" s="6" t="s">
        <v>153</v>
      </c>
      <c r="B13" s="6">
        <v>1</v>
      </c>
    </row>
    <row r="14" spans="1:5" ht="15.6" x14ac:dyDescent="0.35">
      <c r="A14" s="6" t="s">
        <v>93</v>
      </c>
      <c r="B14" s="6">
        <v>4</v>
      </c>
      <c r="D14" s="6" t="s">
        <v>50</v>
      </c>
      <c r="E14" s="6" t="s">
        <v>79</v>
      </c>
    </row>
    <row r="15" spans="1:5" x14ac:dyDescent="0.3">
      <c r="A15" s="6" t="s">
        <v>95</v>
      </c>
      <c r="B15" s="30">
        <f>NPER(B11*B12,,-B13,B14)</f>
        <v>20.489536702117423</v>
      </c>
      <c r="D15" s="30">
        <f>LN(B14/B13)/LN(1+B11)</f>
        <v>20.489536702117423</v>
      </c>
      <c r="E15" s="28">
        <f>FV(B11/B12,D15,,-B13)</f>
        <v>4</v>
      </c>
    </row>
    <row r="16" spans="1:5" x14ac:dyDescent="0.3">
      <c r="A16" s="6" t="s">
        <v>66</v>
      </c>
      <c r="B16" s="30">
        <f>B15/B12</f>
        <v>20.489536702117423</v>
      </c>
    </row>
    <row r="18" spans="1:7" ht="28.8" x14ac:dyDescent="0.3">
      <c r="A18" t="s">
        <v>91</v>
      </c>
      <c r="B18" s="42" t="str">
        <f>"To double my investment at an Annual Rate of "&amp;TEXT(B4,"0.00%")&amp;" I would have to invest for "&amp;ROUND(B9,2)&amp;"years."</f>
        <v>To double my investment at an Annual Rate of 7.00% I would have to invest for 10.24years.</v>
      </c>
      <c r="C18" s="42"/>
      <c r="D18" s="42"/>
      <c r="E18" s="42"/>
      <c r="F18" s="42"/>
      <c r="G18" s="42"/>
    </row>
    <row r="19" spans="1:7" ht="28.8" x14ac:dyDescent="0.3">
      <c r="A19" t="s">
        <v>91</v>
      </c>
      <c r="B19" s="42" t="str">
        <f>"To quadruple my investment at an Annual Rate of "&amp;TEXT(B11,"0.00%")&amp;" I would have to invest for "&amp;ROUND(B16,2)&amp;"years."</f>
        <v>To quadruple my investment at an Annual Rate of 7.00% I would have to invest for 20.49years.</v>
      </c>
      <c r="C19" s="42"/>
      <c r="D19" s="42"/>
      <c r="E19" s="42"/>
      <c r="F19" s="42"/>
      <c r="G19" s="42"/>
    </row>
  </sheetData>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920F4-B747-4E6A-A442-3059BA0BC090}">
  <sheetPr codeName="Sheet52">
    <tabColor rgb="FF3333FF"/>
  </sheetPr>
  <dimension ref="A1:D8"/>
  <sheetViews>
    <sheetView workbookViewId="0">
      <selection activeCell="B20" sqref="B20"/>
    </sheetView>
  </sheetViews>
  <sheetFormatPr defaultRowHeight="14.4" x14ac:dyDescent="0.3"/>
  <cols>
    <col min="1" max="1" width="47.88671875" bestFit="1" customWidth="1"/>
    <col min="2" max="2" width="10.88671875" bestFit="1" customWidth="1"/>
  </cols>
  <sheetData>
    <row r="1" spans="1:4" x14ac:dyDescent="0.3">
      <c r="A1" s="6" t="s">
        <v>26</v>
      </c>
      <c r="B1" s="6">
        <v>1893</v>
      </c>
    </row>
    <row r="2" spans="1:4" x14ac:dyDescent="0.3">
      <c r="A2" s="6" t="s">
        <v>25</v>
      </c>
      <c r="B2" s="6">
        <v>2009</v>
      </c>
    </row>
    <row r="3" spans="1:4" x14ac:dyDescent="0.3">
      <c r="A3" s="6" t="s">
        <v>98</v>
      </c>
      <c r="B3" s="30"/>
    </row>
    <row r="4" spans="1:4" x14ac:dyDescent="0.3">
      <c r="A4" s="6" t="s">
        <v>64</v>
      </c>
      <c r="B4" s="7">
        <v>1</v>
      </c>
    </row>
    <row r="5" spans="1:4" x14ac:dyDescent="0.3">
      <c r="A5" s="6" t="s">
        <v>67</v>
      </c>
      <c r="B5" s="7">
        <v>6450</v>
      </c>
    </row>
    <row r="6" spans="1:4" x14ac:dyDescent="0.3">
      <c r="A6" s="6" t="s">
        <v>68</v>
      </c>
      <c r="B6" s="6">
        <v>1</v>
      </c>
      <c r="D6" s="6" t="s">
        <v>50</v>
      </c>
    </row>
    <row r="7" spans="1:4" x14ac:dyDescent="0.3">
      <c r="A7" s="6" t="s">
        <v>72</v>
      </c>
      <c r="B7" s="43"/>
      <c r="D7" s="30"/>
    </row>
    <row r="8" spans="1:4" x14ac:dyDescent="0.3">
      <c r="A8" s="6" t="s">
        <v>65</v>
      </c>
      <c r="B8" s="30"/>
    </row>
  </sheetData>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82E23-D24D-4024-B3BF-336378CCD07F}">
  <sheetPr codeName="Sheet53">
    <tabColor rgb="FFFF0000"/>
  </sheetPr>
  <dimension ref="A1:D8"/>
  <sheetViews>
    <sheetView zoomScale="115" zoomScaleNormal="115" workbookViewId="0">
      <selection activeCell="B20" sqref="B20"/>
    </sheetView>
  </sheetViews>
  <sheetFormatPr defaultRowHeight="14.4" x14ac:dyDescent="0.3"/>
  <cols>
    <col min="1" max="1" width="47.88671875" bestFit="1" customWidth="1"/>
    <col min="2" max="2" width="10.88671875" bestFit="1" customWidth="1"/>
  </cols>
  <sheetData>
    <row r="1" spans="1:4" x14ac:dyDescent="0.3">
      <c r="A1" s="6" t="s">
        <v>26</v>
      </c>
      <c r="B1" s="6">
        <v>1893</v>
      </c>
    </row>
    <row r="2" spans="1:4" x14ac:dyDescent="0.3">
      <c r="A2" s="6" t="s">
        <v>25</v>
      </c>
      <c r="B2" s="6">
        <v>2009</v>
      </c>
    </row>
    <row r="3" spans="1:4" x14ac:dyDescent="0.3">
      <c r="A3" s="6" t="s">
        <v>98</v>
      </c>
      <c r="B3" s="30">
        <f>B2-B1</f>
        <v>116</v>
      </c>
    </row>
    <row r="4" spans="1:4" x14ac:dyDescent="0.3">
      <c r="A4" s="6" t="s">
        <v>64</v>
      </c>
      <c r="B4" s="7">
        <v>1</v>
      </c>
    </row>
    <row r="5" spans="1:4" x14ac:dyDescent="0.3">
      <c r="A5" s="6" t="s">
        <v>67</v>
      </c>
      <c r="B5" s="7">
        <v>6450</v>
      </c>
    </row>
    <row r="6" spans="1:4" x14ac:dyDescent="0.3">
      <c r="A6" s="6" t="s">
        <v>68</v>
      </c>
      <c r="B6" s="6">
        <v>1</v>
      </c>
      <c r="D6" s="6" t="s">
        <v>50</v>
      </c>
    </row>
    <row r="7" spans="1:4" x14ac:dyDescent="0.3">
      <c r="A7" s="6" t="s">
        <v>72</v>
      </c>
      <c r="B7" s="43">
        <f>RATE(B3*B6,,-B4,B5)</f>
        <v>7.8551859762079845E-2</v>
      </c>
      <c r="D7" s="30">
        <f>(B5/B4)^(1/(B3*B6))-1</f>
        <v>7.8551859762044263E-2</v>
      </c>
    </row>
    <row r="8" spans="1:4" x14ac:dyDescent="0.3">
      <c r="A8" s="6" t="s">
        <v>65</v>
      </c>
      <c r="B8" s="30">
        <f>B7*B6</f>
        <v>7.8551859762079845E-2</v>
      </c>
    </row>
  </sheetData>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A1355-FC35-4B34-9A32-9842BAED5936}">
  <sheetPr codeName="Sheet54">
    <tabColor rgb="FF3333FF"/>
  </sheetPr>
  <dimension ref="A1:F9"/>
  <sheetViews>
    <sheetView workbookViewId="0">
      <selection activeCell="B20" sqref="B20"/>
    </sheetView>
  </sheetViews>
  <sheetFormatPr defaultRowHeight="14.4" x14ac:dyDescent="0.3"/>
  <cols>
    <col min="1" max="1" width="58" style="13" customWidth="1"/>
    <col min="2" max="2" width="16.33203125" bestFit="1" customWidth="1"/>
    <col min="4" max="4" width="13.88671875" bestFit="1" customWidth="1"/>
  </cols>
  <sheetData>
    <row r="1" spans="1:6" x14ac:dyDescent="0.3">
      <c r="A1" s="12" t="s">
        <v>97</v>
      </c>
      <c r="B1" s="54">
        <v>750000000</v>
      </c>
    </row>
    <row r="2" spans="1:6" x14ac:dyDescent="0.3">
      <c r="A2" s="12" t="s">
        <v>99</v>
      </c>
      <c r="B2" s="6">
        <v>25</v>
      </c>
    </row>
    <row r="3" spans="1:6" x14ac:dyDescent="0.3">
      <c r="A3" s="12" t="s">
        <v>101</v>
      </c>
      <c r="B3" s="6">
        <v>0.08</v>
      </c>
    </row>
    <row r="4" spans="1:6" x14ac:dyDescent="0.3">
      <c r="A4" s="12" t="s">
        <v>68</v>
      </c>
      <c r="B4" s="6">
        <v>1</v>
      </c>
    </row>
    <row r="5" spans="1:6" x14ac:dyDescent="0.3">
      <c r="A5" s="12" t="s">
        <v>74</v>
      </c>
      <c r="B5" s="30">
        <f>B4*B2</f>
        <v>25</v>
      </c>
    </row>
    <row r="6" spans="1:6" x14ac:dyDescent="0.3">
      <c r="A6" s="12" t="s">
        <v>72</v>
      </c>
      <c r="B6" s="30">
        <f>B3/B4</f>
        <v>0.08</v>
      </c>
      <c r="D6" t="s">
        <v>50</v>
      </c>
    </row>
    <row r="7" spans="1:6" ht="28.8" x14ac:dyDescent="0.3">
      <c r="A7" s="12" t="s">
        <v>102</v>
      </c>
      <c r="B7" s="28"/>
      <c r="D7" s="61"/>
    </row>
    <row r="9" spans="1:6" x14ac:dyDescent="0.3">
      <c r="A9" s="12" t="s">
        <v>91</v>
      </c>
      <c r="B9" s="45"/>
      <c r="C9" s="46"/>
      <c r="D9" s="46"/>
      <c r="E9" s="46"/>
      <c r="F9" s="47"/>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CCF58-8129-4A73-BDC2-2D6746130336}">
  <sheetPr codeName="Sheet55">
    <tabColor rgb="FFFF0000"/>
  </sheetPr>
  <dimension ref="A1:F9"/>
  <sheetViews>
    <sheetView workbookViewId="0">
      <selection activeCell="B20" sqref="B20"/>
    </sheetView>
  </sheetViews>
  <sheetFormatPr defaultRowHeight="14.4" x14ac:dyDescent="0.3"/>
  <cols>
    <col min="1" max="1" width="58" style="13" customWidth="1"/>
    <col min="2" max="2" width="16.33203125" bestFit="1" customWidth="1"/>
    <col min="4" max="4" width="16.33203125" bestFit="1" customWidth="1"/>
  </cols>
  <sheetData>
    <row r="1" spans="1:6" x14ac:dyDescent="0.3">
      <c r="A1" s="12" t="s">
        <v>97</v>
      </c>
      <c r="B1" s="54">
        <v>750000000</v>
      </c>
    </row>
    <row r="2" spans="1:6" x14ac:dyDescent="0.3">
      <c r="A2" s="12" t="s">
        <v>99</v>
      </c>
      <c r="B2" s="6">
        <v>25</v>
      </c>
    </row>
    <row r="3" spans="1:6" x14ac:dyDescent="0.3">
      <c r="A3" s="12" t="s">
        <v>101</v>
      </c>
      <c r="B3" s="6">
        <v>0.08</v>
      </c>
    </row>
    <row r="4" spans="1:6" x14ac:dyDescent="0.3">
      <c r="A4" s="12" t="s">
        <v>68</v>
      </c>
      <c r="B4" s="6">
        <v>1</v>
      </c>
    </row>
    <row r="5" spans="1:6" x14ac:dyDescent="0.3">
      <c r="A5" s="12" t="s">
        <v>74</v>
      </c>
      <c r="B5" s="30">
        <f>B4*B2</f>
        <v>25</v>
      </c>
    </row>
    <row r="6" spans="1:6" x14ac:dyDescent="0.3">
      <c r="A6" s="12" t="s">
        <v>72</v>
      </c>
      <c r="B6" s="30">
        <f>B3/B4</f>
        <v>0.08</v>
      </c>
      <c r="D6" t="s">
        <v>50</v>
      </c>
    </row>
    <row r="7" spans="1:6" ht="28.8" x14ac:dyDescent="0.3">
      <c r="A7" s="12" t="s">
        <v>102</v>
      </c>
      <c r="B7" s="28">
        <f>PV(B3/B4,B5,,B1)</f>
        <v>-109513428.68468513</v>
      </c>
      <c r="D7" s="61">
        <f>B1/(1+B3/B4)^B5</f>
        <v>109513428.68468513</v>
      </c>
    </row>
    <row r="9" spans="1:6" ht="57.6" x14ac:dyDescent="0.3">
      <c r="A9" s="12" t="s">
        <v>91</v>
      </c>
      <c r="B9" s="42" t="str">
        <f>"The financial analyst would like to know what the future liability is worth today so it can help them to  calculate what the firm's market value is worth today. The Present Value of the future Unfunded Pension Liability is "&amp;DOLLAR(-B7)&amp;"."</f>
        <v>The financial analyst would like to know what the future liability is worth today so it can help them to  calculate what the firm's market value is worth today. The Present Value of the future Unfunded Pension Liability is $109,513,428.68.</v>
      </c>
      <c r="C9" s="46"/>
      <c r="D9" s="46"/>
      <c r="E9" s="46"/>
      <c r="F9" s="47"/>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42975-6D64-49AB-A2CF-EFBEA3F8A772}">
  <sheetPr codeName="Sheet56">
    <tabColor rgb="FF3333FF"/>
  </sheetPr>
  <dimension ref="A1:F6"/>
  <sheetViews>
    <sheetView workbookViewId="0">
      <selection activeCell="B20" sqref="B20"/>
    </sheetView>
  </sheetViews>
  <sheetFormatPr defaultRowHeight="14.4" x14ac:dyDescent="0.3"/>
  <cols>
    <col min="1" max="1" width="26.88671875" bestFit="1" customWidth="1"/>
    <col min="2" max="2" width="11.6640625" bestFit="1" customWidth="1"/>
  </cols>
  <sheetData>
    <row r="1" spans="1:6" x14ac:dyDescent="0.3">
      <c r="A1" s="6" t="s">
        <v>103</v>
      </c>
      <c r="B1" s="48">
        <v>2000000</v>
      </c>
    </row>
    <row r="2" spans="1:6" x14ac:dyDescent="0.3">
      <c r="A2" s="6" t="s">
        <v>104</v>
      </c>
      <c r="B2" s="6">
        <v>80</v>
      </c>
    </row>
    <row r="3" spans="1:6" x14ac:dyDescent="0.3">
      <c r="A3" s="6" t="s">
        <v>68</v>
      </c>
      <c r="B3" s="6">
        <v>1</v>
      </c>
    </row>
    <row r="4" spans="1:6" x14ac:dyDescent="0.3">
      <c r="A4" s="6" t="s">
        <v>100</v>
      </c>
      <c r="B4" s="6">
        <v>0.09</v>
      </c>
      <c r="F4" s="6" t="s">
        <v>154</v>
      </c>
    </row>
    <row r="5" spans="1:6" x14ac:dyDescent="0.3">
      <c r="A5" s="6" t="s">
        <v>64</v>
      </c>
      <c r="B5" s="28"/>
      <c r="F5" s="30"/>
    </row>
    <row r="6" spans="1:6" x14ac:dyDescent="0.3">
      <c r="A6" s="6" t="s">
        <v>91</v>
      </c>
      <c r="B6" s="44"/>
      <c r="C6" s="46"/>
      <c r="D6" s="47"/>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8BA37-1A93-406D-83B7-F5CF70135D87}">
  <sheetPr codeName="Sheet57">
    <tabColor rgb="FFFF0000"/>
  </sheetPr>
  <dimension ref="A1:F6"/>
  <sheetViews>
    <sheetView workbookViewId="0">
      <selection activeCell="B20" sqref="B20"/>
    </sheetView>
  </sheetViews>
  <sheetFormatPr defaultRowHeight="14.4" x14ac:dyDescent="0.3"/>
  <cols>
    <col min="1" max="1" width="26.88671875" bestFit="1" customWidth="1"/>
    <col min="2" max="2" width="11.6640625" bestFit="1" customWidth="1"/>
  </cols>
  <sheetData>
    <row r="1" spans="1:6" x14ac:dyDescent="0.3">
      <c r="A1" s="6" t="s">
        <v>103</v>
      </c>
      <c r="B1" s="48">
        <v>2000000</v>
      </c>
    </row>
    <row r="2" spans="1:6" x14ac:dyDescent="0.3">
      <c r="A2" s="6" t="s">
        <v>104</v>
      </c>
      <c r="B2" s="6">
        <v>80</v>
      </c>
    </row>
    <row r="3" spans="1:6" x14ac:dyDescent="0.3">
      <c r="A3" s="6" t="s">
        <v>68</v>
      </c>
      <c r="B3" s="6">
        <v>1</v>
      </c>
    </row>
    <row r="4" spans="1:6" x14ac:dyDescent="0.3">
      <c r="A4" s="6" t="s">
        <v>100</v>
      </c>
      <c r="B4" s="6">
        <v>0.09</v>
      </c>
      <c r="F4" t="s">
        <v>154</v>
      </c>
    </row>
    <row r="5" spans="1:6" x14ac:dyDescent="0.3">
      <c r="A5" s="6" t="s">
        <v>64</v>
      </c>
      <c r="B5" s="28">
        <f>PV(B4/B3,B2*B3,,B1)</f>
        <v>-2027.2633097819846</v>
      </c>
      <c r="F5">
        <f>B1/(1+B4/B3)^(B3*B2)</f>
        <v>2027.2633097819846</v>
      </c>
    </row>
    <row r="6" spans="1:6" ht="28.8" x14ac:dyDescent="0.3">
      <c r="A6" s="6" t="s">
        <v>105</v>
      </c>
      <c r="B6" s="42" t="str">
        <f>"The present value of this future lottery payout is "&amp;DOLLAR(-B5)&amp;"."</f>
        <v>The present value of this future lottery payout is $2,027.26.</v>
      </c>
      <c r="C6" s="46"/>
      <c r="D6" s="47"/>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5167D-7B86-4CE2-BA56-445E795B788E}">
  <sheetPr codeName="Sheet58">
    <tabColor rgb="FF3333FF"/>
  </sheetPr>
  <dimension ref="A1:H11"/>
  <sheetViews>
    <sheetView workbookViewId="0">
      <selection activeCell="B20" sqref="B20"/>
    </sheetView>
  </sheetViews>
  <sheetFormatPr defaultRowHeight="14.4" x14ac:dyDescent="0.3"/>
  <cols>
    <col min="2" max="2" width="11.88671875" bestFit="1" customWidth="1"/>
    <col min="5" max="5" width="11.88671875" bestFit="1" customWidth="1"/>
  </cols>
  <sheetData>
    <row r="1" spans="1:8" x14ac:dyDescent="0.3">
      <c r="A1" s="6" t="s">
        <v>107</v>
      </c>
      <c r="B1" s="6"/>
      <c r="D1" s="6" t="s">
        <v>108</v>
      </c>
      <c r="E1" s="6"/>
    </row>
    <row r="2" spans="1:8" x14ac:dyDescent="0.3">
      <c r="A2" s="6" t="s">
        <v>106</v>
      </c>
      <c r="B2" s="7">
        <v>5000</v>
      </c>
      <c r="D2" s="6" t="s">
        <v>106</v>
      </c>
      <c r="E2" s="7">
        <f>B2</f>
        <v>5000</v>
      </c>
    </row>
    <row r="3" spans="1:8" x14ac:dyDescent="0.3">
      <c r="A3" s="6" t="s">
        <v>65</v>
      </c>
      <c r="B3" s="6">
        <v>0.105</v>
      </c>
      <c r="D3" s="6" t="s">
        <v>65</v>
      </c>
      <c r="E3" s="6">
        <f>B3</f>
        <v>0.105</v>
      </c>
    </row>
    <row r="4" spans="1:8" x14ac:dyDescent="0.3">
      <c r="A4" s="6" t="s">
        <v>68</v>
      </c>
      <c r="B4" s="6">
        <f>1</f>
        <v>1</v>
      </c>
      <c r="D4" s="6" t="s">
        <v>68</v>
      </c>
      <c r="E4" s="6">
        <f>B4</f>
        <v>1</v>
      </c>
    </row>
    <row r="5" spans="1:8" x14ac:dyDescent="0.3">
      <c r="A5" s="6" t="s">
        <v>66</v>
      </c>
      <c r="B5" s="6">
        <v>45</v>
      </c>
      <c r="D5" s="6" t="s">
        <v>66</v>
      </c>
      <c r="E5" s="6">
        <v>35</v>
      </c>
    </row>
    <row r="6" spans="1:8" x14ac:dyDescent="0.3">
      <c r="A6" s="6" t="s">
        <v>67</v>
      </c>
      <c r="B6" s="28"/>
      <c r="D6" s="6" t="s">
        <v>67</v>
      </c>
      <c r="E6" s="28"/>
    </row>
    <row r="8" spans="1:8" x14ac:dyDescent="0.3">
      <c r="A8" s="6" t="s">
        <v>91</v>
      </c>
      <c r="B8" s="45"/>
      <c r="C8" s="46"/>
      <c r="D8" s="46"/>
      <c r="E8" s="46"/>
      <c r="F8" s="46"/>
      <c r="G8" s="46"/>
      <c r="H8" s="47"/>
    </row>
    <row r="10" spans="1:8" x14ac:dyDescent="0.3">
      <c r="B10" s="6" t="s">
        <v>154</v>
      </c>
      <c r="E10" s="6" t="s">
        <v>154</v>
      </c>
    </row>
    <row r="11" spans="1:8" x14ac:dyDescent="0.3">
      <c r="B11" s="30"/>
      <c r="E11" s="30"/>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814CB-4061-4CD1-B215-3169EB80D0F5}">
  <sheetPr codeName="Sheet59">
    <tabColor rgb="FFFF0000"/>
  </sheetPr>
  <dimension ref="A1:H11"/>
  <sheetViews>
    <sheetView workbookViewId="0">
      <selection activeCell="B20" sqref="B20"/>
    </sheetView>
  </sheetViews>
  <sheetFormatPr defaultRowHeight="14.4" x14ac:dyDescent="0.3"/>
  <cols>
    <col min="2" max="2" width="11.88671875" bestFit="1" customWidth="1"/>
    <col min="5" max="5" width="11.88671875" bestFit="1" customWidth="1"/>
    <col min="7" max="7" width="11.88671875" bestFit="1" customWidth="1"/>
    <col min="10" max="10" width="11.88671875" bestFit="1" customWidth="1"/>
  </cols>
  <sheetData>
    <row r="1" spans="1:8" x14ac:dyDescent="0.3">
      <c r="A1" s="6" t="s">
        <v>107</v>
      </c>
      <c r="B1" s="6"/>
      <c r="D1" s="6" t="s">
        <v>108</v>
      </c>
      <c r="E1" s="6"/>
    </row>
    <row r="2" spans="1:8" x14ac:dyDescent="0.3">
      <c r="A2" s="6" t="s">
        <v>106</v>
      </c>
      <c r="B2" s="7">
        <v>5000</v>
      </c>
      <c r="D2" s="6" t="s">
        <v>106</v>
      </c>
      <c r="E2" s="7">
        <f>B2</f>
        <v>5000</v>
      </c>
    </row>
    <row r="3" spans="1:8" x14ac:dyDescent="0.3">
      <c r="A3" s="6" t="s">
        <v>65</v>
      </c>
      <c r="B3" s="6">
        <v>0.105</v>
      </c>
      <c r="D3" s="6" t="s">
        <v>65</v>
      </c>
      <c r="E3" s="6">
        <f>B3</f>
        <v>0.105</v>
      </c>
    </row>
    <row r="4" spans="1:8" x14ac:dyDescent="0.3">
      <c r="A4" s="6" t="s">
        <v>68</v>
      </c>
      <c r="B4" s="6">
        <f>1</f>
        <v>1</v>
      </c>
      <c r="D4" s="6" t="s">
        <v>68</v>
      </c>
      <c r="E4" s="6">
        <f>B4</f>
        <v>1</v>
      </c>
    </row>
    <row r="5" spans="1:8" x14ac:dyDescent="0.3">
      <c r="A5" s="6" t="s">
        <v>66</v>
      </c>
      <c r="B5" s="6">
        <v>45</v>
      </c>
      <c r="D5" s="6" t="s">
        <v>66</v>
      </c>
      <c r="E5" s="6">
        <v>35</v>
      </c>
    </row>
    <row r="6" spans="1:8" x14ac:dyDescent="0.3">
      <c r="A6" s="6" t="s">
        <v>67</v>
      </c>
      <c r="B6" s="28">
        <f>FV(B3/B4,B5*B4,,-B2)</f>
        <v>446963.96943382319</v>
      </c>
      <c r="D6" s="6" t="s">
        <v>67</v>
      </c>
      <c r="E6" s="28">
        <f>FV(E3/E4,E5*E4,,-E2)</f>
        <v>164683.36600672454</v>
      </c>
    </row>
    <row r="8" spans="1:8" ht="43.2" x14ac:dyDescent="0.3">
      <c r="A8" s="6" t="s">
        <v>91</v>
      </c>
      <c r="B8" s="45" t="str">
        <f>"The investment Strategy that this suggests is that the most important variable in investment strategy is the Total Number of Periods. For "&amp;B5-E5&amp;" extra years, we get "&amp;DOLLAR(B6-E6)&amp;" extra dollars of return."</f>
        <v>The investment Strategy that this suggests is that the most important variable in investment strategy is the Total Number of Periods. For 10 extra years, we get $282,280.60 extra dollars of return.</v>
      </c>
      <c r="C8" s="46"/>
      <c r="D8" s="46"/>
      <c r="E8" s="46"/>
      <c r="F8" s="46"/>
      <c r="G8" s="46"/>
      <c r="H8" s="47"/>
    </row>
    <row r="10" spans="1:8" x14ac:dyDescent="0.3">
      <c r="B10" s="6" t="s">
        <v>154</v>
      </c>
      <c r="E10" s="6" t="s">
        <v>154</v>
      </c>
    </row>
    <row r="11" spans="1:8" x14ac:dyDescent="0.3">
      <c r="B11" s="30">
        <f>B2*(1+B3/B4)^(B4*B5)</f>
        <v>446963.96943382319</v>
      </c>
      <c r="E11" s="30">
        <f>E2*(1+E3/E4)^(E4*E5)</f>
        <v>164683.36600672454</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7BBE3-7D3A-4919-85AA-DD844A6C216A}">
  <sheetPr codeName="Sheet60">
    <tabColor rgb="FF3333FF"/>
  </sheetPr>
  <dimension ref="A1:M11"/>
  <sheetViews>
    <sheetView workbookViewId="0">
      <selection activeCell="B20" sqref="B20"/>
    </sheetView>
  </sheetViews>
  <sheetFormatPr defaultRowHeight="14.4" x14ac:dyDescent="0.3"/>
  <cols>
    <col min="2" max="2" width="10.88671875" bestFit="1" customWidth="1"/>
    <col min="3" max="3" width="3.44140625" customWidth="1"/>
    <col min="4" max="12" width="11.44140625" customWidth="1"/>
    <col min="13" max="13" width="5.6640625" bestFit="1" customWidth="1"/>
  </cols>
  <sheetData>
    <row r="1" spans="1:13" x14ac:dyDescent="0.3">
      <c r="A1" s="6" t="s">
        <v>64</v>
      </c>
      <c r="B1" s="6">
        <v>13000</v>
      </c>
      <c r="D1" t="s">
        <v>109</v>
      </c>
    </row>
    <row r="2" spans="1:13" x14ac:dyDescent="0.3">
      <c r="A2" s="6" t="s">
        <v>66</v>
      </c>
      <c r="B2" s="6">
        <f>L2-F2</f>
        <v>6</v>
      </c>
      <c r="D2" s="49">
        <v>0</v>
      </c>
      <c r="E2" s="49">
        <v>1</v>
      </c>
      <c r="F2" s="49">
        <v>2</v>
      </c>
      <c r="G2" s="49">
        <v>3</v>
      </c>
      <c r="H2" s="49">
        <v>4</v>
      </c>
      <c r="I2" s="49">
        <v>5</v>
      </c>
      <c r="J2" s="49">
        <v>6</v>
      </c>
      <c r="K2" s="49">
        <v>7</v>
      </c>
      <c r="L2" s="50">
        <v>8</v>
      </c>
      <c r="M2" t="s">
        <v>60</v>
      </c>
    </row>
    <row r="3" spans="1:13" x14ac:dyDescent="0.3">
      <c r="A3" s="6" t="s">
        <v>65</v>
      </c>
      <c r="B3" s="6">
        <v>0.09</v>
      </c>
      <c r="F3" s="62">
        <f>B1</f>
        <v>13000</v>
      </c>
      <c r="L3" s="62">
        <f>FV(B3/B4,B2*B4,,-B1)</f>
        <v>21802.30144093301</v>
      </c>
    </row>
    <row r="4" spans="1:13" x14ac:dyDescent="0.3">
      <c r="A4" s="31" t="s">
        <v>68</v>
      </c>
      <c r="B4" s="31">
        <v>1</v>
      </c>
    </row>
    <row r="5" spans="1:13" x14ac:dyDescent="0.3">
      <c r="A5" s="6" t="s">
        <v>67</v>
      </c>
      <c r="B5" s="28"/>
    </row>
    <row r="7" spans="1:13" x14ac:dyDescent="0.3">
      <c r="A7" t="s">
        <v>91</v>
      </c>
      <c r="B7" s="45"/>
      <c r="C7" s="46"/>
      <c r="D7" s="46"/>
      <c r="E7" s="46"/>
      <c r="F7" s="46"/>
      <c r="G7" s="46"/>
      <c r="H7" s="47"/>
    </row>
    <row r="10" spans="1:13" x14ac:dyDescent="0.3">
      <c r="B10" s="6" t="s">
        <v>121</v>
      </c>
    </row>
    <row r="11" spans="1:13" x14ac:dyDescent="0.3">
      <c r="B11" s="30"/>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D6674-1BAB-4B40-8B8F-74E5CF49B928}">
  <sheetPr codeName="Sheet61">
    <tabColor rgb="FFFF0000"/>
  </sheetPr>
  <dimension ref="A1:M11"/>
  <sheetViews>
    <sheetView workbookViewId="0">
      <selection activeCell="B20" sqref="B20"/>
    </sheetView>
  </sheetViews>
  <sheetFormatPr defaultRowHeight="14.4" x14ac:dyDescent="0.3"/>
  <cols>
    <col min="2" max="2" width="10.88671875" bestFit="1" customWidth="1"/>
    <col min="3" max="3" width="3.44140625" customWidth="1"/>
    <col min="4" max="12" width="11.44140625" customWidth="1"/>
    <col min="13" max="13" width="5.6640625" bestFit="1" customWidth="1"/>
  </cols>
  <sheetData>
    <row r="1" spans="1:13" x14ac:dyDescent="0.3">
      <c r="A1" s="6" t="s">
        <v>64</v>
      </c>
      <c r="B1" s="6">
        <v>13000</v>
      </c>
      <c r="D1" t="s">
        <v>109</v>
      </c>
    </row>
    <row r="2" spans="1:13" x14ac:dyDescent="0.3">
      <c r="A2" s="6" t="s">
        <v>66</v>
      </c>
      <c r="B2" s="6">
        <f>L2-F2</f>
        <v>6</v>
      </c>
      <c r="D2" s="49">
        <v>0</v>
      </c>
      <c r="E2" s="49">
        <v>1</v>
      </c>
      <c r="F2" s="49">
        <v>2</v>
      </c>
      <c r="G2" s="49">
        <v>3</v>
      </c>
      <c r="H2" s="49">
        <v>4</v>
      </c>
      <c r="I2" s="49">
        <v>5</v>
      </c>
      <c r="J2" s="49">
        <v>6</v>
      </c>
      <c r="K2" s="49">
        <v>7</v>
      </c>
      <c r="L2" s="50">
        <v>8</v>
      </c>
      <c r="M2" t="s">
        <v>60</v>
      </c>
    </row>
    <row r="3" spans="1:13" x14ac:dyDescent="0.3">
      <c r="A3" s="6" t="s">
        <v>65</v>
      </c>
      <c r="B3" s="6">
        <v>0.09</v>
      </c>
      <c r="F3" s="62">
        <f>B1</f>
        <v>13000</v>
      </c>
      <c r="L3" s="62">
        <f>B5</f>
        <v>21802.30144093301</v>
      </c>
    </row>
    <row r="4" spans="1:13" x14ac:dyDescent="0.3">
      <c r="A4" s="31" t="s">
        <v>68</v>
      </c>
      <c r="B4" s="31">
        <v>1</v>
      </c>
    </row>
    <row r="5" spans="1:13" x14ac:dyDescent="0.3">
      <c r="A5" s="6" t="s">
        <v>67</v>
      </c>
      <c r="B5" s="28">
        <f>FV(B3/B4,B4*B2,,-B1)</f>
        <v>21802.30144093301</v>
      </c>
    </row>
    <row r="7" spans="1:13" ht="28.8" x14ac:dyDescent="0.3">
      <c r="A7" t="s">
        <v>91</v>
      </c>
      <c r="B7" s="45" t="str">
        <f>"If we receive "&amp;DOLLAR(B5)&amp;" in "&amp;F2&amp;" years, and then we wait "&amp;L2-F2&amp;" years, our FV will be "&amp;DOLLAR(L3)&amp;" (Remember: "&amp;L2&amp;" - "&amp;F2&amp;" = "&amp;L2-F2&amp;")."</f>
        <v>If we receive $21,802.30 in 2 years, and then we wait 6 years, our FV will be $21,802.30 (Remember: 8 - 2 = 6).</v>
      </c>
      <c r="C7" s="46"/>
      <c r="D7" s="46"/>
      <c r="E7" s="46"/>
      <c r="F7" s="46"/>
      <c r="G7" s="46"/>
      <c r="H7" s="47"/>
    </row>
    <row r="10" spans="1:13" x14ac:dyDescent="0.3">
      <c r="B10" s="6" t="s">
        <v>121</v>
      </c>
    </row>
    <row r="11" spans="1:13" x14ac:dyDescent="0.3">
      <c r="B11" s="30">
        <f>B1*(1+B3/B4)^(B2*B4)</f>
        <v>21802.30144093301</v>
      </c>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DA6E1-92D6-42FD-BE67-F96DB0D2CD30}">
  <sheetPr codeName="Sheet62">
    <tabColor rgb="FF3333FF"/>
  </sheetPr>
  <dimension ref="A1:H10"/>
  <sheetViews>
    <sheetView zoomScale="160" zoomScaleNormal="160" workbookViewId="0">
      <selection activeCell="B20" sqref="B20"/>
    </sheetView>
  </sheetViews>
  <sheetFormatPr defaultRowHeight="14.4" x14ac:dyDescent="0.3"/>
  <cols>
    <col min="1" max="1" width="10" bestFit="1" customWidth="1"/>
  </cols>
  <sheetData>
    <row r="1" spans="1:8" x14ac:dyDescent="0.3">
      <c r="A1" s="6" t="s">
        <v>64</v>
      </c>
      <c r="B1" s="6">
        <v>1</v>
      </c>
    </row>
    <row r="2" spans="1:8" x14ac:dyDescent="0.3">
      <c r="A2" s="6" t="s">
        <v>67</v>
      </c>
      <c r="B2" s="6">
        <v>4</v>
      </c>
    </row>
    <row r="3" spans="1:8" x14ac:dyDescent="0.3">
      <c r="A3" s="6" t="s">
        <v>110</v>
      </c>
      <c r="B3" s="6">
        <v>24</v>
      </c>
    </row>
    <row r="4" spans="1:8" x14ac:dyDescent="0.3">
      <c r="A4" s="6" t="s">
        <v>155</v>
      </c>
      <c r="B4" s="30"/>
    </row>
    <row r="5" spans="1:8" x14ac:dyDescent="0.3">
      <c r="A5" s="6" t="s">
        <v>68</v>
      </c>
      <c r="B5" s="6">
        <v>4</v>
      </c>
      <c r="D5" t="s">
        <v>156</v>
      </c>
    </row>
    <row r="6" spans="1:8" x14ac:dyDescent="0.3">
      <c r="A6" s="6" t="s">
        <v>74</v>
      </c>
      <c r="B6" s="30"/>
    </row>
    <row r="7" spans="1:8" x14ac:dyDescent="0.3">
      <c r="A7" s="6" t="s">
        <v>72</v>
      </c>
      <c r="B7" s="51"/>
      <c r="C7" t="s">
        <v>157</v>
      </c>
      <c r="F7" s="6" t="s">
        <v>121</v>
      </c>
      <c r="G7" s="6" t="s">
        <v>121</v>
      </c>
    </row>
    <row r="8" spans="1:8" x14ac:dyDescent="0.3">
      <c r="A8" s="6" t="s">
        <v>65</v>
      </c>
      <c r="B8" s="63"/>
      <c r="C8" t="s">
        <v>158</v>
      </c>
      <c r="F8" s="30"/>
      <c r="G8" s="30"/>
    </row>
    <row r="10" spans="1:8" x14ac:dyDescent="0.3">
      <c r="A10" t="s">
        <v>91</v>
      </c>
      <c r="B10" s="46"/>
      <c r="C10" s="46"/>
      <c r="D10" s="46"/>
      <c r="E10" s="46"/>
      <c r="F10" s="46"/>
      <c r="G10" s="46"/>
      <c r="H10" s="47"/>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DD005-ECE0-4646-B78A-263F351DCC86}">
  <sheetPr codeName="Sheet63">
    <tabColor rgb="FFFF0000"/>
  </sheetPr>
  <dimension ref="A1:H10"/>
  <sheetViews>
    <sheetView zoomScale="130" zoomScaleNormal="130" workbookViewId="0">
      <selection activeCell="B20" sqref="B20"/>
    </sheetView>
  </sheetViews>
  <sheetFormatPr defaultRowHeight="14.4" x14ac:dyDescent="0.3"/>
  <sheetData>
    <row r="1" spans="1:8" x14ac:dyDescent="0.3">
      <c r="A1" s="6" t="s">
        <v>64</v>
      </c>
      <c r="B1" s="6">
        <v>1</v>
      </c>
    </row>
    <row r="2" spans="1:8" x14ac:dyDescent="0.3">
      <c r="A2" s="6" t="s">
        <v>67</v>
      </c>
      <c r="B2" s="6">
        <v>4</v>
      </c>
    </row>
    <row r="3" spans="1:8" x14ac:dyDescent="0.3">
      <c r="A3" s="6" t="s">
        <v>110</v>
      </c>
      <c r="B3" s="6">
        <v>24</v>
      </c>
    </row>
    <row r="4" spans="1:8" x14ac:dyDescent="0.3">
      <c r="A4" s="6" t="s">
        <v>155</v>
      </c>
      <c r="B4" s="30">
        <f>B3/12</f>
        <v>2</v>
      </c>
    </row>
    <row r="5" spans="1:8" x14ac:dyDescent="0.3">
      <c r="A5" s="6" t="s">
        <v>68</v>
      </c>
      <c r="B5" s="6">
        <v>4</v>
      </c>
      <c r="D5" t="s">
        <v>159</v>
      </c>
    </row>
    <row r="6" spans="1:8" x14ac:dyDescent="0.3">
      <c r="A6" s="6" t="s">
        <v>74</v>
      </c>
      <c r="B6" s="30">
        <f>B5*B4</f>
        <v>8</v>
      </c>
    </row>
    <row r="7" spans="1:8" x14ac:dyDescent="0.3">
      <c r="A7" s="6" t="s">
        <v>72</v>
      </c>
      <c r="B7" s="51">
        <f>RATE(B6,,-B1,B2)</f>
        <v>0.18920711500041151</v>
      </c>
      <c r="C7" t="s">
        <v>157</v>
      </c>
      <c r="F7" s="6" t="s">
        <v>121</v>
      </c>
      <c r="G7" s="6" t="s">
        <v>121</v>
      </c>
    </row>
    <row r="8" spans="1:8" x14ac:dyDescent="0.3">
      <c r="A8" s="6" t="s">
        <v>65</v>
      </c>
      <c r="B8" s="63">
        <f>B7*B5</f>
        <v>0.75682846000164605</v>
      </c>
      <c r="C8" t="s">
        <v>158</v>
      </c>
      <c r="F8" s="30">
        <f>(B2/B1)^(1/B6)-1</f>
        <v>0.18920711500272103</v>
      </c>
      <c r="G8" s="30">
        <f>B1*(1+B7)^(B5*B4)</f>
        <v>3.9999999999378533</v>
      </c>
    </row>
    <row r="10" spans="1:8" ht="43.2" x14ac:dyDescent="0.3">
      <c r="A10" t="s">
        <v>91</v>
      </c>
      <c r="B10" s="46" t="str">
        <f>"First, if the problems gives us time in months, we have to determine the years. After we do that the problem is straight forward. The 3-month rate to quadruple your investment would be "&amp;TEXT(B7,"0.00%")</f>
        <v>First, if the problems gives us time in months, we have to determine the years. After we do that the problem is straight forward. The 3-month rate to quadruple your investment would be 18.92%</v>
      </c>
      <c r="C10" s="46"/>
      <c r="D10" s="46"/>
      <c r="E10" s="46"/>
      <c r="F10" s="46"/>
      <c r="G10" s="46"/>
      <c r="H10" s="47"/>
    </row>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3569F-CC6C-4C28-B17C-D7AEAB642C58}">
  <sheetPr codeName="Sheet64">
    <tabColor rgb="FF3333FF"/>
  </sheetPr>
  <dimension ref="A1:H9"/>
  <sheetViews>
    <sheetView zoomScale="145" zoomScaleNormal="145" workbookViewId="0">
      <selection activeCell="B20" sqref="B20"/>
    </sheetView>
  </sheetViews>
  <sheetFormatPr defaultRowHeight="14.4" x14ac:dyDescent="0.3"/>
  <cols>
    <col min="2" max="2" width="13.44140625" customWidth="1"/>
  </cols>
  <sheetData>
    <row r="1" spans="1:8" x14ac:dyDescent="0.3">
      <c r="A1" s="6" t="s">
        <v>72</v>
      </c>
      <c r="B1" s="10">
        <v>3.5000000000000001E-3</v>
      </c>
      <c r="C1" s="6"/>
    </row>
    <row r="2" spans="1:8" x14ac:dyDescent="0.3">
      <c r="A2" s="6" t="s">
        <v>68</v>
      </c>
      <c r="B2" s="6">
        <v>12</v>
      </c>
      <c r="C2" s="6"/>
    </row>
    <row r="3" spans="1:8" x14ac:dyDescent="0.3">
      <c r="A3" s="6" t="s">
        <v>65</v>
      </c>
      <c r="B3" s="30"/>
      <c r="C3" s="6"/>
    </row>
    <row r="4" spans="1:8" x14ac:dyDescent="0.3">
      <c r="A4" s="6" t="s">
        <v>64</v>
      </c>
      <c r="B4" s="7">
        <v>1800</v>
      </c>
      <c r="C4" s="6"/>
    </row>
    <row r="5" spans="1:8" x14ac:dyDescent="0.3">
      <c r="A5" s="6" t="s">
        <v>67</v>
      </c>
      <c r="B5" s="7">
        <v>3500</v>
      </c>
      <c r="C5" s="6"/>
      <c r="E5" s="6" t="s">
        <v>121</v>
      </c>
    </row>
    <row r="6" spans="1:8" x14ac:dyDescent="0.3">
      <c r="A6" s="6" t="s">
        <v>74</v>
      </c>
      <c r="B6" s="30"/>
      <c r="C6" s="6" t="s">
        <v>61</v>
      </c>
      <c r="E6" s="30"/>
    </row>
    <row r="7" spans="1:8" x14ac:dyDescent="0.3">
      <c r="A7" s="6" t="s">
        <v>66</v>
      </c>
      <c r="B7" s="30"/>
      <c r="C7" s="6" t="s">
        <v>60</v>
      </c>
    </row>
    <row r="9" spans="1:8" x14ac:dyDescent="0.3">
      <c r="A9" t="s">
        <v>91</v>
      </c>
      <c r="B9" s="45"/>
      <c r="C9" s="46"/>
      <c r="D9" s="46"/>
      <c r="E9" s="46"/>
      <c r="F9" s="46"/>
      <c r="G9" s="46"/>
      <c r="H9" s="47"/>
    </row>
  </sheetData>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0912F-C493-4241-B6BA-E96650E6DAC4}">
  <sheetPr codeName="Sheet65">
    <tabColor rgb="FFFF0000"/>
  </sheetPr>
  <dimension ref="A1:H9"/>
  <sheetViews>
    <sheetView zoomScale="145" zoomScaleNormal="145" workbookViewId="0">
      <selection activeCell="B20" sqref="B20"/>
    </sheetView>
  </sheetViews>
  <sheetFormatPr defaultRowHeight="14.4" x14ac:dyDescent="0.3"/>
  <cols>
    <col min="2" max="2" width="13.44140625" customWidth="1"/>
  </cols>
  <sheetData>
    <row r="1" spans="1:8" x14ac:dyDescent="0.3">
      <c r="A1" s="6" t="s">
        <v>72</v>
      </c>
      <c r="B1" s="10">
        <v>3.5000000000000001E-3</v>
      </c>
      <c r="C1" s="6"/>
    </row>
    <row r="2" spans="1:8" x14ac:dyDescent="0.3">
      <c r="A2" s="6" t="s">
        <v>68</v>
      </c>
      <c r="B2" s="6">
        <v>12</v>
      </c>
      <c r="C2" s="6"/>
    </row>
    <row r="3" spans="1:8" x14ac:dyDescent="0.3">
      <c r="A3" s="6" t="s">
        <v>65</v>
      </c>
      <c r="B3" s="30">
        <f>B1*B2</f>
        <v>4.2000000000000003E-2</v>
      </c>
      <c r="C3" s="6"/>
    </row>
    <row r="4" spans="1:8" x14ac:dyDescent="0.3">
      <c r="A4" s="6" t="s">
        <v>64</v>
      </c>
      <c r="B4" s="7">
        <v>1800</v>
      </c>
      <c r="C4" s="6"/>
    </row>
    <row r="5" spans="1:8" x14ac:dyDescent="0.3">
      <c r="A5" s="6" t="s">
        <v>67</v>
      </c>
      <c r="B5" s="7">
        <v>3500</v>
      </c>
      <c r="C5" s="6"/>
      <c r="E5" s="6" t="s">
        <v>121</v>
      </c>
    </row>
    <row r="6" spans="1:8" x14ac:dyDescent="0.3">
      <c r="A6" s="6" t="s">
        <v>74</v>
      </c>
      <c r="B6" s="30">
        <f>NPER(B1,,-B4,B5)</f>
        <v>190.32552413710721</v>
      </c>
      <c r="C6" s="6" t="s">
        <v>61</v>
      </c>
      <c r="E6" s="30">
        <f>LN(B5/B4)/LN(1+B1)</f>
        <v>190.32552413710721</v>
      </c>
    </row>
    <row r="7" spans="1:8" x14ac:dyDescent="0.3">
      <c r="A7" s="6" t="s">
        <v>66</v>
      </c>
      <c r="B7" s="30">
        <f>B6/B2</f>
        <v>15.860460344758934</v>
      </c>
      <c r="C7" s="6" t="s">
        <v>60</v>
      </c>
    </row>
    <row r="9" spans="1:8" ht="28.8" x14ac:dyDescent="0.3">
      <c r="A9" t="s">
        <v>91</v>
      </c>
      <c r="B9" s="45" t="str">
        <f>"It would take "&amp;ROUND(B7,2)&amp;" years for the investment to grow to "&amp;DOLLAR(B5)&amp;" given a monthly Rate of "&amp;TEXT(B1,"0.00%")&amp;"."</f>
        <v>It would take 15.86 years for the investment to grow to $3,500.00 given a monthly Rate of 0.35%.</v>
      </c>
      <c r="C9" s="46"/>
      <c r="D9" s="46"/>
      <c r="E9" s="46"/>
      <c r="F9" s="46"/>
      <c r="G9" s="46"/>
      <c r="H9" s="47"/>
    </row>
  </sheetData>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F2A98-0398-4BF0-B847-D2C56E6A1F00}">
  <sheetPr codeName="Sheet66">
    <tabColor rgb="FF3333FF"/>
  </sheetPr>
  <dimension ref="A1:H9"/>
  <sheetViews>
    <sheetView zoomScale="145" zoomScaleNormal="145" workbookViewId="0">
      <selection activeCell="B20" sqref="B20"/>
    </sheetView>
  </sheetViews>
  <sheetFormatPr defaultRowHeight="14.4" x14ac:dyDescent="0.3"/>
  <cols>
    <col min="2" max="2" width="11.6640625" bestFit="1" customWidth="1"/>
  </cols>
  <sheetData>
    <row r="1" spans="1:8" x14ac:dyDescent="0.3">
      <c r="A1" s="6" t="s">
        <v>67</v>
      </c>
      <c r="B1" s="7">
        <v>75000</v>
      </c>
    </row>
    <row r="2" spans="1:8" x14ac:dyDescent="0.3">
      <c r="A2" s="6" t="s">
        <v>68</v>
      </c>
      <c r="B2" s="6">
        <v>12</v>
      </c>
    </row>
    <row r="3" spans="1:8" x14ac:dyDescent="0.3">
      <c r="A3" s="6" t="s">
        <v>72</v>
      </c>
      <c r="B3" s="10">
        <v>4.1999999999999997E-3</v>
      </c>
    </row>
    <row r="4" spans="1:8" x14ac:dyDescent="0.3">
      <c r="A4" s="6" t="s">
        <v>65</v>
      </c>
      <c r="B4" s="63"/>
    </row>
    <row r="5" spans="1:8" x14ac:dyDescent="0.3">
      <c r="A5" s="6" t="s">
        <v>66</v>
      </c>
      <c r="B5" s="6">
        <v>10</v>
      </c>
    </row>
    <row r="6" spans="1:8" x14ac:dyDescent="0.3">
      <c r="A6" s="6" t="s">
        <v>76</v>
      </c>
      <c r="B6" s="30"/>
    </row>
    <row r="7" spans="1:8" x14ac:dyDescent="0.3">
      <c r="A7" s="6" t="s">
        <v>64</v>
      </c>
      <c r="B7" s="28"/>
    </row>
    <row r="9" spans="1:8" x14ac:dyDescent="0.3">
      <c r="A9" t="s">
        <v>91</v>
      </c>
      <c r="B9" s="45"/>
      <c r="C9" s="46"/>
      <c r="D9" s="46"/>
      <c r="E9" s="46"/>
      <c r="F9" s="46"/>
      <c r="G9" s="46"/>
      <c r="H9" s="47"/>
    </row>
  </sheetData>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8CA3D-B26F-4EA2-9A18-8CC0E89F0299}">
  <sheetPr codeName="Sheet67">
    <tabColor rgb="FFFF0000"/>
  </sheetPr>
  <dimension ref="A1:H9"/>
  <sheetViews>
    <sheetView zoomScale="145" zoomScaleNormal="145" workbookViewId="0">
      <selection activeCell="B20" sqref="B20"/>
    </sheetView>
  </sheetViews>
  <sheetFormatPr defaultRowHeight="14.4" x14ac:dyDescent="0.3"/>
  <cols>
    <col min="2" max="2" width="11.6640625" bestFit="1" customWidth="1"/>
  </cols>
  <sheetData>
    <row r="1" spans="1:8" x14ac:dyDescent="0.3">
      <c r="A1" s="6" t="s">
        <v>67</v>
      </c>
      <c r="B1" s="7">
        <v>75000</v>
      </c>
    </row>
    <row r="2" spans="1:8" x14ac:dyDescent="0.3">
      <c r="A2" s="6" t="s">
        <v>68</v>
      </c>
      <c r="B2" s="6">
        <v>12</v>
      </c>
    </row>
    <row r="3" spans="1:8" x14ac:dyDescent="0.3">
      <c r="A3" s="6" t="s">
        <v>72</v>
      </c>
      <c r="B3" s="10">
        <v>4.1999999999999997E-3</v>
      </c>
    </row>
    <row r="4" spans="1:8" x14ac:dyDescent="0.3">
      <c r="A4" s="6" t="s">
        <v>65</v>
      </c>
      <c r="B4" s="63">
        <f>B3*B2</f>
        <v>5.04E-2</v>
      </c>
    </row>
    <row r="5" spans="1:8" x14ac:dyDescent="0.3">
      <c r="A5" s="6" t="s">
        <v>66</v>
      </c>
      <c r="B5" s="6">
        <v>10</v>
      </c>
    </row>
    <row r="6" spans="1:8" x14ac:dyDescent="0.3">
      <c r="A6" s="6" t="s">
        <v>76</v>
      </c>
      <c r="B6" s="30">
        <f>B5*B2</f>
        <v>120</v>
      </c>
    </row>
    <row r="7" spans="1:8" x14ac:dyDescent="0.3">
      <c r="A7" s="6" t="s">
        <v>64</v>
      </c>
      <c r="B7" s="28">
        <f>PV(B3,B6,,B1)</f>
        <v>-45356.04931154853</v>
      </c>
    </row>
    <row r="9" spans="1:8" x14ac:dyDescent="0.3">
      <c r="A9" t="s">
        <v>91</v>
      </c>
      <c r="B9" s="45" t="str">
        <f>"The Present Value of "&amp;DOLLAR(B1)&amp;" given a monthly rate of "&amp;TEXT(B3,"0.00%")&amp;" is "&amp;DOLLAR(-B7)&amp;"."</f>
        <v>The Present Value of $75,000.00 given a monthly rate of 0.42% is $45,356.05.</v>
      </c>
      <c r="C9" s="46"/>
      <c r="D9" s="46"/>
      <c r="E9" s="46"/>
      <c r="F9" s="46"/>
      <c r="G9" s="46"/>
      <c r="H9" s="47"/>
    </row>
  </sheetData>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B383A-6AEC-4341-8013-4A2463CA3CC8}">
  <sheetPr codeName="Sheet68">
    <tabColor rgb="FF3333FF"/>
  </sheetPr>
  <dimension ref="A1:H11"/>
  <sheetViews>
    <sheetView zoomScale="130" zoomScaleNormal="130" workbookViewId="0">
      <selection activeCell="B20" sqref="B20"/>
    </sheetView>
  </sheetViews>
  <sheetFormatPr defaultRowHeight="14.4" x14ac:dyDescent="0.3"/>
  <cols>
    <col min="2" max="2" width="15.109375" bestFit="1" customWidth="1"/>
    <col min="5" max="5" width="12.5546875" bestFit="1" customWidth="1"/>
  </cols>
  <sheetData>
    <row r="1" spans="1:8" x14ac:dyDescent="0.3">
      <c r="A1" s="27" t="s">
        <v>111</v>
      </c>
      <c r="B1" s="27"/>
      <c r="D1" s="27" t="s">
        <v>112</v>
      </c>
      <c r="E1" s="27"/>
    </row>
    <row r="2" spans="1:8" x14ac:dyDescent="0.3">
      <c r="A2" s="6" t="s">
        <v>67</v>
      </c>
      <c r="B2" s="64">
        <v>1000000</v>
      </c>
      <c r="D2" s="6" t="s">
        <v>67</v>
      </c>
      <c r="E2" s="64">
        <v>1000000</v>
      </c>
    </row>
    <row r="3" spans="1:8" x14ac:dyDescent="0.3">
      <c r="A3" s="6" t="s">
        <v>66</v>
      </c>
      <c r="B3" s="6">
        <v>45</v>
      </c>
      <c r="D3" s="6" t="s">
        <v>66</v>
      </c>
      <c r="E3" s="6">
        <v>45</v>
      </c>
    </row>
    <row r="4" spans="1:8" x14ac:dyDescent="0.3">
      <c r="A4" s="6" t="s">
        <v>65</v>
      </c>
      <c r="B4" s="10">
        <v>0.11</v>
      </c>
      <c r="D4" s="6" t="s">
        <v>65</v>
      </c>
      <c r="E4" s="10">
        <v>0.05</v>
      </c>
    </row>
    <row r="5" spans="1:8" x14ac:dyDescent="0.3">
      <c r="A5" s="6" t="s">
        <v>68</v>
      </c>
      <c r="B5" s="6">
        <v>1</v>
      </c>
      <c r="D5" s="6" t="s">
        <v>68</v>
      </c>
      <c r="E5" s="6">
        <v>1</v>
      </c>
    </row>
    <row r="6" spans="1:8" x14ac:dyDescent="0.3">
      <c r="A6" s="6" t="s">
        <v>64</v>
      </c>
      <c r="B6" s="65"/>
      <c r="D6" s="6" t="s">
        <v>64</v>
      </c>
      <c r="E6" s="65"/>
    </row>
    <row r="8" spans="1:8" x14ac:dyDescent="0.3">
      <c r="A8" t="s">
        <v>91</v>
      </c>
      <c r="B8" s="45"/>
      <c r="C8" s="46"/>
      <c r="D8" s="46"/>
      <c r="E8" s="46"/>
      <c r="F8" s="46"/>
      <c r="G8" s="46"/>
      <c r="H8" s="47"/>
    </row>
    <row r="10" spans="1:8" x14ac:dyDescent="0.3">
      <c r="B10" s="6" t="s">
        <v>121</v>
      </c>
      <c r="E10" s="6" t="s">
        <v>121</v>
      </c>
    </row>
    <row r="11" spans="1:8" x14ac:dyDescent="0.3">
      <c r="B11" s="30"/>
      <c r="E11" s="30"/>
    </row>
  </sheetData>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6AD43-03EE-4554-9A34-60EA459EE35E}">
  <sheetPr codeName="Sheet69">
    <tabColor rgb="FFFF0000"/>
  </sheetPr>
  <dimension ref="A1:H8"/>
  <sheetViews>
    <sheetView zoomScale="130" zoomScaleNormal="130" workbookViewId="0">
      <selection activeCell="B20" sqref="B20"/>
    </sheetView>
  </sheetViews>
  <sheetFormatPr defaultRowHeight="14.4" x14ac:dyDescent="0.3"/>
  <cols>
    <col min="2" max="2" width="15.109375" bestFit="1" customWidth="1"/>
    <col min="5" max="5" width="12.5546875" bestFit="1" customWidth="1"/>
  </cols>
  <sheetData>
    <row r="1" spans="1:8" x14ac:dyDescent="0.3">
      <c r="A1" s="27" t="s">
        <v>111</v>
      </c>
      <c r="B1" s="27"/>
      <c r="D1" s="27" t="s">
        <v>112</v>
      </c>
      <c r="E1" s="27"/>
    </row>
    <row r="2" spans="1:8" x14ac:dyDescent="0.3">
      <c r="A2" s="6" t="s">
        <v>67</v>
      </c>
      <c r="B2" s="64">
        <v>1000000</v>
      </c>
      <c r="D2" s="6" t="s">
        <v>67</v>
      </c>
      <c r="E2" s="64">
        <v>1000000</v>
      </c>
    </row>
    <row r="3" spans="1:8" x14ac:dyDescent="0.3">
      <c r="A3" s="6" t="s">
        <v>66</v>
      </c>
      <c r="B3" s="6">
        <v>45</v>
      </c>
      <c r="D3" s="6" t="s">
        <v>66</v>
      </c>
      <c r="E3" s="6">
        <v>45</v>
      </c>
    </row>
    <row r="4" spans="1:8" x14ac:dyDescent="0.3">
      <c r="A4" s="6" t="s">
        <v>65</v>
      </c>
      <c r="B4" s="10">
        <v>0.11</v>
      </c>
      <c r="D4" s="6" t="s">
        <v>65</v>
      </c>
      <c r="E4" s="10">
        <v>0.05</v>
      </c>
    </row>
    <row r="5" spans="1:8" x14ac:dyDescent="0.3">
      <c r="A5" s="6" t="s">
        <v>68</v>
      </c>
      <c r="B5" s="6">
        <v>1</v>
      </c>
      <c r="D5" s="6" t="s">
        <v>68</v>
      </c>
      <c r="E5" s="6">
        <v>1</v>
      </c>
    </row>
    <row r="6" spans="1:8" x14ac:dyDescent="0.3">
      <c r="A6" s="6" t="s">
        <v>64</v>
      </c>
      <c r="B6" s="65">
        <f>PV(B4/B5,B5*B3,,B2)</f>
        <v>-9129.8986099439317</v>
      </c>
      <c r="D6" s="6" t="s">
        <v>64</v>
      </c>
      <c r="E6" s="65">
        <f>PV(E4/E5,E5*E3,,E2)</f>
        <v>-111296.5089161333</v>
      </c>
    </row>
    <row r="8" spans="1:8" ht="28.8" x14ac:dyDescent="0.3">
      <c r="A8" t="s">
        <v>91</v>
      </c>
      <c r="B8" s="45" t="s">
        <v>113</v>
      </c>
      <c r="C8" s="46"/>
      <c r="D8" s="46"/>
      <c r="E8" s="46"/>
      <c r="F8" s="46"/>
      <c r="G8" s="46"/>
      <c r="H8" s="47"/>
    </row>
  </sheetData>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3C1D0-FF2D-4C46-8CCA-21825638A293}">
  <sheetPr codeName="Sheet9">
    <tabColor rgb="FF3333FF"/>
  </sheetPr>
  <dimension ref="A1"/>
  <sheetViews>
    <sheetView workbookViewId="0">
      <selection activeCell="B20" sqref="B20"/>
    </sheetView>
  </sheetViews>
  <sheetFormatPr defaultRowHeight="14.4" x14ac:dyDescent="0.3"/>
  <sheetData/>
  <phoneticPr fontId="0" type="noConversion"/>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BAB0-8CB2-4140-8AC8-4D99847C702D}">
  <sheetPr codeName="Sheet10">
    <tabColor rgb="FF3333FF"/>
  </sheetPr>
  <dimension ref="A1:E12"/>
  <sheetViews>
    <sheetView workbookViewId="0">
      <selection activeCell="B20" sqref="B20"/>
    </sheetView>
  </sheetViews>
  <sheetFormatPr defaultRowHeight="14.4" x14ac:dyDescent="0.3"/>
  <cols>
    <col min="2" max="2" width="15.5546875" bestFit="1" customWidth="1"/>
    <col min="3" max="3" width="12" bestFit="1" customWidth="1"/>
    <col min="4" max="4" width="18.6640625" bestFit="1" customWidth="1"/>
    <col min="5" max="5" width="19.109375" bestFit="1" customWidth="1"/>
  </cols>
  <sheetData>
    <row r="1" spans="1:5" x14ac:dyDescent="0.3">
      <c r="A1" t="s">
        <v>2</v>
      </c>
      <c r="B1">
        <v>0.12</v>
      </c>
    </row>
    <row r="3" spans="1:5" x14ac:dyDescent="0.3">
      <c r="A3" t="s">
        <v>0</v>
      </c>
      <c r="B3" t="s">
        <v>1</v>
      </c>
      <c r="C3" t="s">
        <v>4</v>
      </c>
      <c r="D3" t="s">
        <v>5</v>
      </c>
      <c r="E3" t="s">
        <v>6</v>
      </c>
    </row>
    <row r="4" spans="1:5" x14ac:dyDescent="0.3">
      <c r="A4">
        <v>0</v>
      </c>
      <c r="B4" s="1">
        <v>7000000</v>
      </c>
      <c r="C4">
        <f t="shared" ref="C4:C11" si="0">1/(1+$B$1)^A4</f>
        <v>1</v>
      </c>
      <c r="D4" s="1">
        <f>C4*B4</f>
        <v>7000000</v>
      </c>
      <c r="E4" s="2">
        <f>B4</f>
        <v>7000000</v>
      </c>
    </row>
    <row r="5" spans="1:5" x14ac:dyDescent="0.3">
      <c r="A5">
        <v>1</v>
      </c>
      <c r="B5" s="1">
        <v>12000000</v>
      </c>
      <c r="C5">
        <f t="shared" si="0"/>
        <v>0.89285714285714279</v>
      </c>
      <c r="D5" s="1">
        <f t="shared" ref="D5:D11" si="1">C5*B5</f>
        <v>10714285.714285713</v>
      </c>
      <c r="E5" s="2">
        <f>PV($B$1,A5,-B5)</f>
        <v>10714285.714285724</v>
      </c>
    </row>
    <row r="6" spans="1:5" x14ac:dyDescent="0.3">
      <c r="A6">
        <v>2</v>
      </c>
      <c r="B6" s="1">
        <v>14000000</v>
      </c>
      <c r="C6">
        <f t="shared" si="0"/>
        <v>0.79719387755102034</v>
      </c>
      <c r="D6" s="1">
        <f t="shared" si="1"/>
        <v>11160714.285714285</v>
      </c>
      <c r="E6" s="2">
        <f t="shared" ref="E6:E11" si="2">PV($B$1,A6,,-B6,0)</f>
        <v>11160714.285714284</v>
      </c>
    </row>
    <row r="7" spans="1:5" x14ac:dyDescent="0.3">
      <c r="A7">
        <v>3</v>
      </c>
      <c r="B7" s="1">
        <v>12000000</v>
      </c>
      <c r="C7">
        <f t="shared" si="0"/>
        <v>0.71178024781341087</v>
      </c>
      <c r="D7" s="1">
        <f t="shared" si="1"/>
        <v>8541362.9737609308</v>
      </c>
      <c r="E7" s="2">
        <f t="shared" si="2"/>
        <v>8541362.9737609308</v>
      </c>
    </row>
    <row r="8" spans="1:5" x14ac:dyDescent="0.3">
      <c r="A8">
        <v>4</v>
      </c>
      <c r="B8" s="1">
        <v>18500000</v>
      </c>
      <c r="C8">
        <f t="shared" si="0"/>
        <v>0.63551807840483121</v>
      </c>
      <c r="D8" s="1">
        <f t="shared" si="1"/>
        <v>11757084.450489378</v>
      </c>
      <c r="E8" s="2">
        <f t="shared" si="2"/>
        <v>11757084.450489378</v>
      </c>
    </row>
    <row r="9" spans="1:5" x14ac:dyDescent="0.3">
      <c r="A9">
        <v>5</v>
      </c>
      <c r="B9" s="1">
        <v>18500000</v>
      </c>
      <c r="C9">
        <f t="shared" si="0"/>
        <v>0.56742685571859919</v>
      </c>
      <c r="D9" s="1">
        <f t="shared" si="1"/>
        <v>10497396.830794085</v>
      </c>
      <c r="E9" s="2">
        <f t="shared" si="2"/>
        <v>10497396.830794085</v>
      </c>
    </row>
    <row r="10" spans="1:5" x14ac:dyDescent="0.3">
      <c r="A10">
        <v>6</v>
      </c>
      <c r="B10" s="1">
        <v>18500000</v>
      </c>
      <c r="C10">
        <f t="shared" si="0"/>
        <v>0.50663112117732068</v>
      </c>
      <c r="D10" s="1">
        <f t="shared" si="1"/>
        <v>9372675.7417804319</v>
      </c>
      <c r="E10" s="2">
        <f t="shared" si="2"/>
        <v>9372675.7417804319</v>
      </c>
    </row>
    <row r="11" spans="1:5" x14ac:dyDescent="0.3">
      <c r="A11">
        <v>7</v>
      </c>
      <c r="B11" s="1">
        <v>18500000</v>
      </c>
      <c r="C11">
        <f t="shared" si="0"/>
        <v>0.45234921533689343</v>
      </c>
      <c r="D11" s="1">
        <f t="shared" si="1"/>
        <v>8368460.4837325281</v>
      </c>
      <c r="E11" s="2">
        <f t="shared" si="2"/>
        <v>8368460.483732529</v>
      </c>
    </row>
    <row r="12" spans="1:5" x14ac:dyDescent="0.3">
      <c r="A12" t="s">
        <v>3</v>
      </c>
      <c r="B12" s="2">
        <f>NPV(B1,B5:B11)+B4</f>
        <v>77411980.480557337</v>
      </c>
      <c r="D12" s="1">
        <f>SUM(D4:D11)</f>
        <v>77411980.480557352</v>
      </c>
      <c r="E12" s="2">
        <f>SUM(E4:E11)</f>
        <v>77411980.480557352</v>
      </c>
    </row>
  </sheetData>
  <phoneticPr fontId="0" type="noConversion"/>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86532-1FA3-4855-BCD2-0992F054ACF3}">
  <sheetPr codeName="Sheet11">
    <tabColor rgb="FF3333FF"/>
  </sheetPr>
  <dimension ref="A1:E6"/>
  <sheetViews>
    <sheetView zoomScaleNormal="100" workbookViewId="0">
      <selection activeCell="B20" sqref="B20"/>
    </sheetView>
  </sheetViews>
  <sheetFormatPr defaultRowHeight="14.4" x14ac:dyDescent="0.3"/>
  <cols>
    <col min="1" max="1" width="24.33203125" bestFit="1" customWidth="1"/>
  </cols>
  <sheetData>
    <row r="1" spans="1:5" x14ac:dyDescent="0.3">
      <c r="A1" t="s">
        <v>7</v>
      </c>
      <c r="B1" t="s">
        <v>8</v>
      </c>
      <c r="C1" t="s">
        <v>9</v>
      </c>
    </row>
    <row r="2" spans="1:5" x14ac:dyDescent="0.3">
      <c r="A2">
        <v>0.18</v>
      </c>
      <c r="B2">
        <f>((A2+1)^(1/C2)-1)*C2</f>
        <v>0.16666116418091903</v>
      </c>
      <c r="C2">
        <v>12</v>
      </c>
      <c r="E2">
        <f>NOMINAL(A2,C2)</f>
        <v>0.16666116418091903</v>
      </c>
    </row>
    <row r="4" spans="1:5" x14ac:dyDescent="0.3">
      <c r="A4" t="s">
        <v>10</v>
      </c>
      <c r="B4">
        <v>0.17</v>
      </c>
    </row>
    <row r="6" spans="1:5" x14ac:dyDescent="0.3">
      <c r="A6" t="s">
        <v>11</v>
      </c>
    </row>
  </sheetData>
  <phoneticPr fontId="0" type="noConversion"/>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3C18D-BE4F-44C7-BA98-BB3DC2D631A9}">
  <sheetPr codeName="Sheet12">
    <tabColor rgb="FF3333FF"/>
  </sheetPr>
  <dimension ref="A1:G12"/>
  <sheetViews>
    <sheetView workbookViewId="0">
      <selection activeCell="B20" sqref="B20"/>
    </sheetView>
  </sheetViews>
  <sheetFormatPr defaultRowHeight="14.4" x14ac:dyDescent="0.3"/>
  <cols>
    <col min="1" max="1" width="27.33203125" bestFit="1" customWidth="1"/>
    <col min="2" max="2" width="10.6640625" bestFit="1" customWidth="1"/>
  </cols>
  <sheetData>
    <row r="1" spans="1:7" x14ac:dyDescent="0.3">
      <c r="A1" s="3" t="s">
        <v>12</v>
      </c>
      <c r="B1" s="3"/>
      <c r="C1" s="3"/>
      <c r="D1" s="3"/>
      <c r="E1" s="3"/>
      <c r="F1" s="3"/>
      <c r="G1" s="3"/>
    </row>
    <row r="2" spans="1:7" ht="28.8" x14ac:dyDescent="0.3">
      <c r="A2" s="3" t="str">
        <f>"Allow you to write a check that has a date "&amp;B4&amp;" days in the future for "&amp;DOLLAR(B5,0)&amp;" and will give you "&amp;DOLLAR(B6,0)&amp;" today (they cash check in "&amp;B4&amp;" days)."</f>
        <v>Allow you to write a check that has a date 25 days in the future for $250 and will give you $200 today (they cash check in 25 days).</v>
      </c>
      <c r="B2" s="3"/>
      <c r="C2" s="3"/>
      <c r="D2" s="3"/>
      <c r="E2" s="3"/>
      <c r="F2" s="3"/>
      <c r="G2" s="3"/>
    </row>
    <row r="3" spans="1:7" x14ac:dyDescent="0.3">
      <c r="A3" s="3" t="s">
        <v>16</v>
      </c>
      <c r="B3" s="3"/>
      <c r="C3" s="3"/>
      <c r="D3" s="3"/>
      <c r="E3" s="3"/>
      <c r="F3" s="3"/>
      <c r="G3" s="3"/>
    </row>
    <row r="4" spans="1:7" x14ac:dyDescent="0.3">
      <c r="A4" t="s">
        <v>13</v>
      </c>
      <c r="B4">
        <v>25</v>
      </c>
    </row>
    <row r="5" spans="1:7" x14ac:dyDescent="0.3">
      <c r="A5" t="s">
        <v>14</v>
      </c>
      <c r="B5">
        <v>250</v>
      </c>
    </row>
    <row r="6" spans="1:7" x14ac:dyDescent="0.3">
      <c r="A6" t="s">
        <v>15</v>
      </c>
      <c r="B6">
        <v>200</v>
      </c>
    </row>
    <row r="7" spans="1:7" x14ac:dyDescent="0.3">
      <c r="A7" t="str">
        <f>B4&amp;" day rate is ="</f>
        <v>25 day rate is =</v>
      </c>
      <c r="B7">
        <f>(B5-B6)/B6</f>
        <v>0.25</v>
      </c>
    </row>
    <row r="8" spans="1:7" x14ac:dyDescent="0.3">
      <c r="A8" t="s">
        <v>17</v>
      </c>
      <c r="B8">
        <v>365</v>
      </c>
    </row>
    <row r="9" spans="1:7" x14ac:dyDescent="0.3">
      <c r="A9" t="str">
        <f>"# of "&amp;B4&amp;" day periods in 1 year ="</f>
        <v># of 25 day periods in 1 year =</v>
      </c>
      <c r="B9">
        <f>B8/B4</f>
        <v>14.6</v>
      </c>
    </row>
    <row r="10" spans="1:7" x14ac:dyDescent="0.3">
      <c r="A10" t="s">
        <v>18</v>
      </c>
      <c r="B10" s="4">
        <f>B9*B7</f>
        <v>3.65</v>
      </c>
    </row>
    <row r="11" spans="1:7" x14ac:dyDescent="0.3">
      <c r="A11" t="s">
        <v>19</v>
      </c>
      <c r="B11" s="4">
        <f>(1+B7)^B9-1</f>
        <v>24.994782613868573</v>
      </c>
    </row>
    <row r="12" spans="1:7" x14ac:dyDescent="0.3">
      <c r="B12" s="5"/>
    </row>
  </sheetData>
  <phoneticPr fontId="0"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70</vt:i4>
      </vt:variant>
      <vt:variant>
        <vt:lpstr>Charts</vt:lpstr>
      </vt:variant>
      <vt:variant>
        <vt:i4>1</vt:i4>
      </vt:variant>
    </vt:vector>
  </HeadingPairs>
  <TitlesOfParts>
    <vt:vector size="71" baseType="lpstr">
      <vt:lpstr>Ex(1)</vt:lpstr>
      <vt:lpstr>Ex(1an)</vt:lpstr>
      <vt:lpstr>Ex(2)</vt:lpstr>
      <vt:lpstr>Ex(2an)</vt:lpstr>
      <vt:lpstr>Ex(2an365)</vt:lpstr>
      <vt:lpstr>Ex(3)</vt:lpstr>
      <vt:lpstr>Ex(3an)</vt:lpstr>
      <vt:lpstr>Ex(3an365)</vt:lpstr>
      <vt:lpstr>Ex(3chart)</vt:lpstr>
      <vt:lpstr>FV Higher Rates</vt:lpstr>
      <vt:lpstr>Ex(4)</vt:lpstr>
      <vt:lpstr>Ex(4an)</vt:lpstr>
      <vt:lpstr>Ex(5)</vt:lpstr>
      <vt:lpstr>Ex(5an)</vt:lpstr>
      <vt:lpstr>Ex(6)</vt:lpstr>
      <vt:lpstr>Ex(6an)</vt:lpstr>
      <vt:lpstr>Ex(7)</vt:lpstr>
      <vt:lpstr>Ex(7an)</vt:lpstr>
      <vt:lpstr>NPER (8)</vt:lpstr>
      <vt:lpstr>NPER (8an)</vt:lpstr>
      <vt:lpstr>PV Higher Rates</vt:lpstr>
      <vt:lpstr>Rate(9)</vt:lpstr>
      <vt:lpstr>Rate(9an)</vt:lpstr>
      <vt:lpstr>Ex(10)</vt:lpstr>
      <vt:lpstr>Ex(10an)</vt:lpstr>
      <vt:lpstr>Ex(11)</vt:lpstr>
      <vt:lpstr>Ex(11an)</vt:lpstr>
      <vt:lpstr>Ex(12)</vt:lpstr>
      <vt:lpstr>Ex(12an)</vt:lpstr>
      <vt:lpstr>Homework Templates ==&gt;</vt:lpstr>
      <vt:lpstr>ST (4.1,4.2,4.3,4.4) (T)</vt:lpstr>
      <vt:lpstr>ST (4.1,4.2,4.3,4.4) (an)</vt:lpstr>
      <vt:lpstr>CriticalThink 4.1,4.2,4.3(T)</vt:lpstr>
      <vt:lpstr>CriticalThink 4.1,4.2,4.3(an)</vt:lpstr>
      <vt:lpstr>(T) Q&amp;P(1)</vt:lpstr>
      <vt:lpstr>(T) Q&amp;P(1an)</vt:lpstr>
      <vt:lpstr>(T) Q&amp;P(2)</vt:lpstr>
      <vt:lpstr>(T) Q&amp;P(2an)</vt:lpstr>
      <vt:lpstr>(T) Q&amp;P(3)</vt:lpstr>
      <vt:lpstr>(T) Q&amp;P(3an)</vt:lpstr>
      <vt:lpstr>(T) Q&amp;P(4)</vt:lpstr>
      <vt:lpstr>(T) Q&amp;P(4an)</vt:lpstr>
      <vt:lpstr>(T) Q&amp;P(5)</vt:lpstr>
      <vt:lpstr>(T) Q&amp;P(5an)</vt:lpstr>
      <vt:lpstr>(T) Q&amp;P(6)</vt:lpstr>
      <vt:lpstr>(T) Q&amp;P(6an)</vt:lpstr>
      <vt:lpstr>(T) Q&amp;P(7)</vt:lpstr>
      <vt:lpstr>(T) Q&amp;P(7an)</vt:lpstr>
      <vt:lpstr>(T) Q&amp;P(8)</vt:lpstr>
      <vt:lpstr>(T) Q&amp;P(8an)</vt:lpstr>
      <vt:lpstr>(T) Q&amp;P(10)</vt:lpstr>
      <vt:lpstr>(T) Q&amp;P(10an)</vt:lpstr>
      <vt:lpstr>(T) Q&amp;P(11)</vt:lpstr>
      <vt:lpstr>(T) Q&amp;P(11an)</vt:lpstr>
      <vt:lpstr>(T) Q&amp;P(18)</vt:lpstr>
      <vt:lpstr>(T) Q&amp;P(18an)</vt:lpstr>
      <vt:lpstr>(T) Q&amp;P(19)</vt:lpstr>
      <vt:lpstr>(T) Q&amp;P(19an)</vt:lpstr>
      <vt:lpstr>(T) Q&amp;P(22)</vt:lpstr>
      <vt:lpstr>(T) Q&amp;P(22an)</vt:lpstr>
      <vt:lpstr>(T) Q&amp;P(23)</vt:lpstr>
      <vt:lpstr>(T) Q&amp;P(23an)</vt:lpstr>
      <vt:lpstr>(T) Q&amp;P(24)</vt:lpstr>
      <vt:lpstr>(T) Q&amp;P(24an)</vt:lpstr>
      <vt:lpstr>(T) Q&amp;P(25)</vt:lpstr>
      <vt:lpstr>(T) Q&amp;P(25an)</vt:lpstr>
      <vt:lpstr>Chapter05==&gt;</vt:lpstr>
      <vt:lpstr>PV</vt:lpstr>
      <vt:lpstr>Rate</vt:lpstr>
      <vt:lpstr>Payday Loans</vt:lpstr>
      <vt:lpstr>(8chart)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Gel</dc:creator>
  <cp:lastModifiedBy>Girvin, Michael</cp:lastModifiedBy>
  <cp:lastPrinted>2007-11-01T15:27:50Z</cp:lastPrinted>
  <dcterms:created xsi:type="dcterms:W3CDTF">2007-10-24T20:30:50Z</dcterms:created>
  <dcterms:modified xsi:type="dcterms:W3CDTF">2025-01-25T23:42:17Z</dcterms:modified>
</cp:coreProperties>
</file>