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14"/>
  <workbookPr codeName="ThisWorkbook" defaultThemeVersion="124226"/>
  <mc:AlternateContent xmlns:mc="http://schemas.openxmlformats.org/markup-compatibility/2006">
    <mc:Choice Requires="x15">
      <x15ac:absPath xmlns:x15ac="http://schemas.microsoft.com/office/spreadsheetml/2010/11/ac" url="C:\Users\mgirvin\Desktop\00-455-2025\02-VideosFilesHomework\Ch03\Files\"/>
    </mc:Choice>
  </mc:AlternateContent>
  <xr:revisionPtr revIDLastSave="0" documentId="13_ncr:1_{40F0F7A9-41B0-4B0C-8A87-62591D61AD28}" xr6:coauthVersionLast="47" xr6:coauthVersionMax="47" xr10:uidLastSave="{00000000-0000-0000-0000-000000000000}"/>
  <bookViews>
    <workbookView xWindow="-90" yWindow="-90" windowWidth="19380" windowHeight="10380" tabRatio="844" firstSheet="1" activeTab="1" xr2:uid="{F585ED4B-A97D-42DC-AE92-92D20754B07B}"/>
  </bookViews>
  <sheets>
    <sheet name="Videos to re-do" sheetId="110" r:id="rId1"/>
    <sheet name="Topics" sheetId="47" r:id="rId2"/>
    <sheet name="Introduction to Ratios" sheetId="78" r:id="rId3"/>
    <sheet name="Introduction to Ratios (an)" sheetId="80" r:id="rId4"/>
    <sheet name="ListOfAllRatios" sheetId="49" state="hidden" r:id="rId5"/>
    <sheet name="WFMI IS (%)" sheetId="41" r:id="rId6"/>
    <sheet name="WFMI IS (an%)" sheetId="43" r:id="rId7"/>
    <sheet name="WFMI BS (%)" sheetId="42" r:id="rId8"/>
    <sheet name="WFMI BS (an%)" sheetId="109" r:id="rId9"/>
    <sheet name="WFMI LiquidityR" sheetId="51" r:id="rId10"/>
    <sheet name="WFMI LiquidityR (an)" sheetId="86" r:id="rId11"/>
    <sheet name="Current Ratio" sheetId="104" r:id="rId12"/>
    <sheet name="Current Ratio (an)" sheetId="105" r:id="rId13"/>
    <sheet name="WFMI TurnOverR" sheetId="81" r:id="rId14"/>
    <sheet name="WFMI TurnOverR (an)" sheetId="87" r:id="rId15"/>
    <sheet name="WFMI LeverageR" sheetId="82" r:id="rId16"/>
    <sheet name="WFMI LeverageR (an)" sheetId="88" r:id="rId17"/>
    <sheet name="WFMI Du Pont" sheetId="68" r:id="rId18"/>
    <sheet name="WFMI Du Pont (an)" sheetId="79" r:id="rId19"/>
    <sheet name="QuickDuPont" sheetId="111" r:id="rId20"/>
    <sheet name="QuickDuPont(an)" sheetId="112" r:id="rId21"/>
    <sheet name="GrowthMarketR" sheetId="106" r:id="rId22"/>
    <sheet name="GrowthMarketR (an)" sheetId="107" r:id="rId23"/>
    <sheet name="Industry Averages" sheetId="4" r:id="rId24"/>
    <sheet name="More Information ==&gt;" sheetId="77" state="hidden" r:id="rId25"/>
    <sheet name="WhyFS" sheetId="46" state="hidden" r:id="rId26"/>
    <sheet name="ProblemsFS" sheetId="66" state="hidden" r:id="rId27"/>
    <sheet name="WhyCommonSize" sheetId="45" state="hidden" r:id="rId28"/>
    <sheet name="CommonSizeHow (an)" sheetId="53" state="hidden" r:id="rId29"/>
    <sheet name="CommonSizeHow" sheetId="48" state="hidden" r:id="rId30"/>
    <sheet name="WFMI SEC Financials" sheetId="7" state="hidden" r:id="rId31"/>
    <sheet name="Ratios" sheetId="50" state="hidden" r:id="rId32"/>
    <sheet name="LiquidityR" sheetId="54" state="hidden" r:id="rId33"/>
    <sheet name="LeverageR (1)" sheetId="55" state="hidden" r:id="rId34"/>
    <sheet name="LeverageR (2)" sheetId="56" state="hidden" r:id="rId35"/>
    <sheet name="EfficencyR" sheetId="57" state="hidden" r:id="rId36"/>
    <sheet name="ProfitabilityR" sheetId="58" state="hidden" r:id="rId37"/>
    <sheet name="ROAandROE (1)" sheetId="59" state="hidden" r:id="rId38"/>
    <sheet name="Du Pont (1)" sheetId="60" state="hidden" r:id="rId39"/>
    <sheet name="Du Pont (2)" sheetId="61" state="hidden" r:id="rId40"/>
    <sheet name="MarketValueR" sheetId="62" state="hidden" r:id="rId41"/>
    <sheet name="GrowthR (1)" sheetId="63" state="hidden" r:id="rId42"/>
    <sheet name="GrowthR (2)" sheetId="64" state="hidden" r:id="rId43"/>
    <sheet name="InternalSustainable Growth" sheetId="67" state="hidden" r:id="rId44"/>
    <sheet name="Benchmarks" sheetId="65" state="hidden" r:id="rId45"/>
    <sheet name="More Industry" sheetId="108" r:id="rId4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7" i="112" l="1"/>
  <c r="B7" i="112"/>
  <c r="A7" i="112"/>
  <c r="C6" i="112"/>
  <c r="B6" i="112"/>
  <c r="B16" i="112" s="1" a="1"/>
  <c r="B16" i="112" s="1"/>
  <c r="A6" i="112"/>
  <c r="C5" i="112"/>
  <c r="B5" i="112"/>
  <c r="B20" i="112" s="1" a="1"/>
  <c r="B20" i="112" s="1"/>
  <c r="A5" i="112"/>
  <c r="C4" i="112"/>
  <c r="B4" i="112"/>
  <c r="A4" i="112"/>
  <c r="C3" i="112"/>
  <c r="B3" i="112"/>
  <c r="A3" i="112"/>
  <c r="C2" i="112"/>
  <c r="B2" i="112"/>
  <c r="C7" i="111"/>
  <c r="B7" i="111"/>
  <c r="A7" i="111"/>
  <c r="C6" i="111"/>
  <c r="B6" i="111"/>
  <c r="A6" i="111"/>
  <c r="C5" i="111"/>
  <c r="B5" i="111"/>
  <c r="A5" i="111"/>
  <c r="C4" i="111"/>
  <c r="B4" i="111"/>
  <c r="A4" i="111"/>
  <c r="C3" i="111"/>
  <c r="B3" i="111"/>
  <c r="A3" i="111"/>
  <c r="C2" i="111"/>
  <c r="B2" i="111"/>
  <c r="K5" i="79" a="1"/>
  <c r="K5" i="79" s="1"/>
  <c r="L4" i="79"/>
  <c r="F19" i="87"/>
  <c r="F18" i="87"/>
  <c r="F17" i="87"/>
  <c r="F15" i="87"/>
  <c r="F13" i="87"/>
  <c r="C5" i="109"/>
  <c r="C6" i="109"/>
  <c r="C7" i="109"/>
  <c r="E5" i="109"/>
  <c r="E6" i="109"/>
  <c r="E7" i="109"/>
  <c r="G5" i="109"/>
  <c r="G6" i="109"/>
  <c r="G7" i="109"/>
  <c r="C9" i="109"/>
  <c r="C10" i="109"/>
  <c r="C11" i="109"/>
  <c r="E9" i="109"/>
  <c r="E10" i="109"/>
  <c r="E11" i="109"/>
  <c r="G9" i="109"/>
  <c r="G10" i="109"/>
  <c r="G11" i="109"/>
  <c r="C13" i="109"/>
  <c r="C14" i="109"/>
  <c r="C15" i="109"/>
  <c r="C16" i="109"/>
  <c r="E13" i="109"/>
  <c r="E14" i="109"/>
  <c r="E15" i="109"/>
  <c r="E16" i="109"/>
  <c r="G13" i="109"/>
  <c r="G14" i="109"/>
  <c r="G15" i="109"/>
  <c r="G16" i="109"/>
  <c r="G4" i="43" a="1"/>
  <c r="G4" i="43" s="1"/>
  <c r="E4" i="43" a="1"/>
  <c r="E4" i="43" s="1"/>
  <c r="C4" i="43" a="1"/>
  <c r="C4" i="43" s="1"/>
  <c r="I5" i="109"/>
  <c r="I6" i="109"/>
  <c r="I7" i="109"/>
  <c r="I9" i="109"/>
  <c r="I10" i="109"/>
  <c r="I11" i="109"/>
  <c r="I13" i="109"/>
  <c r="I14" i="109"/>
  <c r="I15" i="109"/>
  <c r="I16" i="109"/>
  <c r="K13" i="109"/>
  <c r="K14" i="109"/>
  <c r="K15" i="109"/>
  <c r="K16" i="109"/>
  <c r="K9" i="109"/>
  <c r="K10" i="109"/>
  <c r="K11" i="109"/>
  <c r="K5" i="109"/>
  <c r="K6" i="109"/>
  <c r="K7" i="109"/>
  <c r="M5" i="109"/>
  <c r="M6" i="109"/>
  <c r="M7" i="109"/>
  <c r="M9" i="109"/>
  <c r="M10" i="109"/>
  <c r="M11" i="109"/>
  <c r="M13" i="109"/>
  <c r="M14" i="109"/>
  <c r="M15" i="109"/>
  <c r="M16" i="109"/>
  <c r="N14" i="43"/>
  <c r="L14" i="43"/>
  <c r="J14" i="43"/>
  <c r="N13" i="43"/>
  <c r="L13" i="43"/>
  <c r="J13" i="43"/>
  <c r="N12" i="43"/>
  <c r="L12" i="43"/>
  <c r="J12" i="43"/>
  <c r="N11" i="43"/>
  <c r="L11" i="43"/>
  <c r="J11" i="43"/>
  <c r="N10" i="43"/>
  <c r="L10" i="43"/>
  <c r="J10" i="43"/>
  <c r="N9" i="43"/>
  <c r="L9" i="43"/>
  <c r="J9" i="43"/>
  <c r="N8" i="43"/>
  <c r="L8" i="43"/>
  <c r="J8" i="43"/>
  <c r="N7" i="43"/>
  <c r="L7" i="43"/>
  <c r="J7" i="43"/>
  <c r="N6" i="43"/>
  <c r="L6" i="43"/>
  <c r="J6" i="43"/>
  <c r="N5" i="43"/>
  <c r="L5" i="43"/>
  <c r="J5" i="43"/>
  <c r="N4" i="43"/>
  <c r="L4" i="43"/>
  <c r="J4" i="43"/>
  <c r="C25" i="108"/>
  <c r="D25" i="108"/>
  <c r="E25" i="108"/>
  <c r="F25" i="108"/>
  <c r="G25" i="108"/>
  <c r="C26" i="108"/>
  <c r="D26" i="108"/>
  <c r="E26" i="108"/>
  <c r="F26" i="108"/>
  <c r="G26" i="108"/>
  <c r="C27" i="108"/>
  <c r="D27" i="108"/>
  <c r="E27" i="108"/>
  <c r="F27" i="108"/>
  <c r="G27" i="108"/>
  <c r="C28" i="108"/>
  <c r="D28" i="108"/>
  <c r="E28" i="108"/>
  <c r="F28" i="108"/>
  <c r="G28" i="108"/>
  <c r="D1" i="67"/>
  <c r="H1" i="67"/>
  <c r="D2" i="67"/>
  <c r="H2" i="67"/>
  <c r="L2" i="67"/>
  <c r="L3" i="67" s="1"/>
  <c r="L12" i="67" s="1"/>
  <c r="L22" i="67" s="1"/>
  <c r="D3" i="67"/>
  <c r="H3" i="67"/>
  <c r="B4" i="67"/>
  <c r="E4" i="67" a="1"/>
  <c r="L5" i="67"/>
  <c r="L6" i="67" s="1"/>
  <c r="L13" i="67" s="1"/>
  <c r="L23" i="67" s="1"/>
  <c r="J7" i="67"/>
  <c r="J9" i="67" s="1"/>
  <c r="E10" i="67"/>
  <c r="E13" i="67" s="1"/>
  <c r="F10" i="67"/>
  <c r="F13" i="67" s="1"/>
  <c r="H10" i="67"/>
  <c r="E18" i="67"/>
  <c r="F18" i="67"/>
  <c r="E20" i="67"/>
  <c r="F20" i="67"/>
  <c r="L20" i="67"/>
  <c r="E24" i="67"/>
  <c r="F24" i="67"/>
  <c r="E25" i="67"/>
  <c r="F25" i="67"/>
  <c r="A7" i="61"/>
  <c r="B7" i="61"/>
  <c r="B8" i="61"/>
  <c r="B9" i="61"/>
  <c r="A14" i="61"/>
  <c r="B14" i="61"/>
  <c r="B15" i="61"/>
  <c r="C16" i="61"/>
  <c r="C17" i="61"/>
  <c r="D21" i="61"/>
  <c r="F21" i="61"/>
  <c r="H21" i="61"/>
  <c r="J21" i="61"/>
  <c r="F22" i="61"/>
  <c r="D22" i="61" s="1"/>
  <c r="H22" i="61"/>
  <c r="J22" i="61"/>
  <c r="D24" i="61"/>
  <c r="F24" i="61"/>
  <c r="H24" i="61"/>
  <c r="J24" i="61"/>
  <c r="F25" i="61"/>
  <c r="D25" i="61" s="1"/>
  <c r="H25" i="61"/>
  <c r="J25" i="61"/>
  <c r="D30" i="61"/>
  <c r="D31" i="61"/>
  <c r="C3" i="57"/>
  <c r="D3" i="57"/>
  <c r="F3" i="57"/>
  <c r="G3" i="57"/>
  <c r="I3" i="57"/>
  <c r="J3" i="57"/>
  <c r="D5" i="57"/>
  <c r="G5" i="57"/>
  <c r="J5" i="57"/>
  <c r="C8" i="57" s="1"/>
  <c r="C7" i="57"/>
  <c r="B2" i="56"/>
  <c r="J2" i="56"/>
  <c r="N2" i="56"/>
  <c r="B3" i="56"/>
  <c r="J3" i="56"/>
  <c r="N3" i="56"/>
  <c r="B4" i="56"/>
  <c r="H4" i="56"/>
  <c r="J4" i="56" s="1"/>
  <c r="L4" i="56"/>
  <c r="N4" i="56"/>
  <c r="B5" i="56"/>
  <c r="H5" i="56"/>
  <c r="J5" i="56" s="1"/>
  <c r="N5" i="56"/>
  <c r="A3" i="48"/>
  <c r="G3" i="48"/>
  <c r="K3" i="48"/>
  <c r="A4" i="48"/>
  <c r="G4" i="48"/>
  <c r="K4" i="48"/>
  <c r="Y4" i="48"/>
  <c r="A5" i="48" s="1"/>
  <c r="G5" i="48"/>
  <c r="K5" i="48"/>
  <c r="E9" i="48"/>
  <c r="B10" i="48"/>
  <c r="I10" i="48"/>
  <c r="I12" i="48" s="1"/>
  <c r="I14" i="48" s="1"/>
  <c r="E11" i="48"/>
  <c r="B13" i="48"/>
  <c r="E13" i="48"/>
  <c r="A16" i="48"/>
  <c r="A17" i="48"/>
  <c r="I17" i="48"/>
  <c r="M17" i="48"/>
  <c r="A18" i="48"/>
  <c r="A3" i="53"/>
  <c r="G3" i="53"/>
  <c r="K3" i="53"/>
  <c r="A4" i="53"/>
  <c r="G4" i="53"/>
  <c r="K4" i="53"/>
  <c r="Y4" i="53"/>
  <c r="K5" i="53"/>
  <c r="M6" i="53"/>
  <c r="M7" i="53"/>
  <c r="M8" i="53"/>
  <c r="E9" i="53"/>
  <c r="M9" i="53"/>
  <c r="B10" i="53"/>
  <c r="I10" i="53"/>
  <c r="M10" i="53" s="1"/>
  <c r="E11" i="53"/>
  <c r="M11" i="53"/>
  <c r="I12" i="53"/>
  <c r="M12" i="53" s="1"/>
  <c r="B13" i="53"/>
  <c r="E13" i="53"/>
  <c r="M13" i="53"/>
  <c r="I14" i="53"/>
  <c r="M14" i="53" s="1"/>
  <c r="A16" i="53"/>
  <c r="I16" i="53"/>
  <c r="M16" i="53"/>
  <c r="A17" i="53"/>
  <c r="I17" i="53"/>
  <c r="M17" i="53"/>
  <c r="A18" i="53"/>
  <c r="B19" i="53"/>
  <c r="E19" i="53"/>
  <c r="B20" i="53"/>
  <c r="E20" i="53"/>
  <c r="B21" i="53"/>
  <c r="E21" i="53"/>
  <c r="B22" i="53"/>
  <c r="E22" i="53"/>
  <c r="B23" i="53"/>
  <c r="E23" i="53"/>
  <c r="B24" i="53"/>
  <c r="E24" i="53"/>
  <c r="E25" i="53"/>
  <c r="B26" i="53"/>
  <c r="E26" i="53"/>
  <c r="F1" i="107"/>
  <c r="F2" i="107"/>
  <c r="B8" i="107"/>
  <c r="B10" i="107" s="1"/>
  <c r="C8" i="107"/>
  <c r="C10" i="107"/>
  <c r="G14" i="107"/>
  <c r="G15" i="107" s="1"/>
  <c r="C2" i="4" s="1"/>
  <c r="G16" i="107"/>
  <c r="B17" i="107"/>
  <c r="C17" i="107"/>
  <c r="H8" i="107" s="1"/>
  <c r="B27" i="107"/>
  <c r="C27" i="107"/>
  <c r="B29" i="107"/>
  <c r="C29" i="107"/>
  <c r="H6" i="107" s="1"/>
  <c r="H9" i="107" s="1"/>
  <c r="B33" i="107"/>
  <c r="C33" i="107"/>
  <c r="C35" i="107" s="1"/>
  <c r="C40" i="107" s="1"/>
  <c r="C41" i="107" s="1"/>
  <c r="B35" i="107"/>
  <c r="B39" i="107"/>
  <c r="F3" i="107" s="1"/>
  <c r="G17" i="107" s="1"/>
  <c r="C3" i="4" s="1"/>
  <c r="C39" i="107"/>
  <c r="H7" i="107" s="1"/>
  <c r="H10" i="107" s="1"/>
  <c r="A40" i="107"/>
  <c r="B40" i="107"/>
  <c r="B41" i="107" s="1"/>
  <c r="F1" i="106"/>
  <c r="F2" i="106"/>
  <c r="B8" i="106"/>
  <c r="C8" i="106"/>
  <c r="C10" i="106" s="1"/>
  <c r="B10" i="106"/>
  <c r="B17" i="106"/>
  <c r="C17" i="106"/>
  <c r="H8" i="106" s="1"/>
  <c r="B27" i="106"/>
  <c r="B29" i="106" s="1"/>
  <c r="C27" i="106"/>
  <c r="C29" i="106"/>
  <c r="H6" i="106" s="1"/>
  <c r="B33" i="106"/>
  <c r="C33" i="106"/>
  <c r="B35" i="106"/>
  <c r="C35" i="106"/>
  <c r="B39" i="106"/>
  <c r="F3" i="106" s="1"/>
  <c r="C39" i="106"/>
  <c r="H7" i="106" s="1"/>
  <c r="A40" i="106"/>
  <c r="B40" i="106"/>
  <c r="B41" i="106" s="1"/>
  <c r="C40" i="106"/>
  <c r="C41" i="106" s="1"/>
  <c r="B3" i="79"/>
  <c r="A17" i="79" s="1"/>
  <c r="B21" i="79" s="1"/>
  <c r="C25" i="79" s="1"/>
  <c r="C3" i="79"/>
  <c r="A16" i="79" s="1"/>
  <c r="B20" i="79" s="1"/>
  <c r="C24" i="79" s="1"/>
  <c r="A4" i="79"/>
  <c r="B4" i="79"/>
  <c r="C4" i="79"/>
  <c r="A5" i="79"/>
  <c r="B5" i="79"/>
  <c r="C5" i="79"/>
  <c r="A6" i="79"/>
  <c r="A7" i="79"/>
  <c r="B7" i="79"/>
  <c r="C7" i="79"/>
  <c r="A8" i="79"/>
  <c r="B8" i="79"/>
  <c r="E4" i="79" s="1" a="1"/>
  <c r="E4" i="79" s="1"/>
  <c r="C8" i="79"/>
  <c r="A10" i="79"/>
  <c r="B10" i="79"/>
  <c r="C4" i="4" s="1"/>
  <c r="C10" i="79"/>
  <c r="B16" i="79"/>
  <c r="B17" i="79"/>
  <c r="E23" i="79"/>
  <c r="B3" i="68"/>
  <c r="C3" i="68"/>
  <c r="A4" i="68"/>
  <c r="A5" i="68"/>
  <c r="A6" i="68"/>
  <c r="A7" i="68"/>
  <c r="B7" i="68"/>
  <c r="C7" i="68"/>
  <c r="A8" i="68"/>
  <c r="B8" i="68"/>
  <c r="C8" i="68"/>
  <c r="A10" i="68"/>
  <c r="A16" i="68"/>
  <c r="B20" i="68" s="1"/>
  <c r="C24" i="68" s="1"/>
  <c r="A17" i="68"/>
  <c r="B21" i="68" s="1"/>
  <c r="C25" i="68" s="1"/>
  <c r="E23" i="68"/>
  <c r="F6" i="88"/>
  <c r="G6" i="88"/>
  <c r="B8" i="88"/>
  <c r="C8" i="88"/>
  <c r="B10" i="88"/>
  <c r="F5" i="88" s="1"/>
  <c r="C10" i="88"/>
  <c r="G5" i="88" s="1"/>
  <c r="G16" i="88"/>
  <c r="B17" i="88"/>
  <c r="C17" i="88"/>
  <c r="F20" i="88"/>
  <c r="F21" i="88"/>
  <c r="F22" i="88"/>
  <c r="B27" i="88"/>
  <c r="C27" i="88"/>
  <c r="B29" i="88"/>
  <c r="F3" i="88" s="1"/>
  <c r="G14" i="88" s="1"/>
  <c r="C29" i="88"/>
  <c r="G3" i="88" s="1"/>
  <c r="H14" i="88" s="1"/>
  <c r="B33" i="88"/>
  <c r="C33" i="88"/>
  <c r="B35" i="88"/>
  <c r="F2" i="88" s="1"/>
  <c r="C35" i="88"/>
  <c r="G2" i="88" s="1"/>
  <c r="B39" i="88"/>
  <c r="F4" i="88" s="1"/>
  <c r="C39" i="88"/>
  <c r="G4" i="88" s="1"/>
  <c r="A40" i="88"/>
  <c r="B40" i="88"/>
  <c r="C40" i="88"/>
  <c r="B41" i="88"/>
  <c r="C41" i="88"/>
  <c r="B8" i="82"/>
  <c r="C8" i="82"/>
  <c r="B10" i="82"/>
  <c r="C10" i="82"/>
  <c r="B17" i="82"/>
  <c r="C17" i="82"/>
  <c r="B27" i="82"/>
  <c r="C27" i="82"/>
  <c r="B29" i="82"/>
  <c r="C29" i="82"/>
  <c r="B33" i="82"/>
  <c r="C33" i="82"/>
  <c r="B35" i="82"/>
  <c r="B5" i="68" s="1"/>
  <c r="C35" i="82"/>
  <c r="C5" i="68" s="1"/>
  <c r="B39" i="82"/>
  <c r="B4" i="68" s="1"/>
  <c r="C39" i="82"/>
  <c r="C4" i="68" s="1"/>
  <c r="A40" i="82"/>
  <c r="B40" i="82"/>
  <c r="C40" i="82"/>
  <c r="B41" i="82"/>
  <c r="C41" i="82"/>
  <c r="G2" i="87"/>
  <c r="H2" i="87"/>
  <c r="G4" i="87"/>
  <c r="H4" i="87"/>
  <c r="G5" i="87"/>
  <c r="H5" i="87"/>
  <c r="G6" i="87"/>
  <c r="H6" i="87"/>
  <c r="G7" i="87"/>
  <c r="H7" i="87"/>
  <c r="B8" i="87"/>
  <c r="C8" i="87"/>
  <c r="B10" i="87"/>
  <c r="C10" i="87"/>
  <c r="G12" i="87"/>
  <c r="H12" i="87"/>
  <c r="G13" i="87"/>
  <c r="H13" i="87"/>
  <c r="G14" i="87"/>
  <c r="H14" i="87"/>
  <c r="G15" i="87"/>
  <c r="H15" i="87"/>
  <c r="G16" i="87"/>
  <c r="H16" i="87"/>
  <c r="B17" i="87"/>
  <c r="C17" i="87"/>
  <c r="G17" i="87"/>
  <c r="H17" i="87"/>
  <c r="G18" i="87"/>
  <c r="H18" i="87"/>
  <c r="G19" i="87"/>
  <c r="H19" i="87"/>
  <c r="B27" i="87"/>
  <c r="C27" i="87"/>
  <c r="B29" i="87"/>
  <c r="G3" i="87" s="1"/>
  <c r="G10" i="87" s="1"/>
  <c r="C29" i="87"/>
  <c r="H3" i="87" s="1"/>
  <c r="H10" i="87" s="1"/>
  <c r="B33" i="87"/>
  <c r="C33" i="87"/>
  <c r="B35" i="87"/>
  <c r="C35" i="87"/>
  <c r="B39" i="87"/>
  <c r="C39" i="87"/>
  <c r="A40" i="87"/>
  <c r="B40" i="87"/>
  <c r="C40" i="87"/>
  <c r="B41" i="87"/>
  <c r="C41" i="87"/>
  <c r="G2" i="81"/>
  <c r="H2" i="81"/>
  <c r="G4" i="81"/>
  <c r="H4" i="81"/>
  <c r="G5" i="81"/>
  <c r="H5" i="81"/>
  <c r="G6" i="81"/>
  <c r="H6" i="81"/>
  <c r="G7" i="81"/>
  <c r="H7" i="81"/>
  <c r="B8" i="81"/>
  <c r="C8" i="81"/>
  <c r="B10" i="81"/>
  <c r="C10" i="81"/>
  <c r="F13" i="81"/>
  <c r="F15" i="81"/>
  <c r="B17" i="81"/>
  <c r="C17" i="81"/>
  <c r="F17" i="81"/>
  <c r="F18" i="81"/>
  <c r="F19" i="81"/>
  <c r="B27" i="81"/>
  <c r="C27" i="81"/>
  <c r="B29" i="81"/>
  <c r="G3" i="81" s="1"/>
  <c r="C29" i="81"/>
  <c r="H3" i="81" s="1"/>
  <c r="B33" i="81"/>
  <c r="C33" i="81"/>
  <c r="B35" i="81"/>
  <c r="C35" i="81"/>
  <c r="B39" i="81"/>
  <c r="C39" i="81"/>
  <c r="C40" i="81" s="1"/>
  <c r="C41" i="81" s="1"/>
  <c r="A40" i="81"/>
  <c r="B40" i="81"/>
  <c r="B41" i="81" s="1"/>
  <c r="D4" i="105"/>
  <c r="A6" i="105"/>
  <c r="B6" i="105"/>
  <c r="C6" i="105"/>
  <c r="D6" i="105"/>
  <c r="D10" i="105"/>
  <c r="D11" i="105"/>
  <c r="A12" i="105"/>
  <c r="B12" i="105"/>
  <c r="C12" i="105"/>
  <c r="D12" i="105"/>
  <c r="D16" i="105"/>
  <c r="D17" i="105"/>
  <c r="A18" i="105"/>
  <c r="B18" i="105"/>
  <c r="C18" i="105"/>
  <c r="D18" i="105"/>
  <c r="D23" i="105"/>
  <c r="D24" i="105"/>
  <c r="A25" i="105"/>
  <c r="B25" i="105"/>
  <c r="C25" i="105"/>
  <c r="D25" i="105"/>
  <c r="D29" i="105"/>
  <c r="D30" i="105"/>
  <c r="A31" i="105"/>
  <c r="B31" i="105"/>
  <c r="C31" i="105"/>
  <c r="D31" i="105"/>
  <c r="D36" i="105"/>
  <c r="D37" i="105"/>
  <c r="A38" i="105"/>
  <c r="B38" i="105"/>
  <c r="C38" i="105"/>
  <c r="D38" i="105"/>
  <c r="D42" i="105"/>
  <c r="D43" i="105"/>
  <c r="A44" i="105"/>
  <c r="B44" i="105"/>
  <c r="C44" i="105"/>
  <c r="D44" i="105"/>
  <c r="D49" i="105"/>
  <c r="D50" i="105"/>
  <c r="A51" i="105"/>
  <c r="B51" i="105"/>
  <c r="C51" i="105"/>
  <c r="D51" i="105"/>
  <c r="D56" i="105"/>
  <c r="D57" i="105"/>
  <c r="A58" i="105"/>
  <c r="B58" i="105"/>
  <c r="C58" i="105"/>
  <c r="D58" i="105"/>
  <c r="D63" i="105"/>
  <c r="D64" i="105"/>
  <c r="A65" i="105"/>
  <c r="B65" i="105"/>
  <c r="C65" i="105"/>
  <c r="D65" i="105"/>
  <c r="D70" i="105"/>
  <c r="D71" i="105"/>
  <c r="A72" i="105"/>
  <c r="B72" i="105"/>
  <c r="C72" i="105"/>
  <c r="D72" i="105"/>
  <c r="D78" i="105"/>
  <c r="D79" i="105"/>
  <c r="A80" i="105"/>
  <c r="B80" i="105"/>
  <c r="C80" i="105"/>
  <c r="D80" i="105"/>
  <c r="A6" i="104"/>
  <c r="B6" i="104"/>
  <c r="C6" i="104"/>
  <c r="A12" i="104"/>
  <c r="B12" i="104"/>
  <c r="C12" i="104"/>
  <c r="A18" i="104"/>
  <c r="B18" i="104"/>
  <c r="C18" i="104"/>
  <c r="A25" i="104"/>
  <c r="B25" i="104"/>
  <c r="C25" i="104"/>
  <c r="A31" i="104"/>
  <c r="B31" i="104"/>
  <c r="C31" i="104"/>
  <c r="A38" i="104"/>
  <c r="B38" i="104"/>
  <c r="C38" i="104"/>
  <c r="A44" i="104"/>
  <c r="B44" i="104"/>
  <c r="C44" i="104"/>
  <c r="A51" i="104"/>
  <c r="B51" i="104"/>
  <c r="C51" i="104"/>
  <c r="A58" i="104"/>
  <c r="B58" i="104"/>
  <c r="C58" i="104"/>
  <c r="A65" i="104"/>
  <c r="B65" i="104"/>
  <c r="C65" i="104"/>
  <c r="A72" i="104"/>
  <c r="B72" i="104"/>
  <c r="C72" i="104"/>
  <c r="A80" i="104"/>
  <c r="B80" i="104"/>
  <c r="C80" i="104"/>
  <c r="G1" i="86"/>
  <c r="H1" i="86"/>
  <c r="B8" i="86"/>
  <c r="C8" i="86"/>
  <c r="B10" i="86"/>
  <c r="C10" i="86"/>
  <c r="B17" i="86"/>
  <c r="C17" i="86"/>
  <c r="B27" i="86"/>
  <c r="C27" i="86"/>
  <c r="B29" i="86"/>
  <c r="C29" i="86"/>
  <c r="B33" i="86"/>
  <c r="G4" i="86" s="1"/>
  <c r="C33" i="86"/>
  <c r="H4" i="86" s="1"/>
  <c r="B35" i="86"/>
  <c r="C35" i="86"/>
  <c r="B39" i="86"/>
  <c r="C39" i="86"/>
  <c r="A40" i="86"/>
  <c r="B40" i="86"/>
  <c r="C40" i="86"/>
  <c r="B41" i="86"/>
  <c r="C41" i="86"/>
  <c r="G1" i="51"/>
  <c r="H1" i="51"/>
  <c r="B8" i="51"/>
  <c r="C8" i="51"/>
  <c r="B10" i="51"/>
  <c r="C10" i="51"/>
  <c r="B17" i="51"/>
  <c r="C17" i="51"/>
  <c r="B27" i="51"/>
  <c r="C27" i="51"/>
  <c r="B29" i="51"/>
  <c r="C29" i="51"/>
  <c r="B33" i="51"/>
  <c r="C33" i="51"/>
  <c r="B35" i="51"/>
  <c r="C35" i="51"/>
  <c r="B39" i="51"/>
  <c r="C39" i="51"/>
  <c r="A40" i="51"/>
  <c r="B40" i="51"/>
  <c r="C40" i="51"/>
  <c r="B41" i="51"/>
  <c r="C41" i="51"/>
  <c r="B7" i="109"/>
  <c r="D7" i="109"/>
  <c r="F7" i="109"/>
  <c r="B11" i="109"/>
  <c r="D11" i="109"/>
  <c r="F11" i="109"/>
  <c r="B15" i="109"/>
  <c r="D15" i="109"/>
  <c r="F15" i="109"/>
  <c r="A16" i="109"/>
  <c r="B16" i="109"/>
  <c r="D16" i="109"/>
  <c r="F16" i="109"/>
  <c r="B17" i="109"/>
  <c r="D17" i="109"/>
  <c r="F17" i="109"/>
  <c r="B7" i="42"/>
  <c r="B17" i="42" s="1"/>
  <c r="D7" i="42"/>
  <c r="D17" i="42" s="1"/>
  <c r="F7" i="42"/>
  <c r="F17" i="42" s="1"/>
  <c r="B11" i="42"/>
  <c r="D11" i="42"/>
  <c r="F11" i="42"/>
  <c r="B15" i="42"/>
  <c r="D15" i="42"/>
  <c r="F15" i="42"/>
  <c r="A16" i="42"/>
  <c r="B16" i="42"/>
  <c r="D16" i="42"/>
  <c r="F16" i="42"/>
  <c r="B4" i="43"/>
  <c r="D4" i="43"/>
  <c r="F4" i="43"/>
  <c r="B5" i="43"/>
  <c r="D5" i="43"/>
  <c r="F5" i="43"/>
  <c r="B6" i="43"/>
  <c r="D6" i="43"/>
  <c r="F6" i="43"/>
  <c r="B7" i="43"/>
  <c r="D7" i="43"/>
  <c r="F7" i="43"/>
  <c r="B8" i="43"/>
  <c r="D8" i="43"/>
  <c r="F8" i="43"/>
  <c r="B9" i="43"/>
  <c r="D9" i="43"/>
  <c r="F9" i="43"/>
  <c r="B10" i="43"/>
  <c r="D10" i="43"/>
  <c r="F10" i="43"/>
  <c r="B11" i="43"/>
  <c r="D11" i="43"/>
  <c r="F11" i="43"/>
  <c r="B12" i="43"/>
  <c r="D12" i="43"/>
  <c r="F12" i="43"/>
  <c r="B13" i="43"/>
  <c r="D13" i="43"/>
  <c r="F13" i="43"/>
  <c r="B14" i="43"/>
  <c r="D14" i="43"/>
  <c r="F14" i="43"/>
  <c r="B16" i="43"/>
  <c r="B17" i="43"/>
  <c r="C23" i="43"/>
  <c r="E23" i="43"/>
  <c r="G23" i="43"/>
  <c r="C24" i="43"/>
  <c r="E24" i="43"/>
  <c r="G24" i="43"/>
  <c r="C25" i="43"/>
  <c r="E25" i="43"/>
  <c r="G25" i="43"/>
  <c r="C26" i="43"/>
  <c r="E26" i="43"/>
  <c r="G26" i="43"/>
  <c r="B27" i="43"/>
  <c r="C27" i="43"/>
  <c r="D27" i="43"/>
  <c r="E27" i="43"/>
  <c r="F27" i="43"/>
  <c r="G27" i="43"/>
  <c r="C28" i="43"/>
  <c r="E28" i="43"/>
  <c r="G28" i="43"/>
  <c r="B29" i="43"/>
  <c r="C29" i="43"/>
  <c r="D29" i="43"/>
  <c r="E29" i="43"/>
  <c r="F29" i="43"/>
  <c r="G29" i="43"/>
  <c r="C30" i="43"/>
  <c r="E30" i="43"/>
  <c r="G30" i="43"/>
  <c r="B31" i="43"/>
  <c r="C31" i="43"/>
  <c r="D31" i="43"/>
  <c r="E31" i="43"/>
  <c r="F31" i="43"/>
  <c r="G31" i="43"/>
  <c r="B32" i="43"/>
  <c r="D32" i="43"/>
  <c r="E32" i="43" s="1"/>
  <c r="F32" i="43"/>
  <c r="G32" i="43" s="1"/>
  <c r="D33" i="43"/>
  <c r="E33" i="43" s="1"/>
  <c r="F33" i="43"/>
  <c r="G33" i="43" s="1"/>
  <c r="B8" i="41"/>
  <c r="D8" i="41"/>
  <c r="F8" i="41"/>
  <c r="B10" i="41"/>
  <c r="D10" i="41"/>
  <c r="F10" i="41"/>
  <c r="B12" i="41"/>
  <c r="D12" i="41"/>
  <c r="F12" i="41"/>
  <c r="B14" i="41"/>
  <c r="D14" i="41"/>
  <c r="F14" i="41"/>
  <c r="B17" i="41"/>
  <c r="B15" i="49"/>
  <c r="B17" i="49"/>
  <c r="B19" i="49"/>
  <c r="B20" i="49"/>
  <c r="B21" i="49"/>
  <c r="B5" i="80"/>
  <c r="E9" i="80"/>
  <c r="G9" i="80"/>
  <c r="E10" i="80"/>
  <c r="G10" i="80" s="1"/>
  <c r="E11" i="80"/>
  <c r="G11" i="80" s="1"/>
  <c r="B12" i="80"/>
  <c r="E12" i="80"/>
  <c r="G12" i="80" s="1"/>
  <c r="E13" i="80"/>
  <c r="G13" i="80" s="1"/>
  <c r="E14" i="80"/>
  <c r="G14" i="80" s="1"/>
  <c r="B15" i="80"/>
  <c r="E15" i="80" s="1"/>
  <c r="G15" i="80" s="1"/>
  <c r="B21" i="80"/>
  <c r="B28" i="80"/>
  <c r="B29" i="80"/>
  <c r="B36" i="80"/>
  <c r="B37" i="80"/>
  <c r="B40" i="80"/>
  <c r="B41" i="80"/>
  <c r="B46" i="80"/>
  <c r="B47" i="80"/>
  <c r="B12" i="78"/>
  <c r="B15" i="78" s="1"/>
  <c r="B40" i="78"/>
  <c r="B41" i="78"/>
  <c r="B12" i="112" l="1" a="1"/>
  <c r="B12" i="112" s="1"/>
  <c r="B25" i="112" s="1" a="1"/>
  <c r="B25" i="112" s="1"/>
  <c r="B24" i="112" a="1"/>
  <c r="B24" i="112" s="1"/>
  <c r="C6" i="4"/>
  <c r="F24" i="79"/>
  <c r="B12" i="79"/>
  <c r="C5" i="4" s="1"/>
  <c r="C12" i="79"/>
  <c r="F25" i="79"/>
  <c r="F4" i="67"/>
  <c r="E4" i="67"/>
  <c r="J10" i="67"/>
  <c r="J11" i="67" s="1"/>
  <c r="I16" i="48"/>
  <c r="M16" i="48"/>
  <c r="A5" i="53"/>
  <c r="G5" i="53"/>
  <c r="G13" i="88"/>
  <c r="G12" i="88"/>
  <c r="H13" i="88"/>
  <c r="H12" i="88"/>
  <c r="G10" i="88"/>
  <c r="G11" i="88" s="1"/>
  <c r="G9" i="88"/>
  <c r="H10" i="88"/>
  <c r="H11" i="88" s="1"/>
  <c r="H9" i="88"/>
  <c r="B6" i="79"/>
  <c r="B6" i="68"/>
  <c r="C6" i="68"/>
  <c r="C6" i="79"/>
  <c r="G2" i="86"/>
  <c r="G3" i="86"/>
  <c r="H2" i="86"/>
  <c r="H3" i="86"/>
  <c r="B33" i="43"/>
  <c r="C32" i="43"/>
  <c r="H15" i="80"/>
  <c r="I4" i="79" l="1" a="1"/>
  <c r="I4" i="79" s="1"/>
  <c r="G4" i="79" a="1"/>
  <c r="G4" i="79" s="1"/>
  <c r="K4" i="79" s="1"/>
  <c r="L8" i="67"/>
  <c r="L16" i="67" s="1"/>
  <c r="L7" i="67"/>
  <c r="L15" i="67" s="1"/>
  <c r="M8" i="67"/>
  <c r="I12" i="67"/>
  <c r="M7" i="67"/>
  <c r="I13" i="67"/>
  <c r="E17" i="79"/>
  <c r="C17" i="79"/>
  <c r="B11" i="79"/>
  <c r="E16" i="79"/>
  <c r="C16" i="79"/>
  <c r="C11" i="79"/>
  <c r="B36" i="43"/>
  <c r="C33" i="43"/>
  <c r="M9" i="67" l="1"/>
  <c r="M11" i="67" s="1"/>
  <c r="L9" i="67"/>
  <c r="L18" i="67" s="1"/>
  <c r="L10" i="67"/>
  <c r="L19" i="67" s="1"/>
  <c r="M10" i="67"/>
  <c r="C21" i="79"/>
  <c r="E25" i="79" s="1"/>
  <c r="G25" i="79" s="1"/>
  <c r="F17" i="79"/>
  <c r="C20" i="79"/>
  <c r="E24" i="79" s="1"/>
  <c r="G24" i="79" s="1"/>
  <c r="F16" i="79"/>
  <c r="M4" i="67" l="1"/>
  <c r="M12" i="67"/>
  <c r="M1" i="67"/>
  <c r="M13" i="67"/>
  <c r="M5" i="67" l="1"/>
  <c r="M6" i="67" s="1"/>
  <c r="M2" i="67"/>
  <c r="M3" i="6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Girvin, Michael</author>
  </authors>
  <commentList>
    <comment ref="E12" authorId="0" shapeId="0" xr:uid="{C2DE9B45-AE60-4718-8C27-8D1B569F5D9D}">
      <text>
        <r>
          <rPr>
            <b/>
            <sz val="9"/>
            <color indexed="81"/>
            <rFont val="Tahoma"/>
            <family val="2"/>
          </rPr>
          <t>How many times in one year did we run inventory down to zero, and then immedaitely re-stock?</t>
        </r>
      </text>
    </comment>
    <comment ref="E13" authorId="0" shapeId="0" xr:uid="{9310A93E-C52E-4785-995F-81553A595F3A}">
      <text>
        <r>
          <rPr>
            <b/>
            <sz val="9"/>
            <color indexed="81"/>
            <rFont val="Tahoma"/>
            <family val="2"/>
          </rPr>
          <t>Days to sell one full load of inventory</t>
        </r>
      </text>
    </comment>
    <comment ref="E14" authorId="0" shapeId="0" xr:uid="{412C330C-AB0F-4F0E-9DA9-F446C6D77686}">
      <text>
        <r>
          <rPr>
            <b/>
            <sz val="9"/>
            <color indexed="81"/>
            <rFont val="Tahoma"/>
            <family val="2"/>
          </rPr>
          <t>How many times in one year did we collect all AR and immedaite loan it out again?</t>
        </r>
      </text>
    </comment>
    <comment ref="E15" authorId="0" shapeId="0" xr:uid="{29CFD394-4770-4644-BDE9-734D2E6F8688}">
      <text>
        <r>
          <rPr>
            <b/>
            <sz val="9"/>
            <color indexed="81"/>
            <rFont val="Tahoma"/>
            <family val="2"/>
          </rPr>
          <t>Average time (days) to collect an AR.
Days to collect one load of AR</t>
        </r>
      </text>
    </comment>
    <comment ref="E16" authorId="0" shapeId="0" xr:uid="{AD5CC4C3-A56F-44C6-A9CA-B74C13BE5B3F}">
      <text>
        <r>
          <rPr>
            <b/>
            <sz val="9"/>
            <color indexed="81"/>
            <rFont val="Tahoma"/>
            <family val="2"/>
          </rPr>
          <t>How many times in a year did we pay AP down to zero and then load it back up?</t>
        </r>
      </text>
    </comment>
    <comment ref="E17" authorId="0" shapeId="0" xr:uid="{AA19075F-5862-44EE-8E2C-B42A4AEBBC3C}">
      <text>
        <r>
          <rPr>
            <b/>
            <sz val="9"/>
            <color indexed="81"/>
            <rFont val="Tahoma"/>
            <family val="2"/>
          </rPr>
          <t>Average days to pay of AP.
How many days does it take to pay all AP down and then imedaitely borrow again?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Girvin, Michael</author>
  </authors>
  <commentList>
    <comment ref="E12" authorId="0" shapeId="0" xr:uid="{B155A583-44A4-4E64-ADEB-AE251AB64746}">
      <text>
        <r>
          <rPr>
            <b/>
            <sz val="9"/>
            <color indexed="81"/>
            <rFont val="Tahoma"/>
            <family val="2"/>
          </rPr>
          <t>How many times in one year did we run inventory down to zero, and then immedaitely re-stock?</t>
        </r>
      </text>
    </comment>
    <comment ref="E13" authorId="0" shapeId="0" xr:uid="{A17C1472-9801-420A-994B-3ECC7931DEB4}">
      <text>
        <r>
          <rPr>
            <b/>
            <sz val="9"/>
            <color indexed="81"/>
            <rFont val="Tahoma"/>
            <family val="2"/>
          </rPr>
          <t>Days to sell one full load of inventory</t>
        </r>
      </text>
    </comment>
    <comment ref="E14" authorId="0" shapeId="0" xr:uid="{32372792-D15B-4D24-A75F-23FAF6D74ED3}">
      <text>
        <r>
          <rPr>
            <b/>
            <sz val="9"/>
            <color indexed="81"/>
            <rFont val="Tahoma"/>
            <family val="2"/>
          </rPr>
          <t>How many times in one year did we collect all AR and immedaite loan it out again?</t>
        </r>
      </text>
    </comment>
    <comment ref="E15" authorId="0" shapeId="0" xr:uid="{C6AF424B-EEC6-4BA7-9F99-273C55A0C17A}">
      <text>
        <r>
          <rPr>
            <b/>
            <sz val="9"/>
            <color indexed="81"/>
            <rFont val="Tahoma"/>
            <family val="2"/>
          </rPr>
          <t>Average time (days) to collect an AR.
Days to collect one load of AR</t>
        </r>
      </text>
    </comment>
    <comment ref="E16" authorId="0" shapeId="0" xr:uid="{4B7E86FB-5EBF-41AC-B773-F508E7778518}">
      <text>
        <r>
          <rPr>
            <b/>
            <sz val="9"/>
            <color indexed="81"/>
            <rFont val="Tahoma"/>
            <family val="2"/>
          </rPr>
          <t>How many times in a year did we pay AP down to zero and then load it back up?</t>
        </r>
      </text>
    </comment>
    <comment ref="E17" authorId="0" shapeId="0" xr:uid="{62C3C742-014B-4EA1-90DC-CF4616937A36}">
      <text>
        <r>
          <rPr>
            <b/>
            <sz val="9"/>
            <color indexed="81"/>
            <rFont val="Tahoma"/>
            <family val="2"/>
          </rPr>
          <t>Average days to pay of AP.
How many days does it take to pay all AP down and then imedaitely borrow again?</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C2A7DCA-B688-46A9-A38A-DA4486836F8A}" name="Connection" type="4" refreshedVersion="3" background="1" saveData="1">
    <webPr sourceData="1" parsePre="1" consecutive="1" xl2000="1" url="http://finance.yahoo.com/q/bs?s=SWY&amp;annual" htmlTables="1">
      <tables count="1">
        <x v="15"/>
      </tables>
    </webPr>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<sst xmlns="http://schemas.openxmlformats.org/spreadsheetml/2006/main" count="5276" uniqueCount="1222">
  <si>
    <t>Cash Ratio = Cash/CL</t>
  </si>
  <si>
    <t>Do we even need to define this?</t>
  </si>
  <si>
    <t>Quick Ratio = (CA-INV)/CL</t>
  </si>
  <si>
    <t>Summary:</t>
  </si>
  <si>
    <t>Leverage, Or Long-term Solvency Ratios</t>
  </si>
  <si>
    <t>Capital Structure = Relationship Between Debt &amp; Equity</t>
  </si>
  <si>
    <t>A = L + E</t>
  </si>
  <si>
    <t>10 = 2 + 8</t>
  </si>
  <si>
    <t>Solvency = “the position of having enough money to cover expenses and debts”</t>
  </si>
  <si>
    <t>Banks, Investors look at these ratios</t>
  </si>
  <si>
    <t>Liquidity Ratios</t>
  </si>
  <si>
    <t>Liquidity = How quickly an asset can be converted to cash</t>
  </si>
  <si>
    <t>Bankers, Auditors, Managers, Employees, Investors, and everyone else needs to know if they have cash in the short-term</t>
  </si>
  <si>
    <t>Add To Retained Earnings</t>
  </si>
  <si>
    <t>Equity = TE = E</t>
  </si>
  <si>
    <t>Liability = Debt = TL = D</t>
  </si>
  <si>
    <t>Assets = TA = A</t>
  </si>
  <si>
    <t>Total Debt Ratio</t>
  </si>
  <si>
    <t>Total Debt Ratio = TL/TA = (TA–TE)/TA</t>
  </si>
  <si>
    <t>Amount of debt for every $1 of assets</t>
  </si>
  <si>
    <t>How much of every $1 of assets is financed with debt</t>
  </si>
  <si>
    <t>Debt/Equity Ratio</t>
  </si>
  <si>
    <t>Debt/Equity Ratio = TL/TE = D/E</t>
  </si>
  <si>
    <t>Amount of debt for every $1 of equity</t>
  </si>
  <si>
    <t>Equity Multiplier = Leverage = TA/TE = (1+D/E)</t>
  </si>
  <si>
    <t>For every $1 of equity how many dollars of assets are there</t>
  </si>
  <si>
    <t>Shows us the amount of leverage</t>
  </si>
  <si>
    <t>Variables:</t>
  </si>
  <si>
    <t>TL/TE</t>
  </si>
  <si>
    <t>TA/TE</t>
  </si>
  <si>
    <t>Same Capital Structure</t>
  </si>
  <si>
    <r>
      <t xml:space="preserve">then </t>
    </r>
    <r>
      <rPr>
        <sz val="10"/>
        <rFont val="Wingdings"/>
        <charset val="2"/>
      </rPr>
      <t>==&gt;</t>
    </r>
  </si>
  <si>
    <t>2/(10-2)</t>
  </si>
  <si>
    <t>2.5/10</t>
  </si>
  <si>
    <t>2.5/(10-2.5)</t>
  </si>
  <si>
    <t>2.5/7.5</t>
  </si>
  <si>
    <t>10/7.5</t>
  </si>
  <si>
    <t>5/(10-5)</t>
  </si>
  <si>
    <t>8/(10-8)</t>
  </si>
  <si>
    <t>Cash Coverage Ratio = (EBIT+Depr.)/Interest =EBDIT/Interest</t>
  </si>
  <si>
    <t xml:space="preserve"> One possible measure of cash flow to meet financial obligations</t>
  </si>
  <si>
    <t>If the company has a great deal of non-cash deprecation expense, then it makes sense to use this one</t>
  </si>
  <si>
    <t>Times Interest Earned Ratio =EBIT/Interest</t>
  </si>
  <si>
    <t>How many times over interest can be paid</t>
  </si>
  <si>
    <t>Inventory Turnover =COGS/Inv.</t>
  </si>
  <si>
    <t>Alternative = COGS/((Beg.Inv.+EndInv.)/2)</t>
  </si>
  <si>
    <t>How many times we run inventory down to zero and then immediately restock</t>
  </si>
  <si>
    <t>How many times did we buy and sell our inventory during the year</t>
  </si>
  <si>
    <t>Example: COGS/Inv.=5,000/1,000 = 5</t>
  </si>
  <si>
    <t>Days’ Sales In Inventory = 365/Inv. Turn</t>
  </si>
  <si>
    <t>How long inventory sits before it is sold</t>
  </si>
  <si>
    <t>If Inv. Turn = 5</t>
  </si>
  <si>
    <t>Days’ Sales In Inventory = 365days/5 =     73 days</t>
  </si>
  <si>
    <t>Receivables Turnover = Sales/AR</t>
  </si>
  <si>
    <t>How fast we collect our receivable</t>
  </si>
  <si>
    <t># of times we collect and reloan the $ per year</t>
  </si>
  <si>
    <t>Example: 10,000/1,000 = 10</t>
  </si>
  <si>
    <t>Days’ Sales In Receivables = 365/(Days’ Sales In Receivables)</t>
  </si>
  <si>
    <t>Average time it takes to collect the AR</t>
  </si>
  <si>
    <t>Example: 365days/10 = 36.5 days</t>
  </si>
  <si>
    <t>Alternative = (Credit_Sales)/((Beg.AR+EndAR)/2)</t>
  </si>
  <si>
    <t>Payables Turnover = COGS/AP</t>
  </si>
  <si>
    <t>COGS/AP = 5,600/800 = 7</t>
  </si>
  <si>
    <t>Total Asset Turnover = Sales/TA</t>
  </si>
  <si>
    <t>How many sales do we generate from $1 of assets</t>
  </si>
  <si>
    <t>The higher, the better, or the more efficient</t>
  </si>
  <si>
    <t>If a firm has newer assets that have not been depreciated, book value for assets may be high and may temporarily lower the ratio</t>
  </si>
  <si>
    <t>Measure of asset use efficiency</t>
  </si>
  <si>
    <t xml:space="preserve">Not unusual for TAT &lt; 1, especially if a firm has a large amount of fixed assets </t>
  </si>
  <si>
    <t>Capital Intensity = TA/Sales</t>
  </si>
  <si>
    <t>For every $1 of sales how many $ of assets did it take to generate that $1</t>
  </si>
  <si>
    <t>Alternative = (Total_Operating_Revenue)/((Beg.TA+EndTA)/2)</t>
  </si>
  <si>
    <t>Sales</t>
  </si>
  <si>
    <t>INV.</t>
  </si>
  <si>
    <t>AR</t>
  </si>
  <si>
    <t>AP</t>
  </si>
  <si>
    <t>Days to sell</t>
  </si>
  <si>
    <t>Days to collect</t>
  </si>
  <si>
    <t>Days to pay</t>
  </si>
  <si>
    <t>Operating cycle = days inventory sits + days to collect after selling</t>
  </si>
  <si>
    <t>Cash cycle = operating cycle – payables period</t>
  </si>
  <si>
    <t>Turnover or Efficiency Ratios</t>
  </si>
  <si>
    <t>Measures how efficently we manage our Inventory, Receivables, Assets, and Cash Cycle</t>
  </si>
  <si>
    <t>365 days/7 = 52 days to pay bill</t>
  </si>
  <si>
    <t>Sales/TA goes up, more efficient use of assets!</t>
  </si>
  <si>
    <t>Profit Margin = NI/Sales</t>
  </si>
  <si>
    <t>For every $1 of sales, what is the profit?</t>
  </si>
  <si>
    <t>Example: $60/$400 = .15</t>
  </si>
  <si>
    <t>High PM corresponds to low expense ratios relative to sales</t>
  </si>
  <si>
    <t>High PM:</t>
  </si>
  <si>
    <t>Internal managers could be managing cost efficiently</t>
  </si>
  <si>
    <t>Product/service could be superior to others and could thus demand a high price</t>
  </si>
  <si>
    <t>Profitability Ratios</t>
  </si>
  <si>
    <t>Profitability ratios</t>
  </si>
  <si>
    <t>Are we getting a good return?</t>
  </si>
  <si>
    <t>Return On Equity = ROE = NI/Equity</t>
  </si>
  <si>
    <t>Return to shareholders</t>
  </si>
  <si>
    <t>What is the profit per $1 of equity?</t>
  </si>
  <si>
    <t>The key:</t>
  </si>
  <si>
    <t>When there is no debt, ROE = ROA</t>
  </si>
  <si>
    <t>When there is debt this should happen: ROE &gt; ROA</t>
  </si>
  <si>
    <t>Why? Because the assets must earn a return for both the creditors and owners</t>
  </si>
  <si>
    <t>The more debt there is, the higher (ROE – ROA) must be!</t>
  </si>
  <si>
    <t>Profit per $1 of asset</t>
  </si>
  <si>
    <t>ROA = NI/Sales*Sales/TA</t>
  </si>
  <si>
    <t>Return On Assets = NI/TA = ROA (also known as ROI (ROInvestment))</t>
  </si>
  <si>
    <t>ROA = Profit Margin*Asset Turnover = Operating Efficiency*Asset Use Efficiency</t>
  </si>
  <si>
    <t>Profitability</t>
  </si>
  <si>
    <t>x</t>
  </si>
  <si>
    <t>Efficiency</t>
  </si>
  <si>
    <t>Leverage</t>
  </si>
  <si>
    <t>Operating efficiency</t>
  </si>
  <si>
    <t>Asset Efficiency</t>
  </si>
  <si>
    <t>Financial leverage</t>
  </si>
  <si>
    <t>Profits generated from $1 of sales, are expenses being kept low?</t>
  </si>
  <si>
    <t>Sales generated by $1 of assets, efficient utilization of assets?</t>
  </si>
  <si>
    <t>For every $1 of owner investment, how many $ of assets were purchased?</t>
  </si>
  <si>
    <t>(1 + D/E)</t>
  </si>
  <si>
    <t>(1/(1-D/TA))</t>
  </si>
  <si>
    <t>"Leverage up" ROE by increasing the amount of debt</t>
  </si>
  <si>
    <t>NI</t>
  </si>
  <si>
    <t>Equity</t>
  </si>
  <si>
    <t>ROE =</t>
  </si>
  <si>
    <t>ROE went down, not because of  a decrease in profitability of sales, but:</t>
  </si>
  <si>
    <t>Assets are used less efficiently to generate sales!</t>
  </si>
  <si>
    <t>Firm is less effective at leveraging stockholders' investment in the firm.</t>
  </si>
  <si>
    <t>Market Value Ratios (For publicly traded companies)</t>
  </si>
  <si>
    <t>Price-Earnings Ratio = (Market Price per Share)/EPS)</t>
  </si>
  <si>
    <t>$ paid for $1 of earnings</t>
  </si>
  <si>
    <t>“Surrogate for growth”</t>
  </si>
  <si>
    <t>(Market Value per Share)/(Book Value per Share)</t>
  </si>
  <si>
    <t>&gt;1, stock market believes that firm is worth more than the book value of equity</t>
  </si>
  <si>
    <t xml:space="preserve">&lt;1, stock market believes that firm is worth less than the book value of equity </t>
  </si>
  <si>
    <t xml:space="preserve">Note: EPS = NI/(# Shares Outstanding) </t>
  </si>
  <si>
    <t xml:space="preserve">Note: Book Value per Share = TE/(# Shares Outstanding) </t>
  </si>
  <si>
    <t>Market-To-Book Ratio (also known as Tobin's Q)</t>
  </si>
  <si>
    <t>Firm Growth</t>
  </si>
  <si>
    <t>In the long run if firm wants to increase Net Income, they must increase Sales, which in turn means they must buy more Assets</t>
  </si>
  <si>
    <t>Assets cost $</t>
  </si>
  <si>
    <t>The $ come from E, D, or Retained Earnings</t>
  </si>
  <si>
    <t>Remember: Net Income gets divided up:</t>
  </si>
  <si>
    <t>Paid out as dividends</t>
  </si>
  <si>
    <t>Dividends/NI = Dividend payout rate = DPR</t>
  </si>
  <si>
    <t>Kept as retained earnings</t>
  </si>
  <si>
    <t>(Retained earnings)/NI = plowback rate = b</t>
  </si>
  <si>
    <t>The internal growth rate tells us how much the firm can grow assets using retained earnings as the only source of financing</t>
  </si>
  <si>
    <t>They won’t go issue new equity or debt</t>
  </si>
  <si>
    <t>D/A will go down over time</t>
  </si>
  <si>
    <t>Firm gets funds to buy assets from retained earnings</t>
  </si>
  <si>
    <t>Firm gets funds to buy assets from retained earnings and debt</t>
  </si>
  <si>
    <t>The sustainable growth rate tells us how much the firm can grow by using internally generated funds and issuing debt to  maintain a constant debt ratio (issues no new equity)</t>
  </si>
  <si>
    <t>Choosing a Benchmark</t>
  </si>
  <si>
    <t>Time trend:</t>
  </si>
  <si>
    <t>Over time, have things changed?</t>
  </si>
  <si>
    <t>Management by exception:</t>
  </si>
  <si>
    <t>Directing attention to deviations</t>
  </si>
  <si>
    <t>Peer group:</t>
  </si>
  <si>
    <t>Firms that compete in the same markets</t>
  </si>
  <si>
    <t>Have similar assets</t>
  </si>
  <si>
    <t>Operate in similar ways</t>
  </si>
  <si>
    <t>Standard Industrial Classification code = SIC page 69</t>
  </si>
  <si>
    <t>Problems with Financial Statement Analysis</t>
  </si>
  <si>
    <t>It’s accounting!</t>
  </si>
  <si>
    <t>Not market value</t>
  </si>
  <si>
    <t>Some conglomerates do not have parallel peers or industries</t>
  </si>
  <si>
    <t>Making financial statements difficult to compare</t>
  </si>
  <si>
    <t>Analysts often calculate ratios in different manners</t>
  </si>
  <si>
    <t>Assumptions:</t>
  </si>
  <si>
    <t>Q Corp</t>
  </si>
  <si>
    <t>Statements:</t>
  </si>
  <si>
    <t>Balance Sheet ($ in millions)</t>
  </si>
  <si>
    <t>Income Statement t ($ in millions)</t>
  </si>
  <si>
    <t>Tax rate</t>
  </si>
  <si>
    <t>Current assets</t>
  </si>
  <si>
    <t>Accounts receivable</t>
  </si>
  <si>
    <t>Total current assets</t>
  </si>
  <si>
    <t>Fixed assets</t>
  </si>
  <si>
    <t>Net plant and equipment</t>
  </si>
  <si>
    <t>Total assets</t>
  </si>
  <si>
    <t>Liabilities and Owners' Equity</t>
  </si>
  <si>
    <t>Current liabilities</t>
  </si>
  <si>
    <t>Accounts payable</t>
  </si>
  <si>
    <t>Notes payable</t>
  </si>
  <si>
    <t>Total current liabilities</t>
  </si>
  <si>
    <t>Long-term debt</t>
  </si>
  <si>
    <t>Total liabilities</t>
  </si>
  <si>
    <t>Owners' equity</t>
  </si>
  <si>
    <t>Retained earnings</t>
  </si>
  <si>
    <t>Total owners' equity</t>
  </si>
  <si>
    <t>Total liabilities and owners' equity</t>
  </si>
  <si>
    <t>Interest Paid</t>
  </si>
  <si>
    <t>Taxable income</t>
  </si>
  <si>
    <t>Addition to RE</t>
  </si>
  <si>
    <t>ROA*b</t>
  </si>
  <si>
    <t>ROE*b</t>
  </si>
  <si>
    <t>SUM =</t>
  </si>
  <si>
    <t>"As long as we are not running out of stock and foregoing sales, the higher the ratio, the more efficient we are at managing inventory"</t>
  </si>
  <si>
    <t>Low Profit Margin may be fine if volume is high (SUCH AS Grocery Stores)</t>
  </si>
  <si>
    <t>a</t>
  </si>
  <si>
    <t>purchase inv.</t>
  </si>
  <si>
    <t>supplier paid</t>
  </si>
  <si>
    <t>c</t>
  </si>
  <si>
    <t>short term bank loan is paid</t>
  </si>
  <si>
    <t>d</t>
  </si>
  <si>
    <t>long-debt paid early</t>
  </si>
  <si>
    <t>If long-debt has not been classified as current liability, it will go down</t>
  </si>
  <si>
    <t>e</t>
  </si>
  <si>
    <t>AR is Paid</t>
  </si>
  <si>
    <t>No change</t>
  </si>
  <si>
    <t>f</t>
  </si>
  <si>
    <t>Inv sold at cost</t>
  </si>
  <si>
    <t>g</t>
  </si>
  <si>
    <t>CA</t>
  </si>
  <si>
    <t>CL</t>
  </si>
  <si>
    <t>Other</t>
  </si>
  <si>
    <t>Lowest Quartile</t>
  </si>
  <si>
    <t>Median</t>
  </si>
  <si>
    <t>Highest Quartile</t>
  </si>
  <si>
    <t>International and National firms may use different accounting standards and procedures than others</t>
  </si>
  <si>
    <t>What does it mean when these ratios are greater than 1? A: More CA than CL</t>
  </si>
  <si>
    <t>What does it mean when these ratios are less than 1? A: More CL than CA</t>
  </si>
  <si>
    <t>Who might be interested in this ratio? A: Creditors.</t>
  </si>
  <si>
    <t>Example: $2/$1 = $2 CA for every $1 of CL</t>
  </si>
  <si>
    <t>If firm has many old assets (fully depreciated), the Asset Turnover will be high, but not necessarily a good sign because it might have to use a lot of cash to buy new assets).</t>
  </si>
  <si>
    <t>Total Current Assets</t>
  </si>
  <si>
    <t>Total Current Liabilities</t>
  </si>
  <si>
    <t>Accounts Payable</t>
  </si>
  <si>
    <t>I/S</t>
  </si>
  <si>
    <t>Other Ex</t>
  </si>
  <si>
    <t>Int</t>
  </si>
  <si>
    <t>Tax</t>
  </si>
  <si>
    <t>CA =</t>
  </si>
  <si>
    <t>Problems with Financial Statement Analysis.</t>
  </si>
  <si>
    <t>CA/CL =</t>
  </si>
  <si>
    <t>Net Sales =</t>
  </si>
  <si>
    <t>Net Income =</t>
  </si>
  <si>
    <t>Meaning:</t>
  </si>
  <si>
    <t>NI/NS =</t>
  </si>
  <si>
    <t>Cash 2001 =</t>
  </si>
  <si>
    <t>Total Assets 2001 =</t>
  </si>
  <si>
    <t>Cash 2008 =</t>
  </si>
  <si>
    <t>Total Assets 2008 =</t>
  </si>
  <si>
    <t>CL =</t>
  </si>
  <si>
    <t>2001 Cash/TA =</t>
  </si>
  <si>
    <t>2008 Cash/TA =</t>
  </si>
  <si>
    <t>MFST TA =</t>
  </si>
  <si>
    <t>MFST Cash =</t>
  </si>
  <si>
    <t>GOOG Cash =</t>
  </si>
  <si>
    <t>GOOG TA =</t>
  </si>
  <si>
    <t>Example 4: We can see trends over time without the distortions of different number sizes.</t>
  </si>
  <si>
    <t>Example 3: Ratios allow us to see relationships between numbers.</t>
  </si>
  <si>
    <t>Example 2: Common Sized Financial Statements.</t>
  </si>
  <si>
    <t>Example 1: What is a Ratio?</t>
  </si>
  <si>
    <t>MFST Cash/TA =</t>
  </si>
  <si>
    <t>GOOG Cash/TA =</t>
  </si>
  <si>
    <t>Example 6: We can compare Financial Statements that are in different currencies.</t>
  </si>
  <si>
    <t>Company 1 Equity =</t>
  </si>
  <si>
    <t>Company 1 TA =</t>
  </si>
  <si>
    <t>Company 2 Equity =</t>
  </si>
  <si>
    <t>Company 2 TA =</t>
  </si>
  <si>
    <t>Investment bankers</t>
  </si>
  <si>
    <t>Research Analysts</t>
  </si>
  <si>
    <t>Stock Brokers</t>
  </si>
  <si>
    <t>Calculating Ratios and Analyzing with Ratios.</t>
  </si>
  <si>
    <t>Why do we use Ratios to Analyze Financial Statements</t>
  </si>
  <si>
    <t>Firms may do these things before the report their numbers at the end of the period</t>
  </si>
  <si>
    <t>Chapter 3: Working With Financial Statements Topics</t>
  </si>
  <si>
    <t>ROA Product</t>
  </si>
  <si>
    <t>ROE Product</t>
  </si>
  <si>
    <t>1+D/E</t>
  </si>
  <si>
    <t>b 2005</t>
  </si>
  <si>
    <t>Price-earnings ratio (Surrogate for Growth)</t>
  </si>
  <si>
    <t>D/A =</t>
  </si>
  <si>
    <t>If you know this:</t>
  </si>
  <si>
    <t>Find these:</t>
  </si>
  <si>
    <t>E =</t>
  </si>
  <si>
    <t>D/E =</t>
  </si>
  <si>
    <t>A/E =</t>
  </si>
  <si>
    <t>A/E = 1 + D/E =</t>
  </si>
  <si>
    <t>A =</t>
  </si>
  <si>
    <t>D =</t>
  </si>
  <si>
    <t>Distribution y Servicio S.A. (DYS)</t>
  </si>
  <si>
    <t>Account Receivable</t>
  </si>
  <si>
    <t>Example 5: We can compare small and big companies without  the distortions of different number sizes.</t>
  </si>
  <si>
    <t>After Buy Inventory</t>
  </si>
  <si>
    <t>CA (Pay cash $1, but it goes right back into Inventory ($1) which is also a current asset)</t>
  </si>
  <si>
    <t>Before Buy Inventory</t>
  </si>
  <si>
    <t>No change if paid with cash.</t>
  </si>
  <si>
    <t>If paid on credit and CA/CL &gt;1, it goes down.</t>
  </si>
  <si>
    <t>CA (Inventory goes up by $1)</t>
  </si>
  <si>
    <t>CL (AP goes up by $1 dollar)</t>
  </si>
  <si>
    <t>Increase</t>
  </si>
  <si>
    <t>If paid on credit and CA/CL &lt; 1, it goes up.</t>
  </si>
  <si>
    <t>No change if paid with cash. If paid on credit and CA/CL &gt;1, it goes down. If paid on credit and CA/CL &lt; 1, it goes up.</t>
  </si>
  <si>
    <t>Increase Inventory</t>
  </si>
  <si>
    <t>Decrease Cash</t>
  </si>
  <si>
    <t>Before pay supplier</t>
  </si>
  <si>
    <t>After pay supplier</t>
  </si>
  <si>
    <t>Cash go down and AP go down</t>
  </si>
  <si>
    <t>CA (Cash go down by $1)</t>
  </si>
  <si>
    <t>CL (AP go down by $1)</t>
  </si>
  <si>
    <t>CL (CL loan go down by $1)</t>
  </si>
  <si>
    <t>Before CL loan is paid</t>
  </si>
  <si>
    <t>After CL loan is paid</t>
  </si>
  <si>
    <t>Cash go down and CL loan go down</t>
  </si>
  <si>
    <t>If CA/CL &gt;1, goes up. If CA/CL &lt; 1, goes down.</t>
  </si>
  <si>
    <t>If supplier paid and CA/CL &gt;1, goes up.</t>
  </si>
  <si>
    <t>If supplier paid and CA/CL &lt; 1, goes down.</t>
  </si>
  <si>
    <t>If short term bank loan is paid and CA/CL &gt;1, goes up.</t>
  </si>
  <si>
    <t>If short term bank loan is paid and CA/CL &lt;1, goes down.</t>
  </si>
  <si>
    <t>If long-debt paid early, then it will CA/CL will go down.</t>
  </si>
  <si>
    <t>Cash go down by $1</t>
  </si>
  <si>
    <t>CL (CL stay the same)</t>
  </si>
  <si>
    <t>Before LTD loan is paid</t>
  </si>
  <si>
    <t>After LTD loan is paid</t>
  </si>
  <si>
    <t>`</t>
  </si>
  <si>
    <t>Before AR collected</t>
  </si>
  <si>
    <t>After AR collected</t>
  </si>
  <si>
    <t>AR is paid: Cash go up by $1 and AR go down by $1, both are in CA so no change.</t>
  </si>
  <si>
    <t xml:space="preserve">Cash go up by $1 </t>
  </si>
  <si>
    <t>AR go down by $1</t>
  </si>
  <si>
    <t>If Inventory is sold at cost, Inv will go down by $1, but cash will go up by $1: both are CA, so no change.</t>
  </si>
  <si>
    <t>Before Inv sold at cost</t>
  </si>
  <si>
    <t>After Inv sold at cost</t>
  </si>
  <si>
    <t>Inv go down by $1</t>
  </si>
  <si>
    <t>CA (Cash go up by $1, AR go down by $1)</t>
  </si>
  <si>
    <t>CA (Cash go up by $1, Inv by down by $1)</t>
  </si>
  <si>
    <t>Inv sold at profit</t>
  </si>
  <si>
    <t>Inv sold at profit, CA/CL will go up.</t>
  </si>
  <si>
    <t>If Inventory is sold at Profit, Inv will go down by $1, but cash will go up by $2: both are CA, so total CA go up.</t>
  </si>
  <si>
    <t>Before Inv sold at Profit</t>
  </si>
  <si>
    <t>After Inv sold at Profit</t>
  </si>
  <si>
    <t>Cash go up by $2</t>
  </si>
  <si>
    <t>CA (Cash go up by $2, Inv by down by $1)</t>
  </si>
  <si>
    <t>Wholefoods</t>
  </si>
  <si>
    <t>Company 1 TA/E =</t>
  </si>
  <si>
    <t>Company 2 TA/E =</t>
  </si>
  <si>
    <t xml:space="preserve">On November 8, 2005, the Company’s Board of Directors approved a stock repurchase program of up to $200 million over the next four years. During the fourth quarter of fiscal year 2006, the Company repurchased on the open market approximately 2.0 million shares of Company common stock that were held in treasury at September 24, 2006. The average price per share paid was $49.85, for a total of approximately $100 million. At September 25, 2005, we had no shares of Company common stock in treasury. </t>
  </si>
  <si>
    <t xml:space="preserve">On November 6, 2006, the Company’s Board of Directors approved a $100 million increase in the Company’s stock repurchase program, bringing the total remaining authorization to $200 million over the next three years. The specific timing and repurchase amounts will vary based on market conditions, securities law limitations and other factors and will be made using the Company’s available cash resources and line of credit availability. The repurchase program may be suspended or discontinued at any time without prior notice. </t>
  </si>
  <si>
    <t xml:space="preserve">(12) Earnings per Share </t>
  </si>
  <si>
    <t xml:space="preserve">The computation of basic earnings per share is based on the number of weighted average common shares outstanding during the period. The computation of diluted earnings per share includes the dilutive effect of common stock equivalents consisting of common shares deemed outstanding from the assumed exercise of stock options and the assumed conversion of zero coupon convertible subordinated debentures. </t>
  </si>
  <si>
    <t xml:space="preserve">A reconciliation of the numerators and denominators of the basic and diluted earnings per share calculations follows (in thousands, except per share amounts): </t>
  </si>
  <si>
    <t xml:space="preserve">Net income (numerator for basic earnings per share) </t>
  </si>
  <si>
    <t xml:space="preserve">Interest on 5% zero coupon convertible subordinated debentures, net of income taxes </t>
  </si>
  <si>
    <t xml:space="preserve">Adjusted net income (numerator for diluted earnings per share) </t>
  </si>
  <si>
    <t xml:space="preserve">Weighted average common shares outstanding (denominator for basic earnings per share) </t>
  </si>
  <si>
    <t xml:space="preserve">Potential common shares outstanding: </t>
  </si>
  <si>
    <t xml:space="preserve">Assumed conversion of 5% zero coupon convertible subordinated debentures </t>
  </si>
  <si>
    <t xml:space="preserve">Assumed exercise of stock options </t>
  </si>
  <si>
    <t xml:space="preserve">Weighted average common shares outstanding and potential additional common shares outstanding (denominator for diluted earnings per share) </t>
  </si>
  <si>
    <t xml:space="preserve">The computation of diluted earnings per share does not include options to purchase approximately 4.3 million, 158,000 shares and 6,000 shares of common stock at the end of fiscal years 2006, 2005 and 2004, respectively, due to their antidilutive effect. </t>
  </si>
  <si>
    <t xml:space="preserve">(13) Share-Based Compensation </t>
  </si>
  <si>
    <t xml:space="preserve">Total share-based compensation expense recognized during fiscal year 2006 and fiscal year 2005 was approximately $9.4 million and $19.9 million, respectively. Of these totals, approximately $3.6 million and $10.1 million was included in “Direct store expenses”, $5.5 million and $8.6 million was included in “General and administrative expenses”, and $0.3 million and $1.2 million was included in “Cost of goods sold and occupancy costs” in the Consolidated Statements of Operations in fiscal year 2006 and fiscal year 2005, respectively. The related total tax benefit was approximately $2.7 million and $4.5 million in fiscal year 2006 and fiscal year 2005, respectively. Our Company maintains several share-based incentive plans. </t>
  </si>
  <si>
    <t xml:space="preserve">Stock Option Plan </t>
  </si>
  <si>
    <t xml:space="preserve">We grant options to purchase common stock under our 1992 Stock Option Plans, as amended. Under these plans, options are granted at an option price equal to the market value of the stock at the grant date and are generally exercisable ratably over a four-year period beginning one year from grant date. Options granted in fiscal year 2006 expire five years from the date of grant and options granted in fiscal years 2005 and 2004 expire seven years from date of grant. Certain options granted during fiscal year 2005 were granted fully vested. Our Company has, in connection with certain of our business combinations, assumed the stock option plans of the acquired companies. All options outstanding under our Company’s previous plans and plans assumed in business combinations continue to be governed by the terms and conditions of those grants. The market value of the stock is determined as the closing stock price at the grant date. At September 24, 2006, September 25, 2005 and September 26, 2004 approximately 6.5 million, 7.7 million and 11.2 million shares of our common stock, respectively, were available for future stock option grants. </t>
  </si>
  <si>
    <t xml:space="preserve">The following table summarizes option activity (in thousands, except per share amounts): </t>
  </si>
  <si>
    <t xml:space="preserve">Number </t>
  </si>
  <si>
    <t>of Options</t>
  </si>
  <si>
    <t>Weighted</t>
  </si>
  <si>
    <t>Average</t>
  </si>
  <si>
    <t xml:space="preserve">Exercise Price </t>
  </si>
  <si>
    <t>Remaining</t>
  </si>
  <si>
    <t xml:space="preserve">Contractual Life </t>
  </si>
  <si>
    <t>Aggregate</t>
  </si>
  <si>
    <t>Intrinsic</t>
  </si>
  <si>
    <t xml:space="preserve">Outstanding options September 28, 2003 </t>
  </si>
  <si>
    <t xml:space="preserve">Options granted </t>
  </si>
  <si>
    <t xml:space="preserve">Options exercised </t>
  </si>
  <si>
    <t xml:space="preserve">(4,154 </t>
  </si>
  <si>
    <t xml:space="preserve">Options expired </t>
  </si>
  <si>
    <t xml:space="preserve">(674 </t>
  </si>
  <si>
    <t xml:space="preserve">Outstanding options at September 26, 2004 </t>
  </si>
  <si>
    <t xml:space="preserve">(4,996 </t>
  </si>
  <si>
    <t xml:space="preserve">(711 </t>
  </si>
  <si>
    <t xml:space="preserve">Outstanding options at September 25, 2005 </t>
  </si>
  <si>
    <t xml:space="preserve">(5,466 </t>
  </si>
  <si>
    <t xml:space="preserve">(202 </t>
  </si>
  <si>
    <t xml:space="preserve">Options forfeited </t>
  </si>
  <si>
    <t xml:space="preserve">(46 </t>
  </si>
  <si>
    <t xml:space="preserve">Outstanding options at September 24, 2006 </t>
  </si>
  <si>
    <t xml:space="preserve">Vested/expected to vest at September 24, 2006 </t>
  </si>
  <si>
    <t xml:space="preserve">Exercisable options at September 24, 2006 </t>
  </si>
  <si>
    <t xml:space="preserve">The weighted average fair values of options granted during fiscal years 2006, 2005 and 2004 were $17.04, $15.19 and $14.69, respectively. The aggregate intrinsic value of stock options at exercise, represented in the table above, was approximately $180.0 million during fiscal year 2006. Total gross unrecognized share-based compensation expense related to nonvested stock options was approximately $25.2 million as of the end of fiscal year 2006, related to approximately 1.5 million shares. We anticipate this expense to be recognized over a weighted average period of approximately two years. </t>
  </si>
  <si>
    <t xml:space="preserve">A summary of options outstanding and exercisable at September 24, 2006 follows (share amounts in thousands): </t>
  </si>
  <si>
    <t xml:space="preserve">Options Outstanding </t>
  </si>
  <si>
    <t xml:space="preserve">Options Exercisable </t>
  </si>
  <si>
    <t xml:space="preserve">Range of </t>
  </si>
  <si>
    <t xml:space="preserve">Exercise Prices </t>
  </si>
  <si>
    <t>Weighted Average</t>
  </si>
  <si>
    <t xml:space="preserve">Remaining </t>
  </si>
  <si>
    <t xml:space="preserve">Average </t>
  </si>
  <si>
    <t xml:space="preserve">From </t>
  </si>
  <si>
    <t xml:space="preserve">To </t>
  </si>
  <si>
    <t xml:space="preserve">Life (in Years) </t>
  </si>
  <si>
    <t xml:space="preserve">Exercisable </t>
  </si>
  <si>
    <t xml:space="preserve">  21.76 </t>
  </si>
  <si>
    <t xml:space="preserve">  39.61 </t>
  </si>
  <si>
    <t xml:space="preserve">  41.05 </t>
  </si>
  <si>
    <t xml:space="preserve">  54.75 </t>
  </si>
  <si>
    <t xml:space="preserve">  68.96 </t>
  </si>
  <si>
    <t xml:space="preserve">n/a </t>
  </si>
  <si>
    <t xml:space="preserve">Total </t>
  </si>
  <si>
    <t xml:space="preserve">Share-based compensation expense related to vesting stock options recognized during fiscal year 2006 totaled approximately $4.6 million. </t>
  </si>
  <si>
    <t xml:space="preserve">During fiscal year 2005, the Company accelerated the vesting of all outstanding stock options, except options held by the members of the executive team and certain options held by team members in the United Kingdom, in order to prevent past option grants from having an impact on future results. The Company recognized a share-based compensation charge totaling approximately $17.4 million related to this acceleration, which was determined by measuring the intrinsic value on the date of the acceleration for all options that would have expired in the future unexercisable had the acceleration not occurred. The calculation of this charge required that management make estimates and assumptions concerning future team member turnover. In the fourth quarter of fiscal year 2006 the Company recognized an additional $3.0 million share-based compensation charge related to this acceleration to adjust for actual experience. Additional adjustments in future periods may be necessary as actual results could differ from these estimates and assumptions. </t>
  </si>
  <si>
    <t xml:space="preserve">The Company also recognized share-based compensation totaling approximately $1.2 million and $2.5 million for modifications of terms of certain stock option grants and other compensation based on the intrinsic value of the Company’s common stock during fiscal years 2006 and 2005, respectively. </t>
  </si>
  <si>
    <t xml:space="preserve">The fair value of stock option grants has been estimated at the date of grant using the Black-Scholes option pricing model with the following weighted average assumptions: </t>
  </si>
  <si>
    <t xml:space="preserve">Expected dividend yield </t>
  </si>
  <si>
    <t xml:space="preserve">% </t>
  </si>
  <si>
    <t xml:space="preserve">Risk-free interest rate </t>
  </si>
  <si>
    <t xml:space="preserve">Expected volatility </t>
  </si>
  <si>
    <t xml:space="preserve">Expected life, in years </t>
  </si>
  <si>
    <t xml:space="preserve">Risk-free interest rate is based on the US treasury yield curve for a three and a half-year term and the seven-year zero coupon treasury bill rate on the dates of the annual grant in fiscal year 2006 and fiscal year 2005, respectively. Expected volatility is calculated using a ratio of implied volatility based on comparable Long-Term Equity Anticipation Securities (“LEAPS”) and four-year historical volatility for fiscal year 2006. The Company determined the use of implied volatility versus historical volatility represents a more accurate calculation of option fair value. In fiscal year 2005, expected volatility was calculated using the daily historical volatility over the last seven years. Expected life is calculated in two tranches based on weighted average percentage of unexpired options and exercise-after-vesting information over the last five years, in fiscal year 2006. During fiscal year 2005, expected life was calculated in five salary tranches based on weighted average exercise-after-vesting information over the last seven years. The assumptions used to calculate the fair value of options granted are evaluated and revised, as necessary, to reflect market conditions and experience. </t>
  </si>
  <si>
    <t xml:space="preserve">In accordance with SFAS No. 123R, the Company adopted the provisions of SFAS No. 123R in the first quarter of fiscal year 2006 using the modified prospective approach. Under this method, prior periods are not restated. As a result of adoption, the Company’s income before income taxes and net income for fiscal year 2006, are $6.4 million and $3.8 million lower, respectively, than if we had continued to account for share-based compensation under APB No. 25. Basic and diluted earnings per share for fiscal year 2006 are $0.03 lower than if we had continued to account for share-based compensation under APB No. 25. Had we previously recognized compensation costs as prescribed by SFAS No. 123, previously reported net income, basic earnings per share and diluted earnings per share would have changed to the pro forma amounts shown below (in thousands, except per share amounts): </t>
  </si>
  <si>
    <t xml:space="preserve">Reported net income </t>
  </si>
  <si>
    <t xml:space="preserve">Share-based compensation expense, net of income taxes </t>
  </si>
  <si>
    <t xml:space="preserve">Pro forma expense, net of income taxes </t>
  </si>
  <si>
    <t xml:space="preserve">(179,616 </t>
  </si>
  <si>
    <t xml:space="preserve">(23,888 </t>
  </si>
  <si>
    <t xml:space="preserve">Pro forma net income (loss) </t>
  </si>
  <si>
    <t xml:space="preserve">(27,956 </t>
  </si>
  <si>
    <t xml:space="preserve">Basic earnings per share: </t>
  </si>
  <si>
    <t xml:space="preserve">Reported </t>
  </si>
  <si>
    <t xml:space="preserve">Share-based compensation expense </t>
  </si>
  <si>
    <t xml:space="preserve">Pro forma adjustment </t>
  </si>
  <si>
    <t xml:space="preserve">(1.38 </t>
  </si>
  <si>
    <t xml:space="preserve">(0.20 </t>
  </si>
  <si>
    <t xml:space="preserve">Pro forma basic earnings (loss) per share </t>
  </si>
  <si>
    <t xml:space="preserve">(0.21 </t>
  </si>
  <si>
    <t xml:space="preserve">Diluted earnings per share: </t>
  </si>
  <si>
    <t xml:space="preserve">(1.31 </t>
  </si>
  <si>
    <t xml:space="preserve">(0.17 </t>
  </si>
  <si>
    <t xml:space="preserve">Pro forma diluted earnings (loss) per share </t>
  </si>
  <si>
    <t xml:space="preserve">Pro forma disclosures for fiscal year 2006 are not presented because the amounts are recognized in the Consolidated Statement of Operations. </t>
  </si>
  <si>
    <t xml:space="preserve">Team Member Stock Purchase Plan </t>
  </si>
  <si>
    <t xml:space="preserve">Our Company also offers a team member stock purchase plan to all full-time team members with a minimum of 400 hours of service. Under this plan, participating team members may purchase our common stock each fiscal quarter through payroll deductions. Participants in the stock purchase plan may elect to purchase unrestricted shares at 100 percent of market value or restricted shares at 85 percent of market value on the purchase date. Participants are required to hold restricted shares for two years before selling them. In fiscal year 2006, we recognized approximately $0.6 million of share-based compensation expense related to team member stock purchase plan discounts. We issued approximately 51,000, 40,000 and 32,000 shares under this plan in fiscal years 2006, 2005 and 2004, respectively. At September 24, 2006, September 25, 2005 and September 26, 2004 approximately 369,000, 420,000, and 460,000 shares of our common stock, respectively, were available for future issuance. </t>
  </si>
  <si>
    <t xml:space="preserve">(14) Team Member 401(k) Plan </t>
  </si>
  <si>
    <t xml:space="preserve">Our Company offers a team member 401(k) plan to all team members with a minimum of 1,000 services hours in one year. In fiscal years 2006 and 2005, the Company made a matching contribution to the plan of approximately $2.3 million in cash. The Company did not make a matching contribution to the plan in fiscal year 2004. </t>
  </si>
  <si>
    <t xml:space="preserve">(15) Quarterly Results (unaudited) </t>
  </si>
  <si>
    <t xml:space="preserve">The Company’s first quarter consists of 16 weeks, and the second, third and fourth quarters consist of 12 weeks. Because the first quarter is longer than the remaining quarters, it typically represents a larger share of our annual sales from existing stores. Quarter to quarter comparisons of results of operations have been and may be materially impacted by the timing of new store openings. The Company believes that the following information reflects all normal recurring adjustments necessary for a fair presentation of the information for the periods presented. The operating results for any quarter are not necessarily indicative of results for any future period. </t>
  </si>
  <si>
    <t xml:space="preserve">The Company accelerated the vesting of all outstanding stock options on September 22, 2005 in order to prevent past option grants from having an impact on future results. The Company incurred a share-based compensation charge totaling approximately $18.2 million in the fourth quarter of fiscal year 2005, primarily a non-cash charge related to this accelerated vesting of options. The Company’s effective tax rate for the fourth quarter and fiscal year 2005 was higher than its historical rate primarily due to the non-deductible portion of the expense recognized for the accelerated vesting of stock options. In the fourth quarter of fiscal year 2006, the Company recorded additional $3.0 million non-cash share-based compensation charge to adjust the estimate related to accelerated vesting for actual experience. </t>
  </si>
  <si>
    <t xml:space="preserve">The Company has two stores in the New Orleans area which were damaged by and closed due to Hurricane Katrina during the fourth quarter of fiscal year 2005, and accordingly the Company recorded expenses totaling approximately $16.5 million for related estimated net losses. </t>
  </si>
  <si>
    <t xml:space="preserve">The following tables set forth selected quarterly unaudited consolidated statements of operations information for the fiscal years ended September 24, 2006 and September 25, 2005 (in thousands except per share amounts): </t>
  </si>
  <si>
    <t>First</t>
  </si>
  <si>
    <t xml:space="preserve">Quarter </t>
  </si>
  <si>
    <t>Second</t>
  </si>
  <si>
    <t>Third</t>
  </si>
  <si>
    <t>Fourth</t>
  </si>
  <si>
    <t xml:space="preserve">Fiscal Year 2006 </t>
  </si>
  <si>
    <t xml:space="preserve">Other income (expense) </t>
  </si>
  <si>
    <t xml:space="preserve">(3 </t>
  </si>
  <si>
    <t xml:space="preserve">(8 </t>
  </si>
  <si>
    <t xml:space="preserve">(21 </t>
  </si>
  <si>
    <t xml:space="preserve">Fiscal Year 2005 </t>
  </si>
  <si>
    <t xml:space="preserve">(1,708 </t>
  </si>
  <si>
    <t xml:space="preserve">(342 </t>
  </si>
  <si>
    <t xml:space="preserve">(163 </t>
  </si>
  <si>
    <t xml:space="preserve">(10 </t>
  </si>
  <si>
    <t xml:space="preserve">(15) Commitments and Contingencies </t>
  </si>
  <si>
    <t xml:space="preserve">From time to time we are a party to legal proceedings including matters involving personnel and employment issues, personal injury, intellectual property and other proceedings arising in the ordinary course of business which have not resulted in any material losses to date. Although not currently anticipated by management, our results could be materially impacted by the decisions and expenses related to pending or future proceedings. </t>
  </si>
  <si>
    <t xml:space="preserve">The Company has entered into Retention Agreements with certain executive officers of the Company or its subsidiaries which provide for certain benefits upon an involuntary termination of employment other than for cause after a “Triggering Event.” A Triggering Event includes a merger of the Company with and into an unaffiliated corporation if the Company is not the surviving corporation or the sale of all or substantially all of the Company’s assets. The benefits to be received by the executive officer whose employment is terminated after a Triggering Event occurs include receipt of his or her annual salary through the one-year period following the date of the termination of employment and the immediate vesting of any outstanding stock options granted to such executive officer. </t>
  </si>
  <si>
    <t xml:space="preserve">Item 9. Changes in and Disagreements with Accountants on Accounting and Financial Disclosure. </t>
  </si>
  <si>
    <t xml:space="preserve">None. </t>
  </si>
  <si>
    <t xml:space="preserve">Item 9A. Controls and Procedures. </t>
  </si>
  <si>
    <t xml:space="preserve">Evaluation of Disclosure Controls and Procedures </t>
  </si>
  <si>
    <t xml:space="preserve">The Company’s management, with the participation of the Company’s Chief Executive Officer and Chief Financial Officer, has evaluated the effectiveness of the Company’s disclosure controls and procedures (as defined in Rules 13a-15(e) and 15d-15(e) under the Securities Exchange Act of 1934, as amended (the “Exchange Act”)) as of the end of the period covered by this report. Based on such evaluation, the Company’s Chief Executive Officer and Chief Financial Officer have concluded that, as of the end of such period, the Company’s disclosure controls and procedures are effective in recording, processing, summarizing and reporting, on a timely basis, information required to be disclosed by the Company in the reports that it files or submits under the Exchange Act. </t>
  </si>
  <si>
    <t xml:space="preserve">Changes in Internal Control over Financial Reporting </t>
  </si>
  <si>
    <t xml:space="preserve">There have been no changes in the Company’s internal control over financial reporting (as defined in Rules 13a-15(f) and 15d-15(f) under the Exchange Act) during the most recent fiscal quarter that have materially affected, or are reasonably likely to materially affect, the Company’s internal control over financial reporting. </t>
  </si>
  <si>
    <t xml:space="preserve">Management’s Report on Internal Control over Financial Reporting </t>
  </si>
  <si>
    <r>
      <t xml:space="preserve">The Company’s management is responsible for establishing and maintaining adequate internal control over financial reporting as defined in Rules 13a-15(f) and 15d-15(f) under the Exchange Act. Under the supervision and with the participation of the Company’s management, including our principal executive officer and principal financial officer, the Company conducted an evaluation of the effectiveness of its internal control over financial reporting based on criteria established in the framework in </t>
    </r>
    <r>
      <rPr>
        <i/>
        <sz val="10"/>
        <color indexed="8"/>
        <rFont val="Times New Roman"/>
        <family val="1"/>
      </rPr>
      <t xml:space="preserve">Internal Control – Integrated Framework </t>
    </r>
    <r>
      <rPr>
        <sz val="10"/>
        <color indexed="8"/>
        <rFont val="Times New Roman"/>
        <family val="1"/>
      </rPr>
      <t xml:space="preserve">issued by the Committee of Sponsoring Organizations of the Treadway Commission. Based on this evaluation, the Company’s management concluded that its internal control over financial reporting was effective as of September 24, 2006. </t>
    </r>
  </si>
  <si>
    <t xml:space="preserve">The Company’s independent registered public accounting firm, Ernst &amp; Young LLP, audited management’s assessment of internal control over financial reporting and also independently assessed the effectiveness of our internal control over financial reporting. Ernst &amp; Young LLP has issued their attestation report which is included in Part II, Item 8 of this Report on Form 10-K. </t>
  </si>
  <si>
    <t xml:space="preserve">Item 9B. Other Information. </t>
  </si>
  <si>
    <t xml:space="preserve">Not applicable. </t>
  </si>
  <si>
    <t xml:space="preserve">PART III </t>
  </si>
  <si>
    <t xml:space="preserve">Item 10. Directors and Executive Officers of the Registrant. </t>
  </si>
  <si>
    <t xml:space="preserve">The information required by this item about our Company’s Executive Officers is included in Part I, “Item 1. Business” of this Report on Form 10-K under the caption “Executive Officers of the Registrant.” All other information required by this item is incorporated herein by reference from the registrant’s definitive Proxy Statement for the Annual Meeting of Shareholders to be held March 5, 2007 to be filed with the Commission pursuant to Regulation 14A. </t>
  </si>
  <si>
    <t xml:space="preserve">The Company has adopted a Code of Conduct and Ethics for Team Members and Directors pursuant to section 406 of the Sarbanes-Oxley Act. A copy of our Code of Conduct and Ethics is publicly available on our Company website at http://www.wholefoodsmarket.com/investor/corporategovernance/codeofconduct.pdf. The information contained on our Web site is not incorporated by reference into this Report on Form 10-K. </t>
  </si>
  <si>
    <t xml:space="preserve">Item 11. Executive Compensation. </t>
  </si>
  <si>
    <t xml:space="preserve">The information required by this item is incorporated herein by reference from the registrant’s definitive Proxy Statement for the Annual Meeting of Shareholders. </t>
  </si>
  <si>
    <t xml:space="preserve">Item 12. Security Ownership of Certain Beneficial Owners and Management. </t>
  </si>
  <si>
    <t xml:space="preserve">The information required by this item about our Company’s securities authorized for issuance under equity compensation plans as of September 24, 2006 is included in Part I, “Item 5. Market for Registrant’s Common Equity, Related Stockholder Matters and Issuer Purchases of Equity Securities” of this Report on Form 10-K. All other information required by this item is incorporated herein by reference from the registrant’s definitive Proxy Statement for the Annual Meeting of Shareholders. </t>
  </si>
  <si>
    <t xml:space="preserve">Item 13. Certain Relationships and Related Transactions. </t>
  </si>
  <si>
    <t xml:space="preserve">Item 14. Principal Accounting Fees and Services. </t>
  </si>
  <si>
    <t xml:space="preserve">Grocery Store Industry Statistics </t>
  </si>
  <si>
    <t>http://biz.yahoo.com/f/g/g.html</t>
  </si>
  <si>
    <t>mrq = most recent quarter</t>
  </si>
  <si>
    <t>Market Cap</t>
  </si>
  <si>
    <t xml:space="preserve">P/E </t>
  </si>
  <si>
    <t xml:space="preserve">ROE % </t>
  </si>
  <si>
    <t>Long-Term Debt to Equity</t>
  </si>
  <si>
    <t>Price to Book Value</t>
  </si>
  <si>
    <t>Net Profit Margin % (mrq)</t>
  </si>
  <si>
    <t xml:space="preserve"> =</t>
  </si>
  <si>
    <t>EBIT</t>
  </si>
  <si>
    <t>Depreciation</t>
  </si>
  <si>
    <t>Taxes</t>
  </si>
  <si>
    <t>Dividends</t>
  </si>
  <si>
    <t>Current Ratio</t>
  </si>
  <si>
    <t>CA/CL</t>
  </si>
  <si>
    <t>Quick Ratio</t>
  </si>
  <si>
    <t>(CA-INV)/CL</t>
  </si>
  <si>
    <t>Cash Ratio</t>
  </si>
  <si>
    <t>Cash/CL</t>
  </si>
  <si>
    <t>Inv Turnover</t>
  </si>
  <si>
    <t>COGS/INV</t>
  </si>
  <si>
    <t>Days holding Inv</t>
  </si>
  <si>
    <t>AR Turnover</t>
  </si>
  <si>
    <t>Sale/AR</t>
  </si>
  <si>
    <t>Days until collect AR</t>
  </si>
  <si>
    <t>AP Turnover</t>
  </si>
  <si>
    <t>COGS/AP</t>
  </si>
  <si>
    <t>Days until pay</t>
  </si>
  <si>
    <t>Operating Cycle in Days</t>
  </si>
  <si>
    <t>Cash Cycle in Days</t>
  </si>
  <si>
    <t>Debt Ratio</t>
  </si>
  <si>
    <t>TL/TA</t>
  </si>
  <si>
    <t>D/E</t>
  </si>
  <si>
    <t>Equity Multiplier</t>
  </si>
  <si>
    <t>A/E = 1 + D/E</t>
  </si>
  <si>
    <t>Times Interest Earned</t>
  </si>
  <si>
    <t>EBIT/Interest</t>
  </si>
  <si>
    <t>Cash Coverage Ratio</t>
  </si>
  <si>
    <t>EBDIT/Interest</t>
  </si>
  <si>
    <t>Profit Margin</t>
  </si>
  <si>
    <t>NI/Sales</t>
  </si>
  <si>
    <t>Asset Turnover</t>
  </si>
  <si>
    <t>Sales/Assets</t>
  </si>
  <si>
    <t>ROA</t>
  </si>
  <si>
    <t>Assets/Equity</t>
  </si>
  <si>
    <t>ROE</t>
  </si>
  <si>
    <t>b</t>
  </si>
  <si>
    <t>Internal Growth Rate</t>
  </si>
  <si>
    <t>Sustainable Growth Rate</t>
  </si>
  <si>
    <t>EPS =</t>
  </si>
  <si>
    <t>Price-earnings ratio</t>
  </si>
  <si>
    <t>(MV per share)/EPS =</t>
  </si>
  <si>
    <t>Dividends per share =</t>
  </si>
  <si>
    <t>(MV per share)/(Book value per share)</t>
  </si>
  <si>
    <t>NI/Assets</t>
  </si>
  <si>
    <t>NI/Equity</t>
  </si>
  <si>
    <t>(add to RE)/NI</t>
  </si>
  <si>
    <t>(ROA*b)/(1-ROA*b)</t>
  </si>
  <si>
    <t>(ROE*b)/(1-ROE*b)</t>
  </si>
  <si>
    <t>Market-to-Book Ratio</t>
  </si>
  <si>
    <t>Income Statement ($000)</t>
  </si>
  <si>
    <t>Net Fixed Assets</t>
  </si>
  <si>
    <t>Net Sales</t>
  </si>
  <si>
    <t>COGS</t>
  </si>
  <si>
    <t xml:space="preserve">Depreciation and Amortization </t>
  </si>
  <si>
    <t>Common stock and paid-in surplus</t>
  </si>
  <si>
    <t>% Terms</t>
  </si>
  <si>
    <t>Safeway</t>
  </si>
  <si>
    <t>Balance Sheet ($000)</t>
  </si>
  <si>
    <t>Financial statements convey information from within the firm controlled by managers to outside the firm (owners, investors, bankers, suppliers, customers, other constituents)</t>
  </si>
  <si>
    <t>Internal managers also use the  information internally to guide the firm to a profitable future</t>
  </si>
  <si>
    <t>Financial managers would like to have market value information, but often times this is not possible so financial managers rely on financial statements</t>
  </si>
  <si>
    <t>“Accounting numbers are just pale reflections of economic reality, but they frequently are the best available information”</t>
  </si>
  <si>
    <t>Standardized statements make it easier to compare financial information:</t>
  </si>
  <si>
    <t>As the company grows, comparing one year to the next</t>
  </si>
  <si>
    <t>For comparing different companies of different sizes, particularly within the same industry</t>
  </si>
  <si>
    <t>For comparing companies when the statements are in different currencies</t>
  </si>
  <si>
    <t>Standardized statements use % instead of dollars</t>
  </si>
  <si>
    <t>Common-Size Balance Sheet. Compute all accounts as a percent of total assets.</t>
  </si>
  <si>
    <t>Common-Size Income Statement. Compute all line items as a percent of sales.</t>
  </si>
  <si>
    <t>Assumptions</t>
  </si>
  <si>
    <t>Name</t>
  </si>
  <si>
    <t>RAD Corp</t>
  </si>
  <si>
    <t>Year 1</t>
  </si>
  <si>
    <t>Year 2</t>
  </si>
  <si>
    <t>Statements</t>
  </si>
  <si>
    <t>Balance Sheet</t>
  </si>
  <si>
    <t>Income Statement</t>
  </si>
  <si>
    <t>Outstanding Shares</t>
  </si>
  <si>
    <t>Dividends paid</t>
  </si>
  <si>
    <t>Cash</t>
  </si>
  <si>
    <t>A/P</t>
  </si>
  <si>
    <t>A/R</t>
  </si>
  <si>
    <t>N/P</t>
  </si>
  <si>
    <t>Inventory</t>
  </si>
  <si>
    <t>Other CL</t>
  </si>
  <si>
    <t>Other CA</t>
  </si>
  <si>
    <t>Total CL</t>
  </si>
  <si>
    <t>Total CA</t>
  </si>
  <si>
    <t>LT Debt</t>
  </si>
  <si>
    <t>Net FA</t>
  </si>
  <si>
    <t>Total Liability</t>
  </si>
  <si>
    <t>C/S</t>
  </si>
  <si>
    <t>Total Liab. &amp; Equity</t>
  </si>
  <si>
    <t>Revenues</t>
  </si>
  <si>
    <t>Cost of Goods Sold</t>
  </si>
  <si>
    <t>Expenses</t>
  </si>
  <si>
    <t>Taxable Income</t>
  </si>
  <si>
    <t>EPS</t>
  </si>
  <si>
    <t>Dividends per share</t>
  </si>
  <si>
    <t>Liquidity, or short-term solvency ratios</t>
  </si>
  <si>
    <t>Current ratio</t>
  </si>
  <si>
    <t>Quick ratio</t>
  </si>
  <si>
    <t>Cash ratio</t>
  </si>
  <si>
    <t>Leverage, or long-term solvency ratios</t>
  </si>
  <si>
    <t>Total debt ratio</t>
  </si>
  <si>
    <t>Debt/equity ratio</t>
  </si>
  <si>
    <t>Equity multiplier</t>
  </si>
  <si>
    <t>Times interest earned ratio</t>
  </si>
  <si>
    <t>Cash coverage ratio</t>
  </si>
  <si>
    <t>Asset turnover, or utilization ratios</t>
  </si>
  <si>
    <t>Inventory Turnover</t>
  </si>
  <si>
    <t>Days’ sales in inventory</t>
  </si>
  <si>
    <t>Receivables turnover</t>
  </si>
  <si>
    <t>Days’ sales in receivables</t>
  </si>
  <si>
    <t>Total asset turnover</t>
  </si>
  <si>
    <t>Capital intensity</t>
  </si>
  <si>
    <t>Profit margin</t>
  </si>
  <si>
    <t>Return on assets</t>
  </si>
  <si>
    <t>Return on equity</t>
  </si>
  <si>
    <t>Du Pont Identity</t>
  </si>
  <si>
    <t>Market value ratios</t>
  </si>
  <si>
    <t>Market-to-book ratio</t>
  </si>
  <si>
    <t>EBDIT/Interest or EBITDA/Interest</t>
  </si>
  <si>
    <t>Assets/Sales</t>
  </si>
  <si>
    <t>NI/Assets = NI/Sales*Sales/Assets</t>
  </si>
  <si>
    <t>NI/Equity = NI/Sales*Sales/Assets*Assets/Equity</t>
  </si>
  <si>
    <t>(Operating Efficiency = Profit Margin)*(Asset Use Efficiency = Total Asset Turnover)*(Financial Leverage = Equity Multiplier)</t>
  </si>
  <si>
    <t>Growth Ratios</t>
  </si>
  <si>
    <t>Div/Shares outstanding</t>
  </si>
  <si>
    <t>NI/Shares outstanding</t>
  </si>
  <si>
    <t>(MV per share)/EPS</t>
  </si>
  <si>
    <t>Ratios are used both internally and externally</t>
  </si>
  <si>
    <t>Ratios are computed differently by different people</t>
  </si>
  <si>
    <t>The ones we see in this book are only one of many possible ways to compute them!</t>
  </si>
  <si>
    <t>In calculating any ratio, we mean the ratio of one thing to something else</t>
  </si>
  <si>
    <t>Example:</t>
  </si>
  <si>
    <t>Current ratio: find the ratio of current assets to current liabilities</t>
  </si>
  <si>
    <t>(Current Assets)/(Current Liabilities) = $45,000/$30,000 = 1.5</t>
  </si>
  <si>
    <t>When we write the ratio as a fraction, we put the of part in the numerator and the to part in the denominator</t>
  </si>
  <si>
    <t>Ratios also allow for better comparison through time, between companies that of different sizes or have different currencies</t>
  </si>
  <si>
    <t>Hints About Financial Ratios</t>
  </si>
  <si>
    <t>Ratio Analysis</t>
  </si>
  <si>
    <t>If you keep the unit of measure (dollars) in both the numerator and denominator, the answer will hint at what the ratio means</t>
  </si>
  <si>
    <t>(Current Assets)/(Current Liabilities) = $45,000/$30,000 = $1.50/$1.00</t>
  </si>
  <si>
    <t>In this case the ratio indicates that for every $1.00 of current liabilities, there is $1.50 worth of current assets to use to pay off the current liabilities</t>
  </si>
  <si>
    <t>In general, this trick can be used with all ratios</t>
  </si>
  <si>
    <t>Why Common Size</t>
  </si>
  <si>
    <t>***</t>
  </si>
  <si>
    <t>Who uses them? Why we might be interested?</t>
  </si>
  <si>
    <t>Stock analysts</t>
  </si>
  <si>
    <t>Should I buy/sell this stock?</t>
  </si>
  <si>
    <t>Auditors</t>
  </si>
  <si>
    <t>Are the financial statements free from material misstatement?</t>
  </si>
  <si>
    <t>Internal Managers</t>
  </si>
  <si>
    <t>How is the firm doing?</t>
  </si>
  <si>
    <t>Investors</t>
  </si>
  <si>
    <t>Should I sell/buy this stock?</t>
  </si>
  <si>
    <t>Banks</t>
  </si>
  <si>
    <t>Will the borrower be able to pay back the loan?</t>
  </si>
  <si>
    <t>Basically: almost everyone</t>
  </si>
  <si>
    <t>Questions To Ask When You Use Ratios:</t>
  </si>
  <si>
    <t>How is it computed?!</t>
  </si>
  <si>
    <t>Not everyone agrees about how to calculate a given ratio</t>
  </si>
  <si>
    <t>What is it intended to measure and why might we be interested?</t>
  </si>
  <si>
    <t>What is the unit of measure?</t>
  </si>
  <si>
    <t>What might a high or low value be telling us?</t>
  </si>
  <si>
    <t>How might such values be misleading?</t>
  </si>
  <si>
    <t>Accounting behind the numbers…?</t>
  </si>
  <si>
    <t>Does a low CA/CL mean trouble for a large firm?</t>
  </si>
  <si>
    <t xml:space="preserve">How could the measure be improved? </t>
  </si>
  <si>
    <t>Why Work With Financial Statements?</t>
  </si>
  <si>
    <t>Internal uses</t>
  </si>
  <si>
    <t>Performance evaluation – compensation and comparison between divisions</t>
  </si>
  <si>
    <t>Planning for the future – guide in estimating future cash flows</t>
  </si>
  <si>
    <t>External uses</t>
  </si>
  <si>
    <t>Creditors</t>
  </si>
  <si>
    <t>Suppliers</t>
  </si>
  <si>
    <t>Customers</t>
  </si>
  <si>
    <t>Stockholders</t>
  </si>
  <si>
    <t>Current Ratio = CA/CL</t>
  </si>
  <si>
    <t>Measure of short term liquidity</t>
  </si>
  <si>
    <t>If you were to sell all CA and pay off all CL, you would have $2 for every $1 of CL</t>
  </si>
  <si>
    <t>Above 1, in general is good</t>
  </si>
  <si>
    <t>Less than 1, in general is not so good</t>
  </si>
  <si>
    <t>High ==&gt; could mean firm saving up cash to make acquisition, or it could mean that they do not see profitable fixed assets to purchase</t>
  </si>
  <si>
    <t>Low ==&gt; could mean that they may have a hard time paying short-term debt</t>
  </si>
  <si>
    <t>CA/CL is often used in debt contracts as indicator of short term liquidity</t>
  </si>
  <si>
    <t>An apparent low CA/CL may not be bad for a company with a large reserve of untapped borrowing power</t>
  </si>
  <si>
    <t>Firm buys inventory with $, CA/CL stays same</t>
  </si>
  <si>
    <r>
      <t>If you incur long-term debt, CA</t>
    </r>
    <r>
      <rPr>
        <sz val="11"/>
        <color indexed="8"/>
        <rFont val="Calibri"/>
        <family val="2"/>
      </rPr>
      <t>↑</t>
    </r>
    <r>
      <rPr>
        <sz val="11"/>
        <color theme="1"/>
        <rFont val="Calibri"/>
        <family val="2"/>
        <scheme val="minor"/>
      </rPr>
      <t xml:space="preserve">/CL, (CA/CL) ↑ </t>
    </r>
  </si>
  <si>
    <r>
      <t xml:space="preserve">If you pay off short-term creditors: 5/2 = 2.5 </t>
    </r>
    <r>
      <rPr>
        <sz val="11"/>
        <color indexed="8"/>
        <rFont val="Calibri"/>
        <family val="2"/>
      </rPr>
      <t>→</t>
    </r>
    <r>
      <rPr>
        <sz val="11"/>
        <color theme="1"/>
        <rFont val="Calibri"/>
        <family val="2"/>
        <scheme val="minor"/>
      </rPr>
      <t xml:space="preserve"> (5-1)/(2-1) = 4/1 = 4 </t>
    </r>
  </si>
  <si>
    <t xml:space="preserve">Firm sells inventory for more than they have it on the books for, (CA/CL) ↑ </t>
  </si>
  <si>
    <t>Quick Ratio = (CA-INV)/CL = (Quick Assets)/CL</t>
  </si>
  <si>
    <t>Measure of immediate short-term liquidity</t>
  </si>
  <si>
    <t>Why take out inventory?</t>
  </si>
  <si>
    <t>Inventory may not be at market value</t>
  </si>
  <si>
    <t>May be hard to sell</t>
  </si>
  <si>
    <t>May be obsolete</t>
  </si>
  <si>
    <t>Using cash to buy inventory reduces the Quick Ratio</t>
  </si>
  <si>
    <t>People who are interested in whether firm can pay bills or purchase assets in the short term may use this ratio:</t>
  </si>
  <si>
    <t>Creditors, internal managers, investors</t>
  </si>
  <si>
    <t xml:space="preserve">Comprehensive income consists of net income, foreign currency translation adjustments, and unrealized gains and losses on marketable securities, net of income taxes. Comprehensive income is reflected in the Consolidated Statements of Shareholders’ Equity and Comprehensive Income. At September 24, 2006, accumulated other comprehensive income consisted of foreign currency translation adjustment gains of approximately $6.9 million and unrealized gains on marketable securities of approximately $0.1 million. At September 25, 2005, accumulated other comprehensive income consisted of foreign currency translation adjustment gains of approximately $4.4 million. </t>
  </si>
  <si>
    <t xml:space="preserve">Foreign Currency Translation </t>
  </si>
  <si>
    <t xml:space="preserve">The Company’s Canadian and United Kingdom operations use their local currency as their functional currency. Assets and liabilities are translated at exchange rates in effect at the balance sheet date. Income and expense accounts are translated at the average monthly exchange rates during the year. Resulting translation adjustments are recorded as a separate component of accumulated other comprehensive income. </t>
  </si>
  <si>
    <t xml:space="preserve">Segment Information </t>
  </si>
  <si>
    <t xml:space="preserve">We operate in one reportable segment, natural foods supermarkets. We currently have three stores in Canada and six stores in the United Kingdom. All of our remaining operations are domestic. </t>
  </si>
  <si>
    <t xml:space="preserve">Use of Estimates </t>
  </si>
  <si>
    <t xml:space="preserve">The preparation of financial statements in conformity with generally accepted accounting principles requires management to make estimates and assumptions that affect the reported amounts of assets and liabilities and disclosure of contingent assets and liabilities at the date of the financial statements and revenues and expenses during the period reported. Actual results could differ from those estimates. We use estimates when accounting for depreciation and amortization, allowance for doubtful accounts, inventory valuation, long-term investments, team member benefit plans, team member health insurance plans, workers’ compensation liabilities, share-based compensation, store closure reserves, income taxes and contingencies. </t>
  </si>
  <si>
    <t xml:space="preserve">Reclassifications </t>
  </si>
  <si>
    <t xml:space="preserve">Where appropriate, we have reclassified prior years’ financial statements to conform to current year presentation. </t>
  </si>
  <si>
    <t xml:space="preserve">Recent Accounting Pronouncements </t>
  </si>
  <si>
    <t xml:space="preserve">In September 2006, the Securities and Exchange Commission issued Staff Accounting Bulletin No.108 (“SAB No. 108”), “Considering the Effects of Prior Year Misstatements when Quantifying Misstatements in the Current Year Financial Statements.” SAB No. 108 addresses how the effects of prior-year uncorrected misstatements should be considered when quantifying misstatements in current-year financial statements. SAB No. 108 requires an entity to quantify misstatements using a balance sheet and income statement approach and to evaluate whether either approach results in quantifying an error that is material in light of relevant quantitative and qualitative factors. The requirements of SAB No. 108 are effective for fiscal years ending after November 15, 2006. We are currently evaluating the effect, if any, that the adoption of SAB No. 108 will have on our consolidated financial statements. </t>
  </si>
  <si>
    <t xml:space="preserve">In September 2006, the FASB issued SFAS No. 157, “Fair Value Measures.” SFAS No. 157 defines fair value, establishes a framework for measuring fair value, and requires additional disclosures about fair value measurements. SFAS No. 157 applies to fair value measurements that are already required or permitted by other accounting standards, except for measurements of share-based payments and measurements that are similar to, but not intended to be, fair value and does not change existing guidance as to whether or not an instrument is carried at fair value. The provisions of SFAS No. 157 are effective for the specified fair value measures for financial statements issued for fiscal years beginning after November 15, 2007. We are currently evaluating the impact, if any, that the adoption of SFAS No. 157 will have on our consolidated financial statements. </t>
  </si>
  <si>
    <t xml:space="preserve">In July 2006, the FASB issued Interpretation 48 (“FIN 48”), “Accounting for Uncertainty in Income Taxes,” an interpretation of SFAS No. 109, “Accounting for Income Taxes.” FIN 48 clarifies the accounting for uncertainty in income taxes recognized in an enterprise’s financial statements in accordance with SFAS No. 109. The interpretation applies to all tax positions accounted for in accordance with Statement 109 and requires a recognition threshold and measurement attribute for the financial statement recognition and measurement of a tax position taken, or expected to be taken, in an income tax return. Subsequent recognition, derecognition, and measurement is based on management’s best judgment given the facts, circumstances and information available at the reporting date. FIN 48 is effective for fiscal years beginning after December 15, 2006. Early adoption is permitted as of the beginning of an enterprise’s fiscal year, provided the enterprise has not yet issued financial statements, including financial statements for any interim period, for that fiscal year. We are currently evaluating the effect, if any, that the adoption of FIN 48 will have on our consolidated financial statements. </t>
  </si>
  <si>
    <t xml:space="preserve">In March 2006, the Emerging Issues Task Force (“EITF”) reached a consensus on EITF Issue No. 06-3, “How Taxes Collected from Customers and Remitted to Governmental Authorities Should Be Presented in the Income Statement (that is, Gross versus Net Presentation). Taxes within the scope of EITF Issue No. 06-3 include any taxes assessed by a governmental authority that are directly imposed on a revenue-producing transaction between a seller and a customer and may include, but are not limited to, sales taxes, use taxes, value-added taxes, and some excise taxes. The EITF concluded that the presentation of these taxes on either a gross (included in revenues and costs) or a net (excluded from revenues) basis is an accounting policy decision that should be disclosed. For any such taxes that are reported on a gross basis, a company should disclose the amounts of those taxes in interim and annual financial statements. The Company’s policy is to exclude all such taxes from revenue. The provisions of EITF 06-3 are effective for interim and annual reporting periods beginning after December 15, 2006. The adoption of EITF 06-3 will not have any effect on our consolidated financial statements. </t>
  </si>
  <si>
    <t xml:space="preserve">In May 2005, the FASB issued SFAS No. 154, “Accounting Changes and Error Corrections, a Replacement of Accounting Principles Board Opinion No. 20 and FASB Statement No. 3.” SFAS No. 154 requires retrospective application to prior periods’ financial statements for changes in accounting principles, unless it is impracticable to determine either the period-specific effects or the cumulative effect of the change. SFAS No. 154 also requires that retrospective application of a change in accounting principle be limited to the direct effects of the change. Indirect effects of a change in accounting principle, such as a change in non-discretionary profit-sharing payments resulting from an accounting change, should be recognized in the period of the accounting change. SFAS No. 154 also requires that a change in depreciation, amortization, or depletion method for long-lived, non-financial assets be accounted for as a change in accounting estimate affected by a change in accounting principle. The provisions of SFAS No. 154 are effective for accounting changes and corrections of errors made in fiscal years beginning after December 15, 2005. Early adoption is permitted for accounting changes and corrections of errors made in fiscal years beginning after the date this Statement was issued. The Company is required to adopt the provisions of SFAS No. 154, as applicable, beginning in fiscal year 2007. We do not expect the adoption of SFAS No. 154 will have a significant effect on our future consolidated financial statements. </t>
  </si>
  <si>
    <t xml:space="preserve">(3) Natural Disaster Costs </t>
  </si>
  <si>
    <t xml:space="preserve">The Company has two stores in the New Orleans area which were damaged by and closed due to Hurricane Katrina during the fourth quarter of fiscal year 2005, and accordingly the Company recorded expenses totaling approximately $16.5 million for related estimated net losses. The main components of the $16.5 million expense were estimated impaired assets totaling approximately $12.2 million, estimated inventory losses totaling approximately $2.5 million, salaries and relocation allowances for displaced Team Members and other costs totaling approximately $3.4 million, and a $1.0 million special donation from the Company to the American Red Cross, net of accrued estimated insurance proceeds totaling approximately $2.6 million. In fiscal year 2005, approximately $13.4 million of net natural disaster costs is included in “Direct store expenses” in the Consolidated Statements of Operations, approximately $1.0 million is included in “General and administrative expenses,” and approximately $2.1 million is included in “Cost of goods sold and occupancy costs.” In fiscal year 2006, the Company recognized approximately $7.2 million in pre-tax credits for insurance proceeds and other adjustments related to previously estimated Hurricane Katrina losses, of which approximately $4.2 million is included in “Direct store expenses,” approximately $0.9 million is included in “Cost of goods sold and occupancy costs,” and approximately $2.1 million is included in “Investment and other income.” </t>
  </si>
  <si>
    <t xml:space="preserve">(4) Property and Equipment </t>
  </si>
  <si>
    <t xml:space="preserve">Balances of major classes of property and equipment are as follows (in thousands): </t>
  </si>
  <si>
    <t xml:space="preserve">Land </t>
  </si>
  <si>
    <t xml:space="preserve">Buildings and leasehold improvements </t>
  </si>
  <si>
    <t xml:space="preserve">Fixtures and equipment </t>
  </si>
  <si>
    <t xml:space="preserve">Construction in progress and equipment not yet in service </t>
  </si>
  <si>
    <t xml:space="preserve">Less accumulated depreciation and amortization </t>
  </si>
  <si>
    <t xml:space="preserve">Depreciation and amortization expense related to property and equipment totaled approximately $152.4 million, $129.8 million and $111.2 million for fiscal years 2006, 2005 and 2004, respectively. Property and equipment included accumulated </t>
  </si>
  <si>
    <t xml:space="preserve">accelerated depreciation and other asset impairments totaling approximately $13.1 million and $5.9 million at September 24, 2006 and September 25, 2005, respectively. Property and equipment includes approximately $0.9 million, $3.0 million and $2.1 million of interest capitalized during fiscal years 2006, 2005 and 2004, respectively. Development costs of new store locations totaled approximately $208.6 million, 207.8 million and $156.7 million in fiscal years 2006, 2005 and 2004, respectively. As of November 2, 2006, we had signed leases for 88 stores under development. </t>
  </si>
  <si>
    <t xml:space="preserve">(5) Business Combinations </t>
  </si>
  <si>
    <t xml:space="preserve">Fresh &amp; Wild Holdings Limited </t>
  </si>
  <si>
    <t xml:space="preserve">On January 31, 2004, we acquired all of the outstanding stock of Fresh &amp; Wild Holdings Limited (“Fresh &amp; Wild”) for a total of approximately $20 million in cash and approximately $16 million in Company common stock, totaling 477,470 shares. The acquisition of Fresh &amp; Wild, which owned and operated seven natural and organic food stores in London and Bristol, England, provided a platform for expansion of the Whole Foods Market brand in the United Kingdom. This transaction was accounted for using the purchase method and, accordingly, the purchase price has been allocated to tangible and identifiable intangible assets acquired based on their estimated fair values at the date of acquisition. Total costs in excess of tangible and intangible assets acquired of approximately $30.5 million have been recorded as goodwill. Fresh &amp; Wild results of operations are included in our consolidated income statements for the period beginning February 1, 2004 through September 26, 2004 and all subsequent periods. John Mackey and Walter Robb, executive officers of the Company, each owned approximately 0.2% of the outstanding stock of Fresh &amp; Wild and received proceeds totaling approximately $54,000 and $78,000, respectively, in consideration for their ownership interest. </t>
  </si>
  <si>
    <t xml:space="preserve">Select Fish LLC </t>
  </si>
  <si>
    <t xml:space="preserve">On October 27, 2003, we acquired certain assets of Select Fish LLC (“Select Fish”) in exchange for approximately $3 million in cash plus the assumption of certain liabilities. All assets acquired relate to a seafood processing and distribution facility located in Seattle, Washington. This transaction was accounted for using the purchase method. Accordingly the purchase price was allocated to tangible and identifiable intangible assets acquired based on their estimated fair values at the date of the acquisition. Total costs in excess of tangible and intangible assets acquired of approximately $1.1 million have been recorded as goodwill. Select Fish results of operations are included in our consolidated income statements beginning October 27, 2003. </t>
  </si>
  <si>
    <t xml:space="preserve">Goodwill and Other Intangible Assets </t>
  </si>
  <si>
    <t xml:space="preserve">Goodwill and indefinite-lived intangible assets are reviewed for impairment annually, or more frequently if impairment indicators arise. We allocate goodwill to one reporting unit for goodwill impairment testing. During fiscal year 2006, we acquired goodwill totaling approximately $1.1 million, primarily related to the acquisition of one small store in Portland, Maine. We acquired indefinite-lived intangible assets totaling approximately $50,000 and $0.7 million during fiscal years 2006 and 2005, respectively, consisting primarily of liquor licenses. There was no impairment of goodwill or indefinite-lived intangible assets during fiscal years 2006, 2005 or 2004. </t>
  </si>
  <si>
    <t xml:space="preserve">Definite-lived intangible assets are amortized over the useful life of the related agreement. We acquired definite-lived intangible assets totaling approximately $15.7 million and $1.5 million during fiscal years 2006 and 2005, respectively, consisting primarily of acquired leasehold rights. Amortization associated with intangible assets totaled approximately $2.5 million, $2.8 million, and 3.0 million during fiscal years 2006, 2005 and 2004, respectively. The components of intangible assets were as follows (in thousands): </t>
  </si>
  <si>
    <t>Gross carrying</t>
  </si>
  <si>
    <t xml:space="preserve">amount </t>
  </si>
  <si>
    <t>Accumulated</t>
  </si>
  <si>
    <t xml:space="preserve">amortization </t>
  </si>
  <si>
    <t xml:space="preserve">Indefinite-lived contract-based </t>
  </si>
  <si>
    <t xml:space="preserve">Definite-lived contract-based </t>
  </si>
  <si>
    <t xml:space="preserve">(11,833 </t>
  </si>
  <si>
    <t xml:space="preserve">(11,827 </t>
  </si>
  <si>
    <t xml:space="preserve">Definite-lived marketing-related and other </t>
  </si>
  <si>
    <t xml:space="preserve">(1,995 </t>
  </si>
  <si>
    <t xml:space="preserve">(2,425 </t>
  </si>
  <si>
    <t xml:space="preserve">(13,828 </t>
  </si>
  <si>
    <t xml:space="preserve">(14,252 </t>
  </si>
  <si>
    <t xml:space="preserve">Amortization associated with the net carrying amount of intangible assets is estimated to be approximately $2.4 million in fiscal year 2007, $2.3 million in fiscal year 2008, $2.3 million in fiscal year 2009, $2.2 million in fiscal year 2010 and $2.2 million in fiscal year 2011. </t>
  </si>
  <si>
    <t xml:space="preserve">(7) Long-Term Debt </t>
  </si>
  <si>
    <t xml:space="preserve">We have long-term debt and obligations under capital leases as follows (in thousands): </t>
  </si>
  <si>
    <t xml:space="preserve">Obligations under capital lease agreements for equipment, due in monthly installments through 2012 </t>
  </si>
  <si>
    <t xml:space="preserve">Convertible debentures, including accreted interest </t>
  </si>
  <si>
    <t xml:space="preserve">Total Long-term debt </t>
  </si>
  <si>
    <t xml:space="preserve">Less current installments </t>
  </si>
  <si>
    <t xml:space="preserve">Long-term debt, less current installments </t>
  </si>
  <si>
    <t xml:space="preserve">On October 1, 2004, we amended our credit facility to extend the maturity of our $100 million revolving line of credit to October 1, 2009. The credit agreement contains certain affirmative covenants including maintenance of certain financial ratios and certain negative covenants including limitations on additional indebtedness as defined in the agreement. At September 24, 2006 and September 25, 2005, we were in compliance with the applicable debt covenants. All outstanding amounts borrowed under this agreement bear interest at our option of either the defined base rate or the LIBOR rate plus a premium. Commitment fees of 0.15% of the undrawn amount are payable under this agreement. At September 24, 2006 and September 25, 2005 no amounts were drawn under the agreement. The amount available to the Company under the agreement was effectively reduced to $88.4 million by outstanding letters of credit totaling approximately $11.6 million at September 25, 2005. On November 7, 2005, we amended our credit facility to delete negative covenants related to the repurchase of Company stock and payment of dividends. </t>
  </si>
  <si>
    <t xml:space="preserve">We have outstanding zero coupon convertible subordinated debentures which had a carrying amount of approximately $8.3 million and $12.9 million at September 24, 2006 and September 25, 2005, respectively. The debentures have an effective yield to maturity of 5 percent and a scheduled maturity date of March 2, 2018. The debentures are convertible at the option of the holder, at any time on or prior to maturity, unless previously redeemed or otherwise purchased. The debentures may be redeemed at the option of the holder on March 2, 2008 or March 2, 2013 at the issue price plus accrued original discount to the date of redemption. Subject to certain limitations, at our option, we may elect to pay this purchase price in cash, shares of common stock or any combination thereof. The debentures may also be redeemed in cash at the option of the holder if there is a change in control at the issue price plus accrued original discount to the date of redemption. The Company may redeem the debentures for cash, in whole or in part, at redemption prices equal to the issue price plus accrued original discount to the date of redemption. The debentures are subordinated in the right of payment to all existing and future senior indebtedness. The debentures have a conversion rate of 21.280 shares of Company common stock per $1,000 principal amount at maturity, or approximately 311,000 shares and 505,000 shares at September 24, 2006 and September 25, 2005, respectively. Approximately $5.0 million and $150.1 million of the carrying amount of the debentures were voluntarily converted by holders to shares of Company common stock during fiscal years 2006 and 2005, respectively. </t>
  </si>
  <si>
    <t xml:space="preserve">We also had outstanding senior unsecured notes that bear interest at 7.29% payable quarterly with a carrying amount of approximately $5.7 million at September 25, 2005. The Company made the final principal payment totaling approximately $5.7 million to retire its senior notes on May 16, 2006. </t>
  </si>
  <si>
    <t xml:space="preserve">(8) Leases </t>
  </si>
  <si>
    <t xml:space="preserve">The Company is committed under certain capital leases for rental of equipment and certain operating leases for rental of facilities and equipment. These leases expire or become subject to renewal clauses at various dates from 2006 to 2038. Amortization of equipment under capital lease is included with depreciation expense. </t>
  </si>
  <si>
    <t xml:space="preserve">Rental expense charged to operations under operating leases for fiscal years 2006, 2005 and 2004 totaled approximately $153.1 million, $124.8 million and $99.9 million, respectively. Minimum rental commitments required by all non-cancelable leases are approximately as follows (in thousands): </t>
  </si>
  <si>
    <t xml:space="preserve">Capital </t>
  </si>
  <si>
    <t xml:space="preserve">Operating </t>
  </si>
  <si>
    <t xml:space="preserve">Future fiscal years </t>
  </si>
  <si>
    <t xml:space="preserve">Less amounts representing interest </t>
  </si>
  <si>
    <t xml:space="preserve">Net present value of capital lease obligations </t>
  </si>
  <si>
    <t xml:space="preserve">Long-term capital lease obligations, less current installments </t>
  </si>
  <si>
    <t xml:space="preserve">During fiscal years 2006, 2005 and 2004, we paid contingent rentals totaling approximately $9.6 million, $7.6 million and $4.8 million, respectively. No asset retirement obligations have been incurred associated with operating leases. Sublease rental income totaled approximately $1.6 million, $1.3 million and $1.4 million during fiscal years 2006, 2005 and 2004, respectively. John Mackey and Glenda Chamberlain, executive officers of the Company, own approximately 51% and 2%, respectively, of BookPeople, Inc., a retailer of books and periodicals that is unaffiliated with the Company, which leases retail space in Austin, Texas from the Company. The lease provides for an aggregate annual minimum rent of approximately $0.4 million which the Company received in rental income in fiscal years 2006, 2005 and 2004. </t>
  </si>
  <si>
    <t xml:space="preserve">(9) Income Taxes </t>
  </si>
  <si>
    <t xml:space="preserve">Components of income tax expense are as follows (in thousands): </t>
  </si>
  <si>
    <t xml:space="preserve">Current federal income tax </t>
  </si>
  <si>
    <t xml:space="preserve">Current state income tax </t>
  </si>
  <si>
    <t xml:space="preserve">Total current tax </t>
  </si>
  <si>
    <t xml:space="preserve">Deferred federal income tax </t>
  </si>
  <si>
    <t xml:space="preserve">(13,350 </t>
  </si>
  <si>
    <t xml:space="preserve">(22,462 </t>
  </si>
  <si>
    <t xml:space="preserve">Deferred state income tax </t>
  </si>
  <si>
    <t xml:space="preserve">(2,171 </t>
  </si>
  <si>
    <t xml:space="preserve">(5,411 </t>
  </si>
  <si>
    <t xml:space="preserve">(965 </t>
  </si>
  <si>
    <t xml:space="preserve">Total deferred income tax </t>
  </si>
  <si>
    <t xml:space="preserve">(681 </t>
  </si>
  <si>
    <t xml:space="preserve">Total income tax expense </t>
  </si>
  <si>
    <t xml:space="preserve">Actual income tax expense differed from the amount computed by applying statutory corporate income tax rates to income before income taxes as follows (in thousands): </t>
  </si>
  <si>
    <t xml:space="preserve">Federal income tax based on statutory rates </t>
  </si>
  <si>
    <t xml:space="preserve">Increase (reduction) in income taxes resulting from: </t>
  </si>
  <si>
    <t xml:space="preserve">Change in valuation allowance </t>
  </si>
  <si>
    <t xml:space="preserve">(31 </t>
  </si>
  <si>
    <t xml:space="preserve">Tax exempt interest </t>
  </si>
  <si>
    <t xml:space="preserve">(1,352 </t>
  </si>
  <si>
    <t xml:space="preserve">(462 </t>
  </si>
  <si>
    <t xml:space="preserve">Deductible state income taxes </t>
  </si>
  <si>
    <t xml:space="preserve">(9,962 </t>
  </si>
  <si>
    <t xml:space="preserve">(6,005 </t>
  </si>
  <si>
    <t xml:space="preserve">(5,357 </t>
  </si>
  <si>
    <t xml:space="preserve">Other, net </t>
  </si>
  <si>
    <t xml:space="preserve">(1,467 </t>
  </si>
  <si>
    <t xml:space="preserve">Total federal income taxes </t>
  </si>
  <si>
    <t xml:space="preserve">State income taxes </t>
  </si>
  <si>
    <t xml:space="preserve">Current income taxes payable as of September 24, 2006 and September 25, 2005 totaled approximately $27.2 million and $5.2 million, respectively. The tax effects of temporary differences that give rise to significant portions of the deferred tax assets and deferred tax liabilities are as follows (in thousands): </t>
  </si>
  <si>
    <t xml:space="preserve">Deferred tax assets: </t>
  </si>
  <si>
    <t xml:space="preserve">Compensation-related costs </t>
  </si>
  <si>
    <t xml:space="preserve">Insurance-related costs </t>
  </si>
  <si>
    <t xml:space="preserve">Lease and other termination accruals </t>
  </si>
  <si>
    <t xml:space="preserve">Rent differential </t>
  </si>
  <si>
    <t xml:space="preserve">Net domestic and international operating loss carryforwards </t>
  </si>
  <si>
    <t xml:space="preserve">Capital loss carryforwards </t>
  </si>
  <si>
    <t xml:space="preserve">Gross deferred tax assets </t>
  </si>
  <si>
    <t xml:space="preserve">Valuation allowance </t>
  </si>
  <si>
    <t xml:space="preserve">(13,271 </t>
  </si>
  <si>
    <t xml:space="preserve">(17,364 </t>
  </si>
  <si>
    <t xml:space="preserve">Deferred tax liabilities: </t>
  </si>
  <si>
    <t xml:space="preserve">Financial basis of fixed assets in excess of tax basis </t>
  </si>
  <si>
    <t xml:space="preserve">(21,858 </t>
  </si>
  <si>
    <t xml:space="preserve">(24,673 </t>
  </si>
  <si>
    <t xml:space="preserve">(313 </t>
  </si>
  <si>
    <t xml:space="preserve">Capitalized costs expensed for tax purposes </t>
  </si>
  <si>
    <t xml:space="preserve">(1,290 </t>
  </si>
  <si>
    <t xml:space="preserve">(1,841 </t>
  </si>
  <si>
    <t xml:space="preserve">(905 </t>
  </si>
  <si>
    <t xml:space="preserve">(980 </t>
  </si>
  <si>
    <t xml:space="preserve">(24,366 </t>
  </si>
  <si>
    <t xml:space="preserve">(27,494 </t>
  </si>
  <si>
    <t xml:space="preserve">Net deferred tax asset </t>
  </si>
  <si>
    <t xml:space="preserve">Deferred taxes have been classified on the consolidated balance sheets as follows: </t>
  </si>
  <si>
    <t xml:space="preserve">Current assets </t>
  </si>
  <si>
    <t xml:space="preserve">Noncurrent assets </t>
  </si>
  <si>
    <t xml:space="preserve">As of September 24, 2006, we had international operating loss carryforwards totaling approximately $32.5 million, of which approximately $11.8 million will begin to expire in fiscal year 2008 and approximately $20.7 million has an indefinite life. During fiscal year 2006, approximately $31,000 of the valuation allowance related to the utilization of certain operating and capital loss carryforwards was released. Additionally, the valuation allowance decreased by approximately $4.1 million due to the expiration of capital loss carryforwards for which no benefit was realized. We have provided a valuation allowance of approximately $13.3 million for deferred tax assets associated with international operating loss carryforwards and domestic capital loss carryforwards for which management has determined it is more likely than not that the deferred tax asset will not be realized. Management believes that it is more likely than not that we will fully realize the remaining domestic deferred tax assets in the form of future tax deductions based on the nature of these deductible temporary differences and a history of profitable operations. </t>
  </si>
  <si>
    <t xml:space="preserve">(10) Investments </t>
  </si>
  <si>
    <t xml:space="preserve">We had short-term cash equivalent investments totaling approximately $10.1 million and $325.7 million at September 24, 2006 and September 25, 2005, respectively. </t>
  </si>
  <si>
    <t xml:space="preserve">As of September 24, 2006, we also had short-term available-for-sale securities, generally consisting of state and local government obligations totaling approximately $193.8 million. Gross unrealized gains on the securities totals approximately $77,000 as of September 24, 2006. </t>
  </si>
  <si>
    <t xml:space="preserve">(11) Shareholders’ Equity </t>
  </si>
  <si>
    <t xml:space="preserve">Dividends </t>
  </si>
  <si>
    <t xml:space="preserve">The Company’s Board of Directors approved the following dividends during fiscal years 2006 and 2005 (in thousands, except per share amounts): </t>
  </si>
  <si>
    <t xml:space="preserve">Date of Declaration </t>
  </si>
  <si>
    <t xml:space="preserve">Dividend </t>
  </si>
  <si>
    <t xml:space="preserve">per Share </t>
  </si>
  <si>
    <t xml:space="preserve">Date of Record </t>
  </si>
  <si>
    <t xml:space="preserve">Date of Payment </t>
  </si>
  <si>
    <t xml:space="preserve">Fiscal year 2006: </t>
  </si>
  <si>
    <t xml:space="preserve">November 9, 2005 </t>
  </si>
  <si>
    <t xml:space="preserve">January 13, 2006 </t>
  </si>
  <si>
    <t xml:space="preserve">January 23, 2006 </t>
  </si>
  <si>
    <t xml:space="preserve">March 6, 2006 </t>
  </si>
  <si>
    <t xml:space="preserve">June 13, 2006 </t>
  </si>
  <si>
    <t xml:space="preserve">Fiscal year 2005: </t>
  </si>
  <si>
    <t xml:space="preserve">November 10, 2004 </t>
  </si>
  <si>
    <t xml:space="preserve">April 5, 2005 </t>
  </si>
  <si>
    <t xml:space="preserve">June 7, 2005 </t>
  </si>
  <si>
    <t xml:space="preserve">September 14, 2005 </t>
  </si>
  <si>
    <t xml:space="preserve">October 14, 2005 </t>
  </si>
  <si>
    <t xml:space="preserve">October 24, 2005 </t>
  </si>
  <si>
    <t xml:space="preserve">On September 27, 2006, the Company’s Board of Directors approved a quarterly dividend of $0.15 per share that was paid on October 23, 2006 to shareholders of record on October 13, 2006. On November 2, 2006, the Company’s Board of Directors approved a 20% increase in the Company’s quarterly dividend to $0.18 per share payable on January 22, 2007 to shareholders of record on January 12, 2007. The Company will pay future dividends at the discretion of the Board of Directors. The continuation of these payments, the amount of such dividends, and the form in which the dividends are paid (cash or stock) depend on many factors, including the results of operations and the financial condition of the Company. Subject to these qualifications, the Company currently expects to pay dividends on a quarterly basis. </t>
  </si>
  <si>
    <t xml:space="preserve">On November 9, 2005, the Company’s Board of Directors approved a two-for-one stock split to be distributed on December 27, 2005 to shareholders of record at the close of business on December 12, 2005. The stock split was effected in the form of a stock dividend. Shareholders received one additional share of Whole Foods Market common stock for each share owned. All share and per share amounts in these financial statements have been adjusted to reflect the effect of the stock split. All shares reserved for issuance pursuant to the Company’s stock option and stock purchase plans were automatically increased by the same proportion. In addition, shares subject to outstanding options or other rights to acquire the Company’s stock and the exercise price for such shares were adjusted proportionately. </t>
  </si>
  <si>
    <t xml:space="preserve">Treasury Stock </t>
  </si>
  <si>
    <t>PERIOD ENDING</t>
  </si>
  <si>
    <t>Selling General and Administrative</t>
  </si>
  <si>
    <t>Income from Continuing Operations</t>
  </si>
  <si>
    <t>Total Other Income/Expenses Net</t>
  </si>
  <si>
    <t>Earnings Before Interest And Taxes</t>
  </si>
  <si>
    <t>Interest Expense</t>
  </si>
  <si>
    <t>Income Before Tax</t>
  </si>
  <si>
    <t>Income Tax Expense</t>
  </si>
  <si>
    <t>Net Income</t>
  </si>
  <si>
    <t>Assets</t>
  </si>
  <si>
    <t>Current Assets</t>
  </si>
  <si>
    <t>Total Assets</t>
  </si>
  <si>
    <t>Liabilities</t>
  </si>
  <si>
    <t>Current Liabilities</t>
  </si>
  <si>
    <t>Long Term Debt</t>
  </si>
  <si>
    <t>Total Liabilities</t>
  </si>
  <si>
    <t xml:space="preserve">Stockholders' Equity </t>
  </si>
  <si>
    <t>Retained Earnings</t>
  </si>
  <si>
    <t>Total Stockholder Equity</t>
  </si>
  <si>
    <t>Price / Earnings:</t>
  </si>
  <si>
    <t>Price / Book:</t>
  </si>
  <si>
    <t>Net Profit Margin (mrq):</t>
  </si>
  <si>
    <t>Return on Equity:</t>
  </si>
  <si>
    <t>Total Debt / Equity:</t>
  </si>
  <si>
    <t>Sector: Services</t>
  </si>
  <si>
    <t>3471.1B</t>
  </si>
  <si>
    <t>Industry: Grocery Stores (More Info)</t>
  </si>
  <si>
    <t>72.0B</t>
  </si>
  <si>
    <t>Companies</t>
  </si>
  <si>
    <t>Arden Group Inc. (ARDNA)</t>
  </si>
  <si>
    <t>449.5M</t>
  </si>
  <si>
    <t>Blue Square Israel Ltd. (BSI)</t>
  </si>
  <si>
    <t>601.2M</t>
  </si>
  <si>
    <t>NA</t>
  </si>
  <si>
    <t>Casey's General Stores Inc. (CASY)</t>
  </si>
  <si>
    <t>1.5B</t>
  </si>
  <si>
    <t>Delhaize Group (DEG)</t>
  </si>
  <si>
    <t>9.5B</t>
  </si>
  <si>
    <t>Diedrich Coffee Inc. (DDRX)</t>
  </si>
  <si>
    <t>19.9M</t>
  </si>
  <si>
    <t>3.4B</t>
  </si>
  <si>
    <t>Ingles Markets Inc. (IMKTA)</t>
  </si>
  <si>
    <t>710.3M</t>
  </si>
  <si>
    <t>Kroger Co. (KR)</t>
  </si>
  <si>
    <t>19.6B</t>
  </si>
  <si>
    <t>Pantry Inc. (PTRY)</t>
  </si>
  <si>
    <t>616.8M</t>
  </si>
  <si>
    <t>Pathmark Stores Inc. (PTMK)</t>
  </si>
  <si>
    <t>672.9M</t>
  </si>
  <si>
    <t>Publix Super Markets Inc. (PUSH.OB)</t>
  </si>
  <si>
    <t>Ruddick Corp. (RDK)</t>
  </si>
  <si>
    <t>1.6B</t>
  </si>
  <si>
    <t>Safeway Inc. (SWY)</t>
  </si>
  <si>
    <t>14.5B</t>
  </si>
  <si>
    <t>SUPERVALU Inc. (SVU)</t>
  </si>
  <si>
    <t>7.7B</t>
  </si>
  <si>
    <t>Susser Holdings Corporation (SUSS)</t>
  </si>
  <si>
    <t>349.1M</t>
  </si>
  <si>
    <t>The Great Atlantic &amp; Pacific T (GAP)</t>
  </si>
  <si>
    <t>1.3B</t>
  </si>
  <si>
    <t>Village Super Market Inc. (VLGEA)</t>
  </si>
  <si>
    <t>339.8M</t>
  </si>
  <si>
    <t>Weis Markets Inc. (WMK)</t>
  </si>
  <si>
    <t>1.1B</t>
  </si>
  <si>
    <t>Whole Foods Market Inc. (WFMI)</t>
  </si>
  <si>
    <t>7.0B</t>
  </si>
  <si>
    <t>Winn-Dixie Stores Inc. (WINN)</t>
  </si>
  <si>
    <t>949.7M</t>
  </si>
  <si>
    <t>Description up</t>
  </si>
  <si>
    <t>Wholefoods Market</t>
  </si>
  <si>
    <t xml:space="preserve">Depreciation and amortization </t>
  </si>
  <si>
    <t xml:space="preserve">   </t>
  </si>
  <si>
    <t xml:space="preserve">  </t>
  </si>
  <si>
    <t>http://finance.yahoo.com/q?s=wfmi</t>
  </si>
  <si>
    <t xml:space="preserve">Whole Foods Market, Inc. </t>
  </si>
  <si>
    <t xml:space="preserve">Consolidated Balance Sheets </t>
  </si>
  <si>
    <t xml:space="preserve">(In thousands) </t>
  </si>
  <si>
    <t xml:space="preserve">September 24, 2006 and September 25, 2005 </t>
  </si>
  <si>
    <t xml:space="preserve">Assets </t>
  </si>
  <si>
    <t xml:space="preserve">Current assets: </t>
  </si>
  <si>
    <t xml:space="preserve">Cash and cash equivalents </t>
  </si>
  <si>
    <t xml:space="preserve">$ </t>
  </si>
  <si>
    <t xml:space="preserve">Short-term investments – available-for-sale securities </t>
  </si>
  <si>
    <t xml:space="preserve">—   </t>
  </si>
  <si>
    <t xml:space="preserve">Restricted cash </t>
  </si>
  <si>
    <t xml:space="preserve">Trade accounts receivable </t>
  </si>
  <si>
    <t xml:space="preserve">Merchandise inventories </t>
  </si>
  <si>
    <t xml:space="preserve">Prepaid expenses and other current assets </t>
  </si>
  <si>
    <t xml:space="preserve">Deferred income taxes </t>
  </si>
  <si>
    <t>  </t>
  </si>
  <si>
    <t xml:space="preserve">Total current assets </t>
  </si>
  <si>
    <t xml:space="preserve">Property and equipment, net of accumulated depreciation and amortization </t>
  </si>
  <si>
    <t xml:space="preserve">Goodwill </t>
  </si>
  <si>
    <t xml:space="preserve">Intangible assets, net of accumulated amortization </t>
  </si>
  <si>
    <t xml:space="preserve">Other assets </t>
  </si>
  <si>
    <t xml:space="preserve">Total assets </t>
  </si>
  <si>
    <t xml:space="preserve">Liabilities and Shareholders’ Equity </t>
  </si>
  <si>
    <t xml:space="preserve">Current liabilities: </t>
  </si>
  <si>
    <t xml:space="preserve">Current installments of long-term debt and capital lease obligations </t>
  </si>
  <si>
    <t xml:space="preserve">Trade accounts payable </t>
  </si>
  <si>
    <t xml:space="preserve">Accrued payroll, bonus and other benefits due team members </t>
  </si>
  <si>
    <t xml:space="preserve">Dividends payable </t>
  </si>
  <si>
    <t xml:space="preserve">Other current liabilities </t>
  </si>
  <si>
    <t xml:space="preserve">Total current liabilities </t>
  </si>
  <si>
    <t xml:space="preserve">Long-term debt and capital lease obligations, less current installments </t>
  </si>
  <si>
    <t xml:space="preserve">Deferred rent liability </t>
  </si>
  <si>
    <t xml:space="preserve">Other long-term liabilities </t>
  </si>
  <si>
    <t xml:space="preserve">Total liabilities </t>
  </si>
  <si>
    <t xml:space="preserve">Shareholders’ equity: </t>
  </si>
  <si>
    <t>Common stock, no par value, 300,000 shares authorized;</t>
  </si>
  <si>
    <t>142,198 and 136,017 shares issued, 139,607 and 135,908 shares</t>
  </si>
  <si>
    <t xml:space="preserve">outstanding in 2006 and 2005, respectively </t>
  </si>
  <si>
    <t xml:space="preserve">Common stock in treasury, at cost </t>
  </si>
  <si>
    <t xml:space="preserve">(99,964 </t>
  </si>
  <si>
    <t xml:space="preserve">) </t>
  </si>
  <si>
    <t xml:space="preserve">Accumulated other comprehensive income </t>
  </si>
  <si>
    <t xml:space="preserve">Retained earnings </t>
  </si>
  <si>
    <t xml:space="preserve">Total shareholders’ equity </t>
  </si>
  <si>
    <t xml:space="preserve">Commitments and contingencies </t>
  </si>
  <si>
    <t xml:space="preserve">Total liabilities and shareholders’ equity </t>
  </si>
  <si>
    <t xml:space="preserve">The accompanying notes are an integral part of these consolidated financial statements. </t>
  </si>
  <si>
    <t xml:space="preserve">Table of Contents </t>
  </si>
  <si>
    <t xml:space="preserve">Consolidated Statements of Operations </t>
  </si>
  <si>
    <t xml:space="preserve">(In thousands, except per share amounts) </t>
  </si>
  <si>
    <t xml:space="preserve">Fiscal years ended September 24, 2006, September 25, 2005 and September 26, 2004 </t>
  </si>
  <si>
    <t xml:space="preserve">Sales </t>
  </si>
  <si>
    <t xml:space="preserve">Cost of goods sold and occupancy costs </t>
  </si>
  <si>
    <t xml:space="preserve">Gross profit </t>
  </si>
  <si>
    <t xml:space="preserve">Direct store expenses </t>
  </si>
  <si>
    <t xml:space="preserve">General and administrative expenses </t>
  </si>
  <si>
    <t xml:space="preserve">Pre-opening and relocation costs </t>
  </si>
  <si>
    <t xml:space="preserve">Operating income </t>
  </si>
  <si>
    <t xml:space="preserve">Other income (expense): </t>
  </si>
  <si>
    <t xml:space="preserve">Interest expense </t>
  </si>
  <si>
    <t xml:space="preserve">(32 </t>
  </si>
  <si>
    <t xml:space="preserve">(2,223 </t>
  </si>
  <si>
    <t xml:space="preserve">(7,249 </t>
  </si>
  <si>
    <t xml:space="preserve">Investment and other income </t>
  </si>
  <si>
    <t xml:space="preserve">Income before income taxes </t>
  </si>
  <si>
    <t xml:space="preserve">Provision for income taxes </t>
  </si>
  <si>
    <t xml:space="preserve">Net income </t>
  </si>
  <si>
    <t xml:space="preserve">Basic earnings per share </t>
  </si>
  <si>
    <t xml:space="preserve">Weighted average shares outstanding </t>
  </si>
  <si>
    <t xml:space="preserve">Diluted earnings per share </t>
  </si>
  <si>
    <t xml:space="preserve">Weighted average shares outstanding, diluted basis </t>
  </si>
  <si>
    <t xml:space="preserve">Dividends declared per share </t>
  </si>
  <si>
    <t xml:space="preserve">Consolidated Statements of Shareholders’ Equity and Comprehensive Income </t>
  </si>
  <si>
    <t>Shares</t>
  </si>
  <si>
    <t xml:space="preserve">Outstanding </t>
  </si>
  <si>
    <t>Common</t>
  </si>
  <si>
    <t xml:space="preserve">Stock </t>
  </si>
  <si>
    <t>Stock in</t>
  </si>
  <si>
    <t xml:space="preserve">Treasury </t>
  </si>
  <si>
    <t xml:space="preserve">Accumulated </t>
  </si>
  <si>
    <t xml:space="preserve">Other </t>
  </si>
  <si>
    <t>Comprehensive</t>
  </si>
  <si>
    <t xml:space="preserve">Income (Loss) </t>
  </si>
  <si>
    <t>Retained</t>
  </si>
  <si>
    <t xml:space="preserve">Earnings </t>
  </si>
  <si>
    <t>Total</t>
  </si>
  <si>
    <t>Shareholders’</t>
  </si>
  <si>
    <t xml:space="preserve">Equity </t>
  </si>
  <si>
    <t xml:space="preserve">Balances at September 28, 2003 </t>
  </si>
  <si>
    <t xml:space="preserve">Foreign currency translation adjustments </t>
  </si>
  <si>
    <t xml:space="preserve">Reclassification adjustments for losses included in net income </t>
  </si>
  <si>
    <t xml:space="preserve">Change in unrealized gain (loss) on investments, net of income taxes </t>
  </si>
  <si>
    <t xml:space="preserve">(515 </t>
  </si>
  <si>
    <t xml:space="preserve">Comprehensive income </t>
  </si>
  <si>
    <t xml:space="preserve">Dividends ($0.30 per share) </t>
  </si>
  <si>
    <t xml:space="preserve">(37,089 </t>
  </si>
  <si>
    <t xml:space="preserve">Issuance of common stock pursuant to team member stock plans </t>
  </si>
  <si>
    <t xml:space="preserve">Issuance of common stock in connection with acquisition </t>
  </si>
  <si>
    <t xml:space="preserve">Tax benefit related to exercise of team member stock options </t>
  </si>
  <si>
    <t xml:space="preserve">Balances at September 26, 2004 </t>
  </si>
  <si>
    <t xml:space="preserve">(604 </t>
  </si>
  <si>
    <t xml:space="preserve">Dividends ($0.47 per share) </t>
  </si>
  <si>
    <t xml:space="preserve">(62,530 </t>
  </si>
  <si>
    <t xml:space="preserve">Share-based compensation </t>
  </si>
  <si>
    <t xml:space="preserve">Conversion of subordinated debentures </t>
  </si>
  <si>
    <t xml:space="preserve">Balances at September 25, 2005 </t>
  </si>
  <si>
    <t xml:space="preserve">Dividends ($2.45 per share) </t>
  </si>
  <si>
    <t xml:space="preserve">(340,867 </t>
  </si>
  <si>
    <t xml:space="preserve">Purchase of treasury stock </t>
  </si>
  <si>
    <t xml:space="preserve">(2,005 </t>
  </si>
  <si>
    <t xml:space="preserve">Excess tax benefit related to exercise of team member stock options </t>
  </si>
  <si>
    <t xml:space="preserve">Balances at September 24, 2006 </t>
  </si>
  <si>
    <t xml:space="preserve">Consolidated Statements of Cash Flows </t>
  </si>
  <si>
    <t xml:space="preserve">Cash flows from operating activities </t>
  </si>
  <si>
    <t xml:space="preserve">Adjustments to reconcile net income to net cash provided by operating activities: </t>
  </si>
  <si>
    <t xml:space="preserve">Loss on disposal of fixed assets </t>
  </si>
  <si>
    <t xml:space="preserve">Deferred income tax expense (benefit) </t>
  </si>
  <si>
    <t xml:space="preserve">(15,521 </t>
  </si>
  <si>
    <t xml:space="preserve">(27,873 </t>
  </si>
  <si>
    <t xml:space="preserve">(682 </t>
  </si>
  <si>
    <t xml:space="preserve">(52,008 </t>
  </si>
  <si>
    <t xml:space="preserve">Interest accretion on long-term debt </t>
  </si>
  <si>
    <t xml:space="preserve">Deferred rent </t>
  </si>
  <si>
    <t xml:space="preserve">(1,133 </t>
  </si>
  <si>
    <t xml:space="preserve">Net change in current assets and liabilities: </t>
  </si>
  <si>
    <t xml:space="preserve">(17,720 </t>
  </si>
  <si>
    <t xml:space="preserve">(2,027 </t>
  </si>
  <si>
    <t xml:space="preserve">(19,158 </t>
  </si>
  <si>
    <t xml:space="preserve">(32,200 </t>
  </si>
  <si>
    <t xml:space="preserve">(21,486 </t>
  </si>
  <si>
    <t xml:space="preserve">(27,868 </t>
  </si>
  <si>
    <t xml:space="preserve">(7,849 </t>
  </si>
  <si>
    <t xml:space="preserve">(4,151 </t>
  </si>
  <si>
    <t xml:space="preserve">(2,940 </t>
  </si>
  <si>
    <t xml:space="preserve">Accrued payroll, bonus and other benefits due team member </t>
  </si>
  <si>
    <t xml:space="preserve">Other accrued expenses </t>
  </si>
  <si>
    <t xml:space="preserve">Net cash provided by operating activities </t>
  </si>
  <si>
    <t xml:space="preserve">Cash flows from investing activities </t>
  </si>
  <si>
    <t xml:space="preserve">Development costs of new store locations </t>
  </si>
  <si>
    <t xml:space="preserve">(208,588 </t>
  </si>
  <si>
    <t xml:space="preserve">(207,792 </t>
  </si>
  <si>
    <t xml:space="preserve">(156,728 </t>
  </si>
  <si>
    <t xml:space="preserve">Other property, plant and equipment expenditures </t>
  </si>
  <si>
    <t xml:space="preserve">(131,614 </t>
  </si>
  <si>
    <t xml:space="preserve">(116,318 </t>
  </si>
  <si>
    <t xml:space="preserve">(109,739 </t>
  </si>
  <si>
    <t xml:space="preserve">Proceeds from hurricane insurance </t>
  </si>
  <si>
    <t xml:space="preserve">Acquisition of intangible assets </t>
  </si>
  <si>
    <t xml:space="preserve">(16,332 </t>
  </si>
  <si>
    <t xml:space="preserve">(1,500 </t>
  </si>
  <si>
    <t xml:space="preserve">Change in notes receivable </t>
  </si>
  <si>
    <t xml:space="preserve">(13,500 </t>
  </si>
  <si>
    <t xml:space="preserve">Purchase of available-for-sale securities </t>
  </si>
  <si>
    <t xml:space="preserve">(555,095 </t>
  </si>
  <si>
    <t xml:space="preserve">Sale of available-for-sale securities </t>
  </si>
  <si>
    <t xml:space="preserve">Increase in restricted cash </t>
  </si>
  <si>
    <t xml:space="preserve">(23,143 </t>
  </si>
  <si>
    <t xml:space="preserve">(10,132 </t>
  </si>
  <si>
    <t xml:space="preserve">(26,790 </t>
  </si>
  <si>
    <t xml:space="preserve">Payment for purchase of acquired entities, net of cash acquired </t>
  </si>
  <si>
    <t xml:space="preserve">(18,873 </t>
  </si>
  <si>
    <t xml:space="preserve">Other investing activities </t>
  </si>
  <si>
    <t xml:space="preserve">Net cash used in investing activities </t>
  </si>
  <si>
    <t xml:space="preserve">(569,255 </t>
  </si>
  <si>
    <t xml:space="preserve">(322,242 </t>
  </si>
  <si>
    <t xml:space="preserve">(324,298 </t>
  </si>
  <si>
    <t xml:space="preserve">Cash flows from financing activities </t>
  </si>
  <si>
    <t xml:space="preserve">Dividends paid </t>
  </si>
  <si>
    <t xml:space="preserve">(358,075 </t>
  </si>
  <si>
    <t xml:space="preserve">(54,683 </t>
  </si>
  <si>
    <t xml:space="preserve">(27,728 </t>
  </si>
  <si>
    <t xml:space="preserve">Issuance of common stock </t>
  </si>
  <si>
    <t xml:space="preserve">Payments on long-term debt and capital lease obligations </t>
  </si>
  <si>
    <t xml:space="preserve">(5,680 </t>
  </si>
  <si>
    <t xml:space="preserve">(5,933 </t>
  </si>
  <si>
    <t xml:space="preserve">(8,864 </t>
  </si>
  <si>
    <t xml:space="preserve">Net cash provided by (used in) financing activities </t>
  </si>
  <si>
    <t xml:space="preserve">(189,681 </t>
  </si>
  <si>
    <t xml:space="preserve">Net change in cash and cash equivalents </t>
  </si>
  <si>
    <t xml:space="preserve">(306,272 </t>
  </si>
  <si>
    <t xml:space="preserve">Cash and cash equivalents at beginning of year </t>
  </si>
  <si>
    <t xml:space="preserve">Cash and cash equivalents at end of year </t>
  </si>
  <si>
    <t xml:space="preserve">Supplemental disclosures of cash flow information: </t>
  </si>
  <si>
    <t xml:space="preserve">Interest paid </t>
  </si>
  <si>
    <t xml:space="preserve">Federal and state income taxes paid </t>
  </si>
  <si>
    <t xml:space="preserve">Non-cash transactions: </t>
  </si>
  <si>
    <t xml:space="preserve">Common stock issued in connection with acquisition </t>
  </si>
  <si>
    <t xml:space="preserve">Conversion of convertible debentures into common stock, net of fees </t>
  </si>
  <si>
    <t xml:space="preserve">Notes to Consolidated Financial Statements </t>
  </si>
  <si>
    <t xml:space="preserve">(1) Description of Business </t>
  </si>
  <si>
    <t xml:space="preserve">Whole Foods Market, Inc. and its consolidated subsidiaries (collectively “Whole Foods Market,” “Company,” or “We”) own and operate the largest chain of natural and organic foods supermarkets. Our Company mission is to promote vitality and well-being for all individuals by supplying the highest quality, most wholesome foods available. Through our growth, we have had a large and positive impact on the natural and organic foods movement throughout the United States, helping lead the industry to nationwide acceptance over the last 25 years. We opened our first store in Texas in 1980 and, as of September 24, 2006, have expanded our operations both by opening new stores and acquiring existing stores from third parties to 186 stores: 177 stores in 31 U.S. states and the District of Columbia; three stores in Canada; and six stores in the United Kingdom. </t>
  </si>
  <si>
    <t xml:space="preserve">(2) Summary of Significant Accounting Policies </t>
  </si>
  <si>
    <t xml:space="preserve">Definition of Fiscal Year </t>
  </si>
  <si>
    <t xml:space="preserve">We report our results of operations on a 52- or 53-week fiscal year ending on the last Sunday in September. Fiscal years 2006, 2005 and 2004 were 52-week years. </t>
  </si>
  <si>
    <t xml:space="preserve">Principles of Consolidation </t>
  </si>
  <si>
    <t xml:space="preserve">The accompanying consolidated financial statements have been prepared in accordance with U.S. generally accepted accounting principles. All significant majority-owned subsidiaries are consolidated on a line-by-line basis, and all significant intercompany accounts and transactions are eliminated upon consolidation. </t>
  </si>
  <si>
    <t xml:space="preserve">Cash and Cash Equivalents </t>
  </si>
  <si>
    <t xml:space="preserve">We consider all highly liquid investments with an original maturity of 90 days or less to be cash equivalents. </t>
  </si>
  <si>
    <t xml:space="preserve">Investments </t>
  </si>
  <si>
    <t xml:space="preserve">We classify as available-for-sale our cash equivalent investments and our short-term and long-term investments in debt and equity securities that have readily determinable fair values. Available-for-sale investments are recorded at fair value. Unrealized holding gains and losses, net of the related tax effect, on available-for-sale investments are excluded from earnings and are reported as a separate component of shareholders’ equity until realized. A decline in the fair value of any available-for-sale security below cost that is deemed to be other-than-temporary or for a period greater than two fiscal quarters results in a reduction in carrying amount to fair value. The impairment is charged to earnings and a new cost basis of the security is established. Cost basis is established and maintained utilizing the specific identification method. </t>
  </si>
  <si>
    <t xml:space="preserve">Restricted Cash </t>
  </si>
  <si>
    <t xml:space="preserve">Restricted cash primarily relates to cash held as collateral to support projected workers’ compensation obligations. </t>
  </si>
  <si>
    <t xml:space="preserve">Inventories </t>
  </si>
  <si>
    <t xml:space="preserve">We value our inventories at the lower of cost or market. Cost was determined using the last-in, first-out (“LIFO”) method for approximately 94% of inventories in fiscal years 2006 and 2005. Under the LIFO method, the cost assigned to items sold is based on the cost of the most recent items purchased. As a result, the costs of the first items purchased remain in inventory and are used to value ending inventory. The excess of estimated current costs over LIFO carrying value, or LIFO reserve, was approximately $13.2 million and $10.7 million at September 24, 2006 and September 25, 2005, respectively. Costs for remaining inventories are determined by the first-in, first-out (“FIFO”) method. </t>
  </si>
  <si>
    <t xml:space="preserve">Cost was determined using the retail method for approximately 54% of inventories in fiscal years 2006 and 2005. Under the retail method, the valuation of inventories at cost and the resulting gross margins are determined by applying a cost-to-retail ratio for various groupings of similar items to the retail value of inventories. Inherent in the retail inventory method calculations are certain management judgments and estimates, including shrinkage, which could impact the ending inventory valuation at cost as well as the resulting gross margins. Cost was determined using the item cost method for approximately 46% of inventories in fiscal years 2006 and 2005. This method involves counting each item in inventory, assigning costs to each of these items based on the actual purchase costs (net of vendor allowances) of each item and recording the actual cost of items sold. The item-cost method of accounting allows for more accurate reporting of periodic inventory balances and enables management to more precisely manage inventory and purchasing levels when compared to the retail method of accounting. </t>
  </si>
  <si>
    <t xml:space="preserve">Our largest supplier, United Natural Foods, Inc., accounted for approximately 22%, 22% and 20% of our total purchases in fiscal years 2006, 2005 and 2004, respectively. </t>
  </si>
  <si>
    <t xml:space="preserve">Property and Equipment </t>
  </si>
  <si>
    <t xml:space="preserve">Property and equipment is stated at cost, net of accumulated depreciation and amortization. We provide depreciation of equipment over the estimated useful lives (generally three to 15 years) using the straight-line method. We provide amortization of leasehold improvements on the straight-line method over the shorter of the estimated useful lives of the improvements or the terms of the related leases. Terms of leases used in the determination of estimated useful lives may include renewal periods at the Company’s option if exercise of the option is determined to be reasonably assured at the inception of the lease. We provide depreciation of buildings over the estimated useful lives (generally 20 to 30 years) using the straight-line method. Costs related to a projected site determined to be unsatisfactory and general site selection costs that cannot be identified with a specific store location are charged to operations currently. The Company recognizes a liability for the fair value of a conditional asset retirement obligation when the obligation is incurred. Repair and maintenance costs are expensed as incurred. Interest costs on significant projects constructed or developed for the Company’s own use are capitalized as a separate component of the asset. Upon retirement or disposal of assets, the cost and related accumulated depreciation are removed from the balance sheet and any gain or loss is reflected in earnings. </t>
  </si>
  <si>
    <t xml:space="preserve">Operating Leases </t>
  </si>
  <si>
    <t xml:space="preserve">The Company leases stores, distribution centers, bakehouses and administrative facilities under operating leases. Store lease agreements generally include rent holidays, rent escalation clauses and contingent rent provisions for percentage of sales in excess of specified levels. Most of our lease agreements include renewal periods at the Company’s option. We recognize rent holiday periods and scheduled rent increases on a straight-line basis over the lease term beginning with the date the Company takes possession of the leased space for construction and other purposes. We record tenant improvement allowances and rent holidays as deferred rent liabilities and amortize the deferred rent over the terms of the lease to rent. We record rent liabilities for contingent percentage of sales lease provisions when we determine that it is probable that the specified levels will be reached during the fiscal year. </t>
  </si>
  <si>
    <t xml:space="preserve">Goodwill consists of the excess of cost of acquired enterprises over the sum of the amounts assigned to identifiable assets acquired less liabilities assumed. Goodwill is reviewed for impairment annually, or more frequently if impairment indicators arise, on a reporting unit level. We allocate goodwill to one reporting unit for goodwill impairment testing. We determine fair value utilizing both a market value method and discounted projected future cash flows compared to our carrying value for the purpose of identifying impairment. Our annual impairment review requires extensive use of accounting judgment and financial estimates. Application of alternative assumptions and definitions, such as reviewing goodwill for impairment at a different organizational level, could produce significantly different results. </t>
  </si>
  <si>
    <t xml:space="preserve">Intangible Assets </t>
  </si>
  <si>
    <t xml:space="preserve">Intangible assets include acquired leasehold rights, liquor licenses, license agreements, non-competition agreements and debt issuance costs. Indefinite-lived intangible assets are reviewed for impairment annually, or more frequently if impairment indicators arise. We amortize definite-lived intangible assets on a straight-line basis over the life of the related agreement, currently one to 48 years for contract-based intangible assets and one to five years for marketing-related and other identifiable intangible assets. </t>
  </si>
  <si>
    <t xml:space="preserve">Impairment of Long-Lived Assets and Long-Lived Assets to be Disposed of </t>
  </si>
  <si>
    <t xml:space="preserve">We evaluate long-lived assets and identifiable intangibles for impairment whenever events or changes in circumstances indicate that the carrying amount of an asset may not be recoverable. Recoverability of assets to be held and used is measured by a comparison of the carrying amount of an asset to future undiscounted cash flows expected to be generated by the asset. If such assets are considered to be impaired, the impairment to be recognized is measured by the amount by which the carrying amount of the assets exceeds the fair value of the assets. Assets to be disposed of are reported at the lower of the carrying amount or fair value less costs to sell. When the Company commits to relocate a location, a charge to write down the related assets to their estimated net recoverable value is included in the “Pre-opening and relocation costs” line item in the Consolidated Statements of Operations. </t>
  </si>
  <si>
    <t xml:space="preserve">Fair Value of Financial Instruments </t>
  </si>
  <si>
    <t xml:space="preserve">The carrying amounts of cash and cash equivalents, trade accounts receivable, trade accounts payable, accrued payroll, bonuses and team member benefits, and other accrued expenses approximate fair value because of the short maturity of those instruments. Investments are stated at fair value with unrealized gains and losses included as a component of shareholders’ equity until realized. </t>
  </si>
  <si>
    <t xml:space="preserve">The fair value of convertible subordinated debentures is estimated using quoted market prices. The fair value of senior unsecured notes is estimated by discounting the future cash flows at the rates currently available to us for similar debt instruments of comparable maturities. Carrying amounts and estimated fair values of our financial instruments other than those for which carrying amounts approximate fair values as noted above are as follows (in thousands): </t>
  </si>
  <si>
    <t>Carrying</t>
  </si>
  <si>
    <t xml:space="preserve">Amount </t>
  </si>
  <si>
    <t>Estimated Fair</t>
  </si>
  <si>
    <t xml:space="preserve">Value </t>
  </si>
  <si>
    <t xml:space="preserve">Convertible subordinated debentures </t>
  </si>
  <si>
    <t xml:space="preserve">Senior unsecured notes </t>
  </si>
  <si>
    <t xml:space="preserve">Insurance and Self-Insurance Reserves </t>
  </si>
  <si>
    <t xml:space="preserve">The Company uses a combination of insurance and self-insurance plans to provide for the potential liabilities for workers’ compensation, general liability, property insurance, director and officers’ liability insurance, vehicle liability and employee health care benefits. Liabilities associated with the risks that are retained by the Company are estimated, in part, by considering historical claims experience, demographic factors, severity factors and other actuarial assumptions. While we believe that our assumptions are appropriate, the estimated accruals for these liabilities could be significantly affected if future occurrences and claims differ from these assumptions and historical trends. </t>
  </si>
  <si>
    <t xml:space="preserve">Revenue Recognition </t>
  </si>
  <si>
    <t xml:space="preserve">We recognize revenue for sales of our products at the point of sale. Discounts provided to customers at the point of sale are recognized as a reduction in sales as the products are sold. </t>
  </si>
  <si>
    <t xml:space="preserve">Cost of Goods Sold and Occupancy Costs </t>
  </si>
  <si>
    <t xml:space="preserve">Cost of goods sold includes cost of inventory sold during the period, net of discounts and allowances, contribution from non-retail distribution and food preparation operations, shipping and handling costs and occupancy costs. The Company receives various rebates from third party vendors in the form of quantity discounts and payments under cooperative advertising agreements. Quantity discounts and co-operative advertising discounts in excess of identifiable advertising costs are recognized as a reduction of cost of goods sold when the related merchandise is sold. </t>
  </si>
  <si>
    <t xml:space="preserve">Advertising </t>
  </si>
  <si>
    <t xml:space="preserve">Advertising and marketing expense for fiscal years 2006, 2005 and 2004 was approximately $24.0 million, $20.1 million and $17.4 million, respectively. These amounts are shown net of vendor allowances received for co-operative advertising of approximately $1.2 million, $1.2 million and $1.0 million in fiscal years 2006, 2005 and 2004, respectively. Advertising costs are charged to expense as incurred and are included in the “Direct store expenses” line item in the Consolidated Statements of Operations. </t>
  </si>
  <si>
    <t xml:space="preserve">Pre-opening and Relocation Costs </t>
  </si>
  <si>
    <t xml:space="preserve">Pre-opening costs include rent expense incurred during construction of new stores and costs related to new store openings including costs associated with hiring and training personnel, smallwares, supplies and other miscellaneous costs. Rent expense is generally incurred approximately nine months prior to a store’s opening date. Other pre-opening costs are incurred primarily in the 30 days prior to a new store opening. Pre-opening costs are expensed as incurred. Relocation costs, which consist of moving costs, remaining lease payments, accelerated depreciation costs, asset impairment costs, other costs associated with replaced facilities and other related expenses, are expensed as incurred. </t>
  </si>
  <si>
    <t xml:space="preserve">Share-Based Compensation </t>
  </si>
  <si>
    <t xml:space="preserve">Our Company maintains several share-based incentive plans. We grant options to purchase common stock under our 1992 Stock Option Plans, as amended. Under these plans, options are granted at an option price equal to the market value of the stock at the grant date and are generally exercisable ratably over a four-year period beginning one year from grant date and have a five-year term. The grant date is established once the Company’s Board of Directors approves the grant and all key terms have been determined. The exercise prices of our stock option grants are the closing price on the grant date. Stock option grant terms and conditions are communicated to team members within a relatively short period of time. Our Board of Directors generally approves one primary stock option grant annually with a grant date that occurs during a trading window. Our Company offers a team member stock purchase plan to all full-time team members with a minimum of 400 hours of </t>
  </si>
  <si>
    <t xml:space="preserve">service. Under this plan, participating team members may purchase our common stock each calendar quarter through payroll deductions. Participants in the stock purchase plan may elect to purchase unrestricted shares at 100 percent of market value or restricted shares at 85 percent of market value on the purchase date. </t>
  </si>
  <si>
    <t xml:space="preserve">Prior to the effective date of revised Statement of Financial Accounting Standards (“SFAS”) No. 123R, “Share-Based Payment,” the Company applied Accounting Principles Board Opinion No. 25 (“APB No. 25”), “Accounting for Stock Issued to Employees” and related interpretations for our stock option grants. APB No. 25 provides that the compensation expense relative to our team member stock options is measured based on the intrinsic value of the stock option at date of grant. </t>
  </si>
  <si>
    <t xml:space="preserve">Effective the beginning of the first quarter of fiscal year 2006, the Company adopted the provisions of SFAS No. 123R using the modified prospective transition method. Under this method, prior periods were not restated. The Company’s methods used to determine share-based compensation, which includes the utilization of the Black-Scholes option pricing model, requires extensive use of accounting judgment and financial estimates, including estimates of the expected term team members will retain their vested stock options before exercising them, the estimated volatility of the Company’s common stock price over the expected term, and the number of options that will be forfeited prior to the completion of their vesting requirements. The related share-based compensation expense is recognized on a straight-line basis over the vesting period. Application of alternative assumptions could produce significantly different estimates of the fair value of share-based compensation and consequently, the related amounts recognized in the Consolidated Statements of Operations. The provisions of SFAS No. 123R apply to new stock options and stock options outstanding, but not yet vested, on the effective date. </t>
  </si>
  <si>
    <t xml:space="preserve">SFAS No. 123R requires the Company to value unvested stock options granted prior to its adoption of SFAS No. 123 under the fair value method and expense these amounts in the income statement over the stock option’s remaining vesting period. In the fourth quarter of fiscal year 2005, the Company accelerated the vesting of all outstanding stock options, except options held by the members of the executive team and certain options held by team members in the United Kingdom, in order to prevent past option grants from having an impact on future results. The Company intends to keep its broad-based stock option program in place, but also intends to limit the number of shares granted in any one year so that annual earnings per share dilution from equity-based compensation expense will not exceed 10%. </t>
  </si>
  <si>
    <t xml:space="preserve">Prior to the adoption of SFAS No. 123R, the Company presented the tax savings resulting from tax deductions resulting from the exercise of stock options as an operating cash flow, in accordance with Emerging Issues Task Force (“EITF”) Issue No. 00-15, “Classification in the Statement of Cash Flows of the Income Tax Benefit Received by a Company upon Exercise of a Nonqualified Employee Stock Option.” SFAS No. 123R requires the Company to reflect gross tax savings resulting from tax deductions in excess of expense reflected in its financial statements, including pro forma amounts, as a financing cash flow. </t>
  </si>
  <si>
    <t xml:space="preserve">In November 2005, the FASB issued Staff Position No. FAS 123R-3, “Transition Election Related to Accounting for the Tax Effects of the Share-Based Payment Awards” (“FSP FAS 123R-3”). The Company has elected to adopt the transition guidance for the additional paid-in-capital pool (“APIC pool”) pool in paragraph 81 of SFAS No. 123R. The prescribed transition method is a detailed method to establish the beginning balance of the APIC pool related to the tax effects of share-based compensation, and to determine the subsequent impact on the APIC pool and Consolidated Statement of Cash Flows of the tax effects of share-based compensation awards that are outstanding upon adoption of SFAS No. 123R. </t>
  </si>
  <si>
    <t xml:space="preserve">Income Taxes </t>
  </si>
  <si>
    <t xml:space="preserve">We recognize deferred income tax assets and liabilities by applying statutory tax rates in effect at the balance sheet date to differences between the book basis and the tax basis of assets and liabilities. Deferred tax assets and liabilities are measured using enacted tax rates expected to apply to taxable income in the years in which those temporary differences are expected to reverse. Deferred tax assets and liabilities are adjusted to reflect changes in tax laws or rates in the period that includes the enactment date. Significant accounting judgment is required in determining the provision for income taxes and related accruals, deferred tax assets and liabilities. In the ordinary course of business, there are transactions and calculations where the ultimate tax outcome is uncertain. In addition, we are subject to periodic audits and examinations by the IRS and other state and local taxing authorities. Although we believe that our estimates are reasonable, actual results could differ from these estimates. </t>
  </si>
  <si>
    <t xml:space="preserve">Earnings per Share </t>
  </si>
  <si>
    <t xml:space="preserve">Basic earnings per share is based on the weighted average number of common shares outstanding during the fiscal period. Diluted earnings per share is based on the weighted average number of common shares outstanding plus, where applicable, the additional common shares that would have been outstanding as a result of the conversion of dilutive options and convertible debt. </t>
  </si>
  <si>
    <t xml:space="preserve">Comprehensive Income </t>
  </si>
  <si>
    <t>Long Term Debt Issued To Pay Off Short Term Debt</t>
  </si>
  <si>
    <t>LTD traded for CL, CA/CL goes up.</t>
  </si>
  <si>
    <t>Before LTD issued</t>
  </si>
  <si>
    <t>After LTD issued</t>
  </si>
  <si>
    <t>Take out LTD for $1 to pay off CL of $1.</t>
  </si>
  <si>
    <t>CL (CL down $1)</t>
  </si>
  <si>
    <t>CL down $1</t>
  </si>
  <si>
    <t>CA (No Change)</t>
  </si>
  <si>
    <t>TL/E = D/E</t>
  </si>
  <si>
    <t>Interest</t>
  </si>
  <si>
    <t>Total Liability = TL = D</t>
  </si>
  <si>
    <t>Total Assets = TA = A</t>
  </si>
  <si>
    <t>Total Equity = TE = E</t>
  </si>
  <si>
    <t>D/A</t>
  </si>
  <si>
    <t>A</t>
  </si>
  <si>
    <t>Inv</t>
  </si>
  <si>
    <t xml:space="preserve">Note About Ratio Analysis For the B/S numbers: </t>
  </si>
  <si>
    <t>If you are looking forward (into future, like finance does), it may be best to use End Numbers</t>
  </si>
  <si>
    <t>If you are looking backward (into past, like accounting aoften does), it may be best to use (End + Beg)/2, an average amount.</t>
  </si>
  <si>
    <t>Return On Asset = NI/A</t>
  </si>
  <si>
    <t>Return On Equity = NI/E</t>
  </si>
  <si>
    <t>Shares outstanding on Sep 24, 2006</t>
  </si>
  <si>
    <t>MV 1 share on Sep 24, 2006</t>
  </si>
  <si>
    <t>NI/Shares outstanding on Sep 24, 2006 =</t>
  </si>
  <si>
    <t>Max company can grow with no external financing</t>
  </si>
  <si>
    <t>Max company can grow with no external financing except to keep constant D/E ratio</t>
  </si>
  <si>
    <t>NI 2006</t>
  </si>
  <si>
    <t>Div Paid in 2006</t>
  </si>
  <si>
    <t>Book Value Equity 2006</t>
  </si>
  <si>
    <t>Asset TurnOver</t>
  </si>
  <si>
    <t>Sales/Asset</t>
  </si>
  <si>
    <t>Asset/Equity</t>
  </si>
  <si>
    <t>2006 WholeFoods</t>
  </si>
  <si>
    <t>$2CA/$1CL</t>
  </si>
  <si>
    <t>For every $1 of CL we have $2 of CA.</t>
  </si>
  <si>
    <t>$0.04 NI/ $1 Sales</t>
  </si>
  <si>
    <t>For every $1 that comes in the door, $0.04 is the profit</t>
  </si>
  <si>
    <t>Although cash is 3 times bigger in 2008, as a percent of total assets in 2001 it was 10%, but in 2008 it was only 12%.</t>
  </si>
  <si>
    <t>Although MSFT has twice as much cash as GOOG, MSFT has only 37% of its assets in cash, compared to GOOG's 58%</t>
  </si>
  <si>
    <t>$2 Assets / $1 Equity</t>
  </si>
  <si>
    <r>
      <rPr>
        <sz val="11"/>
        <color indexed="8"/>
        <rFont val="Calibri"/>
        <family val="2"/>
      </rPr>
      <t>£</t>
    </r>
    <r>
      <rPr>
        <sz val="11"/>
        <color theme="1"/>
        <rFont val="Calibri"/>
        <family val="2"/>
        <scheme val="minor"/>
      </rPr>
      <t>2 Assets / £1 Equity</t>
    </r>
  </si>
  <si>
    <t>Both companies are equally leveraged = 2 asset for 1 equity</t>
  </si>
  <si>
    <t>Video</t>
  </si>
  <si>
    <t>Redo?</t>
  </si>
  <si>
    <t>Short about Common Sized Income Statement Spilled Formula</t>
  </si>
  <si>
    <t>Extra =&gt;</t>
  </si>
  <si>
    <t>Short about Common Sized Balanced Spilled Formula</t>
  </si>
  <si>
    <t>If you are looking backward (into past, like accounting often does), it may be best to use (End + Beg)/2, an average amount.</t>
  </si>
  <si>
    <t>COGS/Inv</t>
  </si>
  <si>
    <t>Return on Equity</t>
  </si>
  <si>
    <t>Net Income/Equity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</si>
</sst>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6" formatCode="&quot;$&quot;#,##0_);[Red]\(&quot;$&quot;#,##0\)"/>
    <numFmt numFmtId="8" formatCode="&quot;$&quot;#,##0.00_);[Red]\(&quot;$&quot;#,##0.00\)"/>
    <numFmt numFmtId="44" formatCode="_(&quot;$&quot;* #,##0.00_);_(&quot;$&quot;* \(#,##0.00\);_(&quot;$&quot;* &quot;-&quot;??_);_(@_)"/>
    <numFmt numFmtId="43" formatCode="_(* #,##0.00_);_(* \(#,##0.00\);_(* &quot;-&quot;??_);_(@_)"/>
    <numFmt numFmtId="164" formatCode="[$-F800]dddd\,\ mmmm\ dd\,\ yyyy"/>
    <numFmt numFmtId="165" formatCode="_(* #,##0.0000_);_(* \(#,##0.0000\);_(* &quot;-&quot;??_);_(@_)"/>
    <numFmt numFmtId="166" formatCode="&quot;$&quot;#,##0.000_);[Red]\(&quot;$&quot;#,##0.000\)"/>
    <numFmt numFmtId="167" formatCode="mmm\ d\,\ yyyy"/>
    <numFmt numFmtId="168" formatCode="#\ ?/10"/>
    <numFmt numFmtId="169" formatCode="#\ ?/8"/>
    <numFmt numFmtId="170" formatCode="##/8"/>
    <numFmt numFmtId="171" formatCode="#/5"/>
    <numFmt numFmtId="172" formatCode="#/10"/>
    <numFmt numFmtId="173" formatCode="#/2"/>
    <numFmt numFmtId="174" formatCode="0.00000"/>
    <numFmt numFmtId="175" formatCode="#/#"/>
    <numFmt numFmtId="176" formatCode="&quot;$&quot;?&quot;CA&quot;/&quot;$&quot;1&quot;CL&quot;"/>
    <numFmt numFmtId="177" formatCode="_(* #,##0.000000_);_(* \(#,##0.000000\);_(* &quot;-&quot;??_);_(@_)"/>
    <numFmt numFmtId="178" formatCode="&quot;$&quot;0.00&quot;NI/$1NS&quot;"/>
    <numFmt numFmtId="179" formatCode="0\ &quot;B.&quot;"/>
    <numFmt numFmtId="180" formatCode="_-[$£-809]* #,##0.00_-;\-[$£-809]* #,##0.00_-;_-[$£-809]* &quot;-&quot;??_-;_-@_-"/>
    <numFmt numFmtId="181" formatCode="&quot;$&quot;0&quot;/$1&quot;"/>
    <numFmt numFmtId="182" formatCode="_(* #,##0.0000000_);_(* \(#,##0.0000000\);_(* &quot;-&quot;??_);_(@_)"/>
    <numFmt numFmtId="183" formatCode="&quot;$&quot;#,##0.00"/>
  </numFmts>
  <fonts count="36" x14ac:knownFonts="1">
    <font>
      <sz val="11"/>
      <color theme="1"/>
      <name val="Calibri"/>
      <family val="2"/>
      <scheme val="minor"/>
    </font>
    <font>
      <sz val="11"/>
      <color indexed="8"/>
      <name val="Calibri"/>
      <family val="2"/>
    </font>
    <font>
      <sz val="10"/>
      <color indexed="8"/>
      <name val="Times New Roman"/>
      <family val="1"/>
    </font>
    <font>
      <i/>
      <sz val="10"/>
      <color indexed="8"/>
      <name val="Times New Roman"/>
      <family val="1"/>
    </font>
    <font>
      <sz val="10"/>
      <name val="Arial"/>
      <family val="2"/>
    </font>
    <font>
      <b/>
      <sz val="10"/>
      <color indexed="9"/>
      <name val="Arial"/>
      <family val="2"/>
    </font>
    <font>
      <b/>
      <sz val="10"/>
      <color indexed="9"/>
      <name val="Arial"/>
      <family val="2"/>
    </font>
    <font>
      <b/>
      <sz val="20"/>
      <color indexed="9"/>
      <name val="Arial"/>
      <family val="2"/>
    </font>
    <font>
      <sz val="10"/>
      <name val="Wingdings"/>
      <charset val="2"/>
    </font>
    <font>
      <b/>
      <sz val="12"/>
      <color indexed="9"/>
      <name val="Arial"/>
      <family val="2"/>
    </font>
    <font>
      <b/>
      <sz val="10"/>
      <name val="Arial"/>
      <family val="2"/>
    </font>
    <font>
      <b/>
      <sz val="12"/>
      <name val="Arial"/>
      <family val="2"/>
    </font>
    <font>
      <sz val="11"/>
      <color indexed="8"/>
      <name val="Calibri"/>
      <family val="2"/>
    </font>
    <font>
      <sz val="11"/>
      <color indexed="9"/>
      <name val="Calibri"/>
      <family val="2"/>
    </font>
    <font>
      <b/>
      <sz val="11"/>
      <color indexed="8"/>
      <name val="Calibri"/>
      <family val="2"/>
    </font>
    <font>
      <sz val="10"/>
      <color indexed="8"/>
      <name val="Times New Roman"/>
      <family val="1"/>
    </font>
    <font>
      <sz val="7.5"/>
      <color indexed="8"/>
      <name val="Calibri"/>
      <family val="2"/>
    </font>
    <font>
      <b/>
      <sz val="10"/>
      <color indexed="8"/>
      <name val="Times New Roman"/>
      <family val="1"/>
    </font>
    <font>
      <sz val="9"/>
      <color indexed="8"/>
      <name val="Calibri"/>
      <family val="2"/>
    </font>
    <font>
      <sz val="11"/>
      <color indexed="8"/>
      <name val="Calibri"/>
      <family val="2"/>
    </font>
    <font>
      <b/>
      <sz val="7.5"/>
      <color indexed="8"/>
      <name val="Times New Roman"/>
      <family val="1"/>
    </font>
    <font>
      <sz val="1"/>
      <color indexed="8"/>
      <name val="Calibri"/>
      <family val="2"/>
    </font>
    <font>
      <i/>
      <sz val="10"/>
      <color indexed="8"/>
      <name val="Times New Roman"/>
      <family val="1"/>
    </font>
    <font>
      <sz val="14"/>
      <color indexed="8"/>
      <name val="Calibri"/>
      <family val="2"/>
    </font>
    <font>
      <sz val="16"/>
      <color indexed="9"/>
      <name val="Calibri"/>
      <family val="2"/>
    </font>
    <font>
      <sz val="11"/>
      <name val="Calibri"/>
      <family val="2"/>
    </font>
    <font>
      <b/>
      <sz val="18"/>
      <color indexed="8"/>
      <name val="Calibri"/>
      <family val="2"/>
    </font>
    <font>
      <sz val="10"/>
      <color indexed="9"/>
      <name val="Arial"/>
      <family val="2"/>
    </font>
    <font>
      <sz val="8"/>
      <name val="Calibri"/>
      <family val="2"/>
    </font>
    <font>
      <sz val="11"/>
      <color theme="1"/>
      <name val="Calibri"/>
      <family val="2"/>
      <scheme val="minor"/>
    </font>
    <font>
      <sz val="11"/>
      <color theme="0"/>
      <name val="Calibri"/>
      <family val="2"/>
      <scheme val="minor"/>
    </font>
    <font>
      <u/>
      <sz val="11"/>
      <color theme="10"/>
      <name val="Calibri"/>
      <family val="2"/>
    </font>
    <font>
      <sz val="10"/>
      <color theme="0"/>
      <name val="Arial"/>
      <family val="2"/>
    </font>
    <font>
      <sz val="11"/>
      <name val="Calibri"/>
      <family val="2"/>
      <scheme val="minor"/>
    </font>
    <font>
      <b/>
      <sz val="11"/>
      <color theme="0"/>
      <name val="Calibri"/>
      <family val="2"/>
      <scheme val="minor"/>
    </font>
    <font>
      <b/>
      <sz val="9"/>
      <color indexed="81"/>
      <name val="Tahoma"/>
      <family val="2"/>
    </font>
  </fonts>
  <fills count="17">
    <fill>
      <patternFill patternType="none"/>
    </fill>
    <fill>
      <patternFill patternType="gray125"/>
    </fill>
    <fill>
      <patternFill patternType="solid">
        <fgColor indexed="10"/>
        <bgColor indexed="64"/>
      </patternFill>
    </fill>
    <fill>
      <patternFill patternType="solid">
        <fgColor indexed="13"/>
        <bgColor indexed="64"/>
      </patternFill>
    </fill>
    <fill>
      <patternFill patternType="solid">
        <fgColor indexed="12"/>
        <bgColor indexed="64"/>
      </patternFill>
    </fill>
    <fill>
      <patternFill patternType="solid">
        <fgColor indexed="8"/>
        <bgColor indexed="64"/>
      </patternFill>
    </fill>
    <fill>
      <patternFill patternType="solid">
        <fgColor indexed="27"/>
        <bgColor indexed="64"/>
      </patternFill>
    </fill>
    <fill>
      <patternFill patternType="solid">
        <fgColor indexed="18"/>
        <bgColor indexed="64"/>
      </patternFill>
    </fill>
    <fill>
      <patternFill patternType="solid">
        <fgColor indexed="41"/>
        <bgColor indexed="64"/>
      </patternFill>
    </fill>
    <fill>
      <patternFill patternType="solid">
        <fgColor indexed="42"/>
        <bgColor indexed="64"/>
      </patternFill>
    </fill>
    <fill>
      <patternFill patternType="solid">
        <fgColor rgb="FFFFFF00"/>
        <bgColor indexed="64"/>
      </patternFill>
    </fill>
    <fill>
      <patternFill patternType="solid">
        <fgColor rgb="FFCCFFCC"/>
        <bgColor indexed="64"/>
      </patternFill>
    </fill>
    <fill>
      <patternFill patternType="solid">
        <fgColor rgb="FF002060"/>
        <bgColor indexed="64"/>
      </patternFill>
    </fill>
    <fill>
      <patternFill patternType="solid">
        <fgColor rgb="FFFFFFCC"/>
        <bgColor indexed="64"/>
      </patternFill>
    </fill>
    <fill>
      <patternFill patternType="solid">
        <fgColor rgb="FFFFFF99"/>
        <bgColor indexed="64"/>
      </patternFill>
    </fill>
    <fill>
      <patternFill patternType="solid">
        <fgColor theme="4" tint="0.59999389629810485"/>
        <bgColor indexed="64"/>
      </patternFill>
    </fill>
    <fill>
      <patternFill patternType="solid">
        <fgColor theme="1"/>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double">
        <color indexed="64"/>
      </bottom>
      <diagonal/>
    </border>
    <border>
      <left/>
      <right/>
      <top/>
      <bottom style="medium">
        <color indexed="8"/>
      </bottom>
      <diagonal/>
    </border>
    <border>
      <left/>
      <right/>
      <top style="medium">
        <color indexed="8"/>
      </top>
      <bottom/>
      <diagonal/>
    </border>
    <border>
      <left/>
      <right/>
      <top style="double">
        <color indexed="8"/>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diagonal/>
    </border>
    <border>
      <left/>
      <right/>
      <top/>
      <bottom style="thin">
        <color indexed="64"/>
      </bottom>
      <diagonal/>
    </border>
    <border>
      <left/>
      <right/>
      <top/>
      <bottom style="double">
        <color indexed="64"/>
      </bottom>
      <diagonal/>
    </border>
    <border>
      <left/>
      <right/>
      <top style="thin">
        <color indexed="64"/>
      </top>
      <bottom style="double">
        <color indexed="64"/>
      </bottom>
      <diagonal/>
    </border>
    <border>
      <left/>
      <right/>
      <top/>
      <bottom style="thick">
        <color indexed="12"/>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9"/>
      </left>
      <right style="thin">
        <color indexed="9"/>
      </right>
      <top style="thin">
        <color indexed="9"/>
      </top>
      <bottom style="thin">
        <color indexed="9"/>
      </bottom>
      <diagonal/>
    </border>
    <border>
      <left/>
      <right/>
      <top style="medium">
        <color indexed="8"/>
      </top>
      <bottom style="medium">
        <color indexed="8"/>
      </bottom>
      <diagonal/>
    </border>
    <border>
      <left style="thin">
        <color indexed="64"/>
      </left>
      <right/>
      <top/>
      <bottom style="thin">
        <color indexed="64"/>
      </bottom>
      <diagonal/>
    </border>
    <border>
      <left/>
      <right style="thin">
        <color indexed="64"/>
      </right>
      <top/>
      <bottom style="thin">
        <color indexed="64"/>
      </bottom>
      <diagonal/>
    </border>
  </borders>
  <cellStyleXfs count="15">
    <xf numFmtId="0" fontId="0" fillId="0" borderId="0"/>
    <xf numFmtId="0" fontId="4" fillId="2" borderId="1">
      <alignment horizontal="centerContinuous"/>
    </xf>
    <xf numFmtId="0" fontId="4" fillId="0" borderId="0">
      <alignment horizontal="centerContinuous"/>
    </xf>
    <xf numFmtId="43" fontId="12" fillId="0" borderId="0" applyFont="0" applyFill="0" applyBorder="0" applyAlignment="0" applyProtection="0"/>
    <xf numFmtId="43" fontId="4" fillId="0" borderId="0" applyFont="0" applyFill="0" applyBorder="0" applyAlignment="0" applyProtection="0"/>
    <xf numFmtId="44" fontId="12" fillId="0" borderId="0" applyFont="0" applyFill="0" applyBorder="0" applyAlignment="0" applyProtection="0"/>
    <xf numFmtId="0" fontId="31" fillId="0" borderId="0" applyNumberFormat="0" applyFill="0" applyBorder="0" applyAlignment="0" applyProtection="0">
      <alignment vertical="top"/>
      <protection locked="0"/>
    </xf>
    <xf numFmtId="0" fontId="4" fillId="0" borderId="0"/>
    <xf numFmtId="9" fontId="12" fillId="0" borderId="0" applyFont="0" applyFill="0" applyBorder="0" applyAlignment="0" applyProtection="0"/>
    <xf numFmtId="9" fontId="4" fillId="0" borderId="0" applyFont="0" applyFill="0" applyBorder="0" applyAlignment="0" applyProtection="0"/>
    <xf numFmtId="10" fontId="4" fillId="0" borderId="0"/>
    <xf numFmtId="0" fontId="29" fillId="10" borderId="1"/>
    <xf numFmtId="0" fontId="5" fillId="4" borderId="1">
      <alignment horizontal="centerContinuous" wrapText="1"/>
    </xf>
    <xf numFmtId="0" fontId="4" fillId="0" borderId="0">
      <alignment wrapText="1"/>
    </xf>
    <xf numFmtId="0" fontId="29" fillId="10" borderId="1">
      <alignment horizontal="centerContinuous" wrapText="1"/>
    </xf>
  </cellStyleXfs>
  <cellXfs count="280">
    <xf numFmtId="0" fontId="0" fillId="0" borderId="0" xfId="0"/>
    <xf numFmtId="0" fontId="0" fillId="0" borderId="0" xfId="0" applyAlignment="1">
      <alignment wrapText="1"/>
    </xf>
    <xf numFmtId="0" fontId="0" fillId="0" borderId="1" xfId="0" applyBorder="1"/>
    <xf numFmtId="3" fontId="0" fillId="0" borderId="1" xfId="0" applyNumberFormat="1" applyBorder="1"/>
    <xf numFmtId="43" fontId="12" fillId="0" borderId="1" xfId="3" applyFont="1" applyBorder="1"/>
    <xf numFmtId="43" fontId="12" fillId="0" borderId="2" xfId="3" applyFont="1" applyBorder="1"/>
    <xf numFmtId="43" fontId="12" fillId="0" borderId="3" xfId="3" applyFont="1" applyBorder="1"/>
    <xf numFmtId="43" fontId="12" fillId="0" borderId="4" xfId="3" applyFont="1" applyBorder="1"/>
    <xf numFmtId="43" fontId="0" fillId="0" borderId="0" xfId="0" applyNumberFormat="1"/>
    <xf numFmtId="43" fontId="0" fillId="0" borderId="3" xfId="0" applyNumberFormat="1" applyBorder="1"/>
    <xf numFmtId="0" fontId="13" fillId="4" borderId="1" xfId="0" applyFont="1" applyFill="1" applyBorder="1" applyAlignment="1">
      <alignment horizontal="centerContinuous" wrapText="1"/>
    </xf>
    <xf numFmtId="0" fontId="13" fillId="5" borderId="1" xfId="0" applyFont="1" applyFill="1" applyBorder="1" applyAlignment="1">
      <alignment horizontal="centerContinuous" wrapText="1"/>
    </xf>
    <xf numFmtId="0" fontId="13" fillId="4" borderId="1" xfId="0" applyFont="1" applyFill="1" applyBorder="1"/>
    <xf numFmtId="0" fontId="13" fillId="4" borderId="2" xfId="0" applyFont="1" applyFill="1" applyBorder="1"/>
    <xf numFmtId="0" fontId="13" fillId="4" borderId="3" xfId="0" applyFont="1" applyFill="1" applyBorder="1"/>
    <xf numFmtId="0" fontId="13" fillId="4" borderId="4" xfId="0" applyFont="1" applyFill="1" applyBorder="1"/>
    <xf numFmtId="164" fontId="13" fillId="4" borderId="1" xfId="0" applyNumberFormat="1" applyFont="1" applyFill="1" applyBorder="1"/>
    <xf numFmtId="3" fontId="0" fillId="0" borderId="0" xfId="0" applyNumberFormat="1"/>
    <xf numFmtId="0" fontId="13" fillId="5" borderId="1" xfId="0" applyFont="1" applyFill="1" applyBorder="1" applyAlignment="1">
      <alignment horizontal="centerContinuous"/>
    </xf>
    <xf numFmtId="164" fontId="13" fillId="4" borderId="1" xfId="0" applyNumberFormat="1" applyFont="1" applyFill="1" applyBorder="1" applyAlignment="1">
      <alignment wrapText="1"/>
    </xf>
    <xf numFmtId="6" fontId="0" fillId="0" borderId="1" xfId="0" applyNumberFormat="1" applyBorder="1"/>
    <xf numFmtId="0" fontId="15" fillId="0" borderId="0" xfId="0" applyFont="1" applyAlignment="1">
      <alignment horizontal="left" vertical="top" wrapText="1" indent="3"/>
    </xf>
    <xf numFmtId="0" fontId="16" fillId="0" borderId="0" xfId="0" applyFont="1" applyAlignment="1">
      <alignment wrapText="1"/>
    </xf>
    <xf numFmtId="0" fontId="15" fillId="0" borderId="0" xfId="0" applyFont="1" applyAlignment="1">
      <alignment wrapText="1"/>
    </xf>
    <xf numFmtId="3" fontId="15" fillId="0" borderId="0" xfId="0" applyNumberFormat="1" applyFont="1" applyAlignment="1">
      <alignment horizontal="right" wrapText="1"/>
    </xf>
    <xf numFmtId="0" fontId="15" fillId="0" borderId="0" xfId="0" applyFont="1"/>
    <xf numFmtId="0" fontId="17" fillId="0" borderId="0" xfId="0" applyFont="1"/>
    <xf numFmtId="0" fontId="18" fillId="0" borderId="0" xfId="0" applyFont="1"/>
    <xf numFmtId="0" fontId="19" fillId="0" borderId="0" xfId="0" applyFont="1" applyAlignment="1">
      <alignment wrapText="1"/>
    </xf>
    <xf numFmtId="0" fontId="20" fillId="0" borderId="0" xfId="0" applyFont="1" applyAlignment="1">
      <alignment horizontal="center" wrapText="1"/>
    </xf>
    <xf numFmtId="0" fontId="20" fillId="0" borderId="5" xfId="0" applyFont="1" applyBorder="1" applyAlignment="1">
      <alignment horizontal="center" wrapText="1"/>
    </xf>
    <xf numFmtId="0" fontId="17" fillId="6" borderId="0" xfId="0" applyFont="1" applyFill="1" applyAlignment="1">
      <alignment horizontal="left" vertical="top" wrapText="1" indent="1"/>
    </xf>
    <xf numFmtId="0" fontId="16" fillId="6" borderId="0" xfId="0" applyFont="1" applyFill="1" applyAlignment="1">
      <alignment wrapText="1"/>
    </xf>
    <xf numFmtId="0" fontId="19" fillId="6" borderId="0" xfId="0" applyFont="1" applyFill="1" applyAlignment="1">
      <alignment wrapText="1"/>
    </xf>
    <xf numFmtId="0" fontId="15" fillId="0" borderId="0" xfId="0" applyFont="1" applyAlignment="1">
      <alignment horizontal="left" vertical="top" wrapText="1" indent="1"/>
    </xf>
    <xf numFmtId="0" fontId="15" fillId="6" borderId="0" xfId="0" applyFont="1" applyFill="1" applyAlignment="1">
      <alignment horizontal="left" vertical="top" wrapText="1" indent="1"/>
    </xf>
    <xf numFmtId="0" fontId="15" fillId="6" borderId="0" xfId="0" applyFont="1" applyFill="1" applyAlignment="1">
      <alignment wrapText="1"/>
    </xf>
    <xf numFmtId="3" fontId="15" fillId="6" borderId="0" xfId="0" applyNumberFormat="1" applyFont="1" applyFill="1" applyAlignment="1">
      <alignment horizontal="right" wrapText="1"/>
    </xf>
    <xf numFmtId="0" fontId="15" fillId="6" borderId="0" xfId="0" applyFont="1" applyFill="1"/>
    <xf numFmtId="0" fontId="15" fillId="0" borderId="0" xfId="0" applyFont="1" applyAlignment="1">
      <alignment horizontal="right" wrapText="1"/>
    </xf>
    <xf numFmtId="0" fontId="21" fillId="0" borderId="0" xfId="0" applyFont="1" applyAlignment="1">
      <alignment wrapText="1"/>
    </xf>
    <xf numFmtId="0" fontId="21" fillId="0" borderId="6" xfId="0" applyFont="1" applyBorder="1" applyAlignment="1">
      <alignment wrapText="1"/>
    </xf>
    <xf numFmtId="0" fontId="21" fillId="0" borderId="7" xfId="0" applyFont="1" applyBorder="1" applyAlignment="1">
      <alignment wrapText="1"/>
    </xf>
    <xf numFmtId="0" fontId="17" fillId="6" borderId="0" xfId="0" applyFont="1" applyFill="1" applyAlignment="1">
      <alignment vertical="top" wrapText="1"/>
    </xf>
    <xf numFmtId="0" fontId="15" fillId="6" borderId="0" xfId="0" applyFont="1" applyFill="1" applyAlignment="1">
      <alignment horizontal="right" wrapText="1"/>
    </xf>
    <xf numFmtId="0" fontId="22" fillId="0" borderId="0" xfId="0" applyFont="1"/>
    <xf numFmtId="0" fontId="16" fillId="0" borderId="0" xfId="0" applyFont="1"/>
    <xf numFmtId="0" fontId="15" fillId="0" borderId="0" xfId="0" applyFont="1" applyAlignment="1">
      <alignment horizontal="center"/>
    </xf>
    <xf numFmtId="0" fontId="31" fillId="0" borderId="0" xfId="6" applyAlignment="1" applyProtection="1">
      <alignment horizontal="left"/>
    </xf>
    <xf numFmtId="0" fontId="15" fillId="6" borderId="0" xfId="0" applyFont="1" applyFill="1" applyAlignment="1">
      <alignment horizontal="left" vertical="top" wrapText="1" indent="3"/>
    </xf>
    <xf numFmtId="0" fontId="15" fillId="0" borderId="0" xfId="0" applyFont="1" applyAlignment="1">
      <alignment horizontal="left" vertical="top" wrapText="1" indent="5"/>
    </xf>
    <xf numFmtId="0" fontId="15" fillId="6" borderId="0" xfId="0" applyFont="1" applyFill="1" applyAlignment="1">
      <alignment horizontal="left" vertical="top" wrapText="1" indent="5"/>
    </xf>
    <xf numFmtId="0" fontId="13" fillId="4" borderId="8" xfId="0" applyFont="1" applyFill="1" applyBorder="1"/>
    <xf numFmtId="3" fontId="0" fillId="0" borderId="8" xfId="0" applyNumberFormat="1" applyBorder="1"/>
    <xf numFmtId="0" fontId="19" fillId="6" borderId="0" xfId="0" applyFont="1" applyFill="1" applyAlignment="1">
      <alignment vertical="top" wrapText="1"/>
    </xf>
    <xf numFmtId="0" fontId="23" fillId="0" borderId="0" xfId="0" applyFont="1"/>
    <xf numFmtId="0" fontId="17" fillId="0" borderId="0" xfId="0" applyFont="1" applyAlignment="1">
      <alignment horizontal="left" vertical="top" wrapText="1"/>
    </xf>
    <xf numFmtId="0" fontId="19" fillId="0" borderId="0" xfId="0" applyFont="1" applyAlignment="1">
      <alignment vertical="top" wrapText="1"/>
    </xf>
    <xf numFmtId="0" fontId="22" fillId="6" borderId="0" xfId="0" applyFont="1" applyFill="1" applyAlignment="1">
      <alignment horizontal="left" vertical="top" wrapText="1" indent="1"/>
    </xf>
    <xf numFmtId="15" fontId="15" fillId="6" borderId="0" xfId="0" applyNumberFormat="1" applyFont="1" applyFill="1" applyAlignment="1">
      <alignment horizontal="right" wrapText="1"/>
    </xf>
    <xf numFmtId="15" fontId="15" fillId="0" borderId="0" xfId="0" applyNumberFormat="1" applyFont="1" applyAlignment="1">
      <alignment horizontal="right" wrapText="1"/>
    </xf>
    <xf numFmtId="0" fontId="22" fillId="0" borderId="0" xfId="0" applyFont="1" applyAlignment="1">
      <alignment horizontal="left" vertical="top" wrapText="1" indent="1"/>
    </xf>
    <xf numFmtId="0" fontId="0" fillId="0" borderId="5" xfId="0" applyBorder="1" applyAlignment="1">
      <alignment horizontal="center" wrapText="1"/>
    </xf>
    <xf numFmtId="8" fontId="15" fillId="6" borderId="0" xfId="0" applyNumberFormat="1" applyFont="1" applyFill="1" applyAlignment="1">
      <alignment vertical="top" wrapText="1"/>
    </xf>
    <xf numFmtId="0" fontId="15" fillId="0" borderId="0" xfId="0" applyFont="1" applyAlignment="1">
      <alignment vertical="top" wrapText="1"/>
    </xf>
    <xf numFmtId="0" fontId="15" fillId="6" borderId="0" xfId="0" applyFont="1" applyFill="1" applyAlignment="1">
      <alignment vertical="top" wrapText="1"/>
    </xf>
    <xf numFmtId="0" fontId="17" fillId="0" borderId="0" xfId="0" applyFont="1" applyAlignment="1">
      <alignment horizontal="center"/>
    </xf>
    <xf numFmtId="3" fontId="0" fillId="0" borderId="4" xfId="0" applyNumberFormat="1" applyBorder="1"/>
    <xf numFmtId="0" fontId="13" fillId="4" borderId="9" xfId="0" applyFont="1" applyFill="1" applyBorder="1"/>
    <xf numFmtId="3" fontId="0" fillId="0" borderId="9" xfId="0" applyNumberFormat="1" applyBorder="1"/>
    <xf numFmtId="0" fontId="13" fillId="4" borderId="1" xfId="0" applyFont="1" applyFill="1" applyBorder="1" applyAlignment="1">
      <alignment horizontal="left"/>
    </xf>
    <xf numFmtId="3" fontId="0" fillId="0" borderId="10" xfId="0" applyNumberFormat="1" applyBorder="1"/>
    <xf numFmtId="0" fontId="13" fillId="5" borderId="1" xfId="0" applyFont="1" applyFill="1" applyBorder="1" applyAlignment="1">
      <alignment horizontal="center"/>
    </xf>
    <xf numFmtId="0" fontId="13" fillId="4" borderId="10" xfId="0" applyFont="1" applyFill="1" applyBorder="1"/>
    <xf numFmtId="0" fontId="13" fillId="5" borderId="3" xfId="0" applyFont="1" applyFill="1" applyBorder="1" applyAlignment="1">
      <alignment horizontal="center"/>
    </xf>
    <xf numFmtId="0" fontId="0" fillId="0" borderId="3" xfId="0" applyBorder="1"/>
    <xf numFmtId="10" fontId="0" fillId="0" borderId="1" xfId="0" applyNumberFormat="1" applyBorder="1"/>
    <xf numFmtId="0" fontId="31" fillId="0" borderId="0" xfId="6" applyAlignment="1" applyProtection="1"/>
    <xf numFmtId="8" fontId="0" fillId="0" borderId="1" xfId="0" applyNumberFormat="1" applyBorder="1"/>
    <xf numFmtId="0" fontId="0" fillId="0" borderId="1" xfId="0" applyBorder="1" applyAlignment="1">
      <alignment wrapText="1"/>
    </xf>
    <xf numFmtId="3" fontId="0" fillId="0" borderId="1" xfId="0" applyNumberFormat="1" applyBorder="1" applyAlignment="1">
      <alignment wrapText="1"/>
    </xf>
    <xf numFmtId="6" fontId="0" fillId="0" borderId="1" xfId="0" applyNumberFormat="1" applyBorder="1" applyAlignment="1">
      <alignment wrapText="1"/>
    </xf>
    <xf numFmtId="166" fontId="0" fillId="0" borderId="1" xfId="0" applyNumberFormat="1" applyBorder="1" applyAlignment="1">
      <alignment wrapText="1"/>
    </xf>
    <xf numFmtId="43" fontId="0" fillId="0" borderId="1" xfId="0" applyNumberFormat="1" applyBorder="1"/>
    <xf numFmtId="3" fontId="0" fillId="0" borderId="11" xfId="0" applyNumberFormat="1" applyBorder="1"/>
    <xf numFmtId="0" fontId="13" fillId="4" borderId="12" xfId="0" applyFont="1" applyFill="1" applyBorder="1" applyAlignment="1">
      <alignment horizontal="left"/>
    </xf>
    <xf numFmtId="43" fontId="12" fillId="0" borderId="12" xfId="3" applyFont="1" applyBorder="1"/>
    <xf numFmtId="43" fontId="0" fillId="0" borderId="8" xfId="0" applyNumberFormat="1" applyBorder="1"/>
    <xf numFmtId="167" fontId="13" fillId="4" borderId="1" xfId="0" applyNumberFormat="1" applyFont="1" applyFill="1" applyBorder="1" applyAlignment="1">
      <alignment wrapText="1"/>
    </xf>
    <xf numFmtId="10" fontId="12" fillId="0" borderId="1" xfId="8" applyNumberFormat="1" applyFont="1" applyBorder="1"/>
    <xf numFmtId="10" fontId="12" fillId="0" borderId="12" xfId="8" applyNumberFormat="1" applyFont="1" applyBorder="1"/>
    <xf numFmtId="10" fontId="12" fillId="0" borderId="8" xfId="8" applyNumberFormat="1" applyFont="1" applyBorder="1"/>
    <xf numFmtId="10" fontId="12" fillId="0" borderId="2" xfId="8" applyNumberFormat="1" applyFont="1" applyBorder="1"/>
    <xf numFmtId="10" fontId="12" fillId="0" borderId="3" xfId="8" applyNumberFormat="1" applyFont="1" applyBorder="1"/>
    <xf numFmtId="10" fontId="12" fillId="0" borderId="4" xfId="8" applyNumberFormat="1" applyFont="1" applyBorder="1"/>
    <xf numFmtId="0" fontId="0" fillId="0" borderId="12" xfId="0" applyBorder="1"/>
    <xf numFmtId="0" fontId="24" fillId="5" borderId="1" xfId="0" applyFont="1" applyFill="1" applyBorder="1" applyAlignment="1">
      <alignment wrapText="1"/>
    </xf>
    <xf numFmtId="0" fontId="0" fillId="0" borderId="0" xfId="0" applyAlignment="1">
      <alignment horizontal="left" indent="1"/>
    </xf>
    <xf numFmtId="0" fontId="0" fillId="0" borderId="1" xfId="0" applyBorder="1" applyAlignment="1">
      <alignment horizontal="left" indent="1"/>
    </xf>
    <xf numFmtId="0" fontId="0" fillId="2" borderId="0" xfId="0" applyFill="1" applyAlignment="1">
      <alignment horizontal="centerContinuous"/>
    </xf>
    <xf numFmtId="14" fontId="0" fillId="0" borderId="0" xfId="0" applyNumberFormat="1"/>
    <xf numFmtId="10" fontId="12" fillId="0" borderId="0" xfId="8" applyNumberFormat="1" applyFont="1"/>
    <xf numFmtId="3" fontId="0" fillId="0" borderId="13" xfId="0" applyNumberFormat="1" applyBorder="1"/>
    <xf numFmtId="10" fontId="12" fillId="0" borderId="13" xfId="8" applyNumberFormat="1" applyFont="1" applyBorder="1"/>
    <xf numFmtId="10" fontId="12" fillId="0" borderId="0" xfId="8" applyNumberFormat="1" applyFont="1" applyBorder="1"/>
    <xf numFmtId="3" fontId="0" fillId="0" borderId="14" xfId="0" applyNumberFormat="1" applyBorder="1"/>
    <xf numFmtId="3" fontId="0" fillId="0" borderId="15" xfId="0" applyNumberFormat="1" applyBorder="1"/>
    <xf numFmtId="10" fontId="12" fillId="0" borderId="15" xfId="8" applyNumberFormat="1" applyFont="1" applyBorder="1"/>
    <xf numFmtId="0" fontId="0" fillId="0" borderId="16" xfId="0" applyBorder="1"/>
    <xf numFmtId="8" fontId="0" fillId="0" borderId="0" xfId="0" applyNumberFormat="1"/>
    <xf numFmtId="0" fontId="6" fillId="4" borderId="1" xfId="12" applyFont="1">
      <alignment horizontal="centerContinuous" wrapText="1"/>
    </xf>
    <xf numFmtId="14" fontId="6" fillId="4" borderId="1" xfId="12" applyNumberFormat="1" applyFont="1">
      <alignment horizontal="centerContinuous" wrapText="1"/>
    </xf>
    <xf numFmtId="0" fontId="0" fillId="3" borderId="1" xfId="0" applyFill="1" applyBorder="1" applyAlignment="1">
      <alignment horizontal="centerContinuous" wrapText="1"/>
    </xf>
    <xf numFmtId="0" fontId="25" fillId="3" borderId="1" xfId="0" applyFont="1" applyFill="1" applyBorder="1" applyAlignment="1">
      <alignment horizontal="left" indent="2"/>
    </xf>
    <xf numFmtId="0" fontId="25" fillId="3" borderId="1" xfId="0" applyFont="1" applyFill="1" applyBorder="1" applyAlignment="1">
      <alignment horizontal="left" wrapText="1"/>
    </xf>
    <xf numFmtId="0" fontId="0" fillId="0" borderId="1" xfId="0" applyBorder="1" applyAlignment="1">
      <alignment horizontal="left" indent="2"/>
    </xf>
    <xf numFmtId="0" fontId="24" fillId="5" borderId="1" xfId="0" applyFont="1" applyFill="1" applyBorder="1"/>
    <xf numFmtId="0" fontId="0" fillId="0" borderId="1" xfId="0" applyBorder="1" applyAlignment="1">
      <alignment horizontal="left" wrapText="1" indent="1"/>
    </xf>
    <xf numFmtId="0" fontId="0" fillId="0" borderId="1" xfId="0" applyBorder="1" applyAlignment="1">
      <alignment horizontal="left"/>
    </xf>
    <xf numFmtId="0" fontId="0" fillId="0" borderId="17" xfId="0" applyBorder="1"/>
    <xf numFmtId="0" fontId="7" fillId="4" borderId="18" xfId="2" applyFont="1" applyFill="1" applyBorder="1">
      <alignment horizontal="centerContinuous"/>
    </xf>
    <xf numFmtId="0" fontId="7" fillId="4" borderId="19" xfId="2" applyFont="1" applyFill="1" applyBorder="1">
      <alignment horizontal="centerContinuous"/>
    </xf>
    <xf numFmtId="0" fontId="7" fillId="7" borderId="19" xfId="2" applyFont="1" applyFill="1" applyBorder="1">
      <alignment horizontal="centerContinuous"/>
    </xf>
    <xf numFmtId="0" fontId="7" fillId="7" borderId="18" xfId="2" applyFont="1" applyFill="1" applyBorder="1">
      <alignment horizontal="centerContinuous"/>
    </xf>
    <xf numFmtId="0" fontId="7" fillId="4" borderId="20" xfId="2" applyFont="1" applyFill="1" applyBorder="1">
      <alignment horizontal="centerContinuous"/>
    </xf>
    <xf numFmtId="0" fontId="0" fillId="0" borderId="21" xfId="0" applyBorder="1" applyAlignment="1">
      <alignment vertical="center" wrapText="1"/>
    </xf>
    <xf numFmtId="43" fontId="12" fillId="0" borderId="22" xfId="3" applyFont="1" applyBorder="1"/>
    <xf numFmtId="168" fontId="0" fillId="0" borderId="8" xfId="0" applyNumberFormat="1" applyBorder="1"/>
    <xf numFmtId="168" fontId="0" fillId="0" borderId="17" xfId="0" applyNumberFormat="1" applyBorder="1"/>
    <xf numFmtId="43" fontId="12" fillId="8" borderId="23" xfId="3" applyFont="1" applyFill="1" applyBorder="1"/>
    <xf numFmtId="169" fontId="0" fillId="0" borderId="8" xfId="0" quotePrefix="1" applyNumberFormat="1" applyBorder="1"/>
    <xf numFmtId="170" fontId="0" fillId="0" borderId="17" xfId="0" applyNumberFormat="1" applyBorder="1"/>
    <xf numFmtId="0" fontId="0" fillId="0" borderId="22" xfId="0" applyBorder="1"/>
    <xf numFmtId="168" fontId="0" fillId="0" borderId="17" xfId="0" applyNumberFormat="1" applyBorder="1" applyAlignment="1">
      <alignment horizontal="right"/>
    </xf>
    <xf numFmtId="171" fontId="0" fillId="0" borderId="8" xfId="0" quotePrefix="1" applyNumberFormat="1" applyBorder="1"/>
    <xf numFmtId="169" fontId="12" fillId="0" borderId="22" xfId="3" applyNumberFormat="1" applyFont="1" applyBorder="1"/>
    <xf numFmtId="172" fontId="0" fillId="0" borderId="17" xfId="0" applyNumberFormat="1" applyBorder="1"/>
    <xf numFmtId="0" fontId="0" fillId="0" borderId="24" xfId="0" applyBorder="1" applyAlignment="1">
      <alignment vertical="center" wrapText="1"/>
    </xf>
    <xf numFmtId="168" fontId="0" fillId="0" borderId="10" xfId="0" applyNumberFormat="1" applyBorder="1"/>
    <xf numFmtId="168" fontId="0" fillId="0" borderId="25" xfId="0" applyNumberFormat="1" applyBorder="1"/>
    <xf numFmtId="43" fontId="12" fillId="8" borderId="26" xfId="3" applyFont="1" applyFill="1" applyBorder="1"/>
    <xf numFmtId="173" fontId="0" fillId="0" borderId="10" xfId="0" quotePrefix="1" applyNumberFormat="1" applyBorder="1"/>
    <xf numFmtId="169" fontId="12" fillId="0" borderId="27" xfId="3" applyNumberFormat="1" applyFont="1" applyBorder="1"/>
    <xf numFmtId="173" fontId="0" fillId="0" borderId="25" xfId="0" applyNumberFormat="1" applyBorder="1"/>
    <xf numFmtId="0" fontId="0" fillId="0" borderId="28" xfId="0" applyBorder="1"/>
    <xf numFmtId="0" fontId="0" fillId="0" borderId="29" xfId="0" applyBorder="1"/>
    <xf numFmtId="0" fontId="0" fillId="0" borderId="30" xfId="0" applyBorder="1"/>
    <xf numFmtId="0" fontId="4" fillId="2" borderId="1" xfId="1">
      <alignment horizontal="centerContinuous"/>
    </xf>
    <xf numFmtId="38" fontId="0" fillId="0" borderId="0" xfId="0" applyNumberFormat="1" applyAlignment="1">
      <alignment horizontal="left"/>
    </xf>
    <xf numFmtId="0" fontId="9" fillId="4" borderId="1" xfId="0" applyFont="1" applyFill="1" applyBorder="1"/>
    <xf numFmtId="0" fontId="9" fillId="4" borderId="12" xfId="0" applyFont="1" applyFill="1" applyBorder="1"/>
    <xf numFmtId="0" fontId="10" fillId="0" borderId="0" xfId="0" applyFont="1"/>
    <xf numFmtId="0" fontId="4" fillId="0" borderId="0" xfId="7"/>
    <xf numFmtId="14" fontId="4" fillId="0" borderId="0" xfId="7" applyNumberFormat="1"/>
    <xf numFmtId="9" fontId="4" fillId="0" borderId="0" xfId="7" applyNumberFormat="1"/>
    <xf numFmtId="0" fontId="5" fillId="4" borderId="1" xfId="12">
      <alignment horizontal="centerContinuous" wrapText="1"/>
    </xf>
    <xf numFmtId="0" fontId="11" fillId="0" borderId="0" xfId="7" applyFont="1" applyAlignment="1">
      <alignment horizontal="left"/>
    </xf>
    <xf numFmtId="8" fontId="4" fillId="0" borderId="0" xfId="7" applyNumberFormat="1"/>
    <xf numFmtId="38" fontId="4" fillId="0" borderId="0" xfId="7" applyNumberFormat="1"/>
    <xf numFmtId="0" fontId="4" fillId="0" borderId="0" xfId="7" applyAlignment="1">
      <alignment horizontal="left" indent="1"/>
    </xf>
    <xf numFmtId="6" fontId="4" fillId="0" borderId="0" xfId="7" applyNumberFormat="1"/>
    <xf numFmtId="0" fontId="4" fillId="0" borderId="0" xfId="7" applyAlignment="1">
      <alignment horizontal="left" indent="2"/>
    </xf>
    <xf numFmtId="6" fontId="4" fillId="0" borderId="15" xfId="7" applyNumberFormat="1" applyBorder="1"/>
    <xf numFmtId="0" fontId="4" fillId="0" borderId="16" xfId="7" applyBorder="1"/>
    <xf numFmtId="6" fontId="4" fillId="0" borderId="16" xfId="7" applyNumberFormat="1" applyBorder="1"/>
    <xf numFmtId="6" fontId="4" fillId="0" borderId="13" xfId="7" applyNumberFormat="1" applyBorder="1"/>
    <xf numFmtId="0" fontId="4" fillId="0" borderId="0" xfId="7" applyAlignment="1">
      <alignment wrapText="1"/>
    </xf>
    <xf numFmtId="0" fontId="4" fillId="0" borderId="1" xfId="7" applyBorder="1" applyAlignment="1">
      <alignment wrapText="1"/>
    </xf>
    <xf numFmtId="174" fontId="4" fillId="0" borderId="1" xfId="7" applyNumberFormat="1" applyBorder="1" applyAlignment="1">
      <alignment wrapText="1"/>
    </xf>
    <xf numFmtId="174" fontId="12" fillId="0" borderId="1" xfId="4" applyNumberFormat="1" applyFont="1" applyBorder="1" applyAlignment="1">
      <alignment wrapText="1"/>
    </xf>
    <xf numFmtId="175" fontId="4" fillId="0" borderId="1" xfId="7" applyNumberFormat="1" applyBorder="1" applyAlignment="1">
      <alignment wrapText="1"/>
    </xf>
    <xf numFmtId="0" fontId="4" fillId="0" borderId="1" xfId="7" applyBorder="1"/>
    <xf numFmtId="0" fontId="4" fillId="0" borderId="12" xfId="7" applyBorder="1"/>
    <xf numFmtId="0" fontId="13" fillId="2" borderId="0" xfId="0" applyFont="1" applyFill="1"/>
    <xf numFmtId="0" fontId="0" fillId="0" borderId="1" xfId="0" applyBorder="1" applyAlignment="1">
      <alignment horizontal="left" wrapText="1"/>
    </xf>
    <xf numFmtId="0" fontId="13" fillId="4" borderId="3" xfId="0" applyFont="1" applyFill="1" applyBorder="1" applyAlignment="1">
      <alignment horizontal="left" indent="1"/>
    </xf>
    <xf numFmtId="3" fontId="0" fillId="0" borderId="12" xfId="0" applyNumberFormat="1" applyBorder="1"/>
    <xf numFmtId="0" fontId="13" fillId="4" borderId="1" xfId="0" applyFont="1" applyFill="1" applyBorder="1" applyAlignment="1">
      <alignment horizontal="left" indent="1"/>
    </xf>
    <xf numFmtId="0" fontId="0" fillId="0" borderId="8" xfId="0" applyBorder="1"/>
    <xf numFmtId="0" fontId="0" fillId="0" borderId="4" xfId="0" applyBorder="1"/>
    <xf numFmtId="0" fontId="0" fillId="0" borderId="0" xfId="0" applyAlignment="1">
      <alignment horizontal="left" wrapText="1" indent="1"/>
    </xf>
    <xf numFmtId="44" fontId="12" fillId="0" borderId="1" xfId="5" applyFont="1" applyBorder="1"/>
    <xf numFmtId="176" fontId="0" fillId="9" borderId="1" xfId="0" applyNumberFormat="1" applyFill="1" applyBorder="1"/>
    <xf numFmtId="0" fontId="0" fillId="9" borderId="1" xfId="0" applyFill="1" applyBorder="1"/>
    <xf numFmtId="9" fontId="12" fillId="9" borderId="1" xfId="8" applyFont="1" applyFill="1" applyBorder="1"/>
    <xf numFmtId="9" fontId="12" fillId="9" borderId="12" xfId="8" applyFont="1" applyFill="1" applyBorder="1"/>
    <xf numFmtId="9" fontId="12" fillId="9" borderId="8" xfId="8" applyFont="1" applyFill="1" applyBorder="1"/>
    <xf numFmtId="9" fontId="12" fillId="9" borderId="4" xfId="8" applyFont="1" applyFill="1" applyBorder="1"/>
    <xf numFmtId="178" fontId="0" fillId="9" borderId="1" xfId="0" applyNumberFormat="1" applyFill="1" applyBorder="1"/>
    <xf numFmtId="10" fontId="12" fillId="9" borderId="1" xfId="8" applyNumberFormat="1" applyFont="1" applyFill="1" applyBorder="1"/>
    <xf numFmtId="0" fontId="0" fillId="0" borderId="1" xfId="0" applyBorder="1" applyAlignment="1">
      <alignment horizontal="centerContinuous" wrapText="1"/>
    </xf>
    <xf numFmtId="0" fontId="14" fillId="0" borderId="1" xfId="11" applyFont="1" applyFill="1" applyAlignment="1">
      <alignment horizontal="centerContinuous" wrapText="1"/>
    </xf>
    <xf numFmtId="179" fontId="0" fillId="0" borderId="1" xfId="0" applyNumberFormat="1" applyBorder="1"/>
    <xf numFmtId="0" fontId="14" fillId="0" borderId="0" xfId="0" applyFont="1"/>
    <xf numFmtId="180" fontId="0" fillId="0" borderId="0" xfId="0" applyNumberFormat="1"/>
    <xf numFmtId="44" fontId="0" fillId="0" borderId="1" xfId="0" applyNumberFormat="1" applyBorder="1"/>
    <xf numFmtId="180" fontId="0" fillId="0" borderId="1" xfId="0" applyNumberFormat="1" applyBorder="1"/>
    <xf numFmtId="181" fontId="0" fillId="9" borderId="1" xfId="0" applyNumberFormat="1" applyFill="1" applyBorder="1"/>
    <xf numFmtId="0" fontId="26" fillId="9" borderId="1" xfId="0" applyFont="1" applyFill="1" applyBorder="1"/>
    <xf numFmtId="43" fontId="12" fillId="9" borderId="1" xfId="3" applyFont="1" applyFill="1" applyBorder="1"/>
    <xf numFmtId="3" fontId="15" fillId="0" borderId="1" xfId="0" applyNumberFormat="1" applyFont="1" applyBorder="1"/>
    <xf numFmtId="165" fontId="4" fillId="9" borderId="1" xfId="3" applyNumberFormat="1" applyFont="1" applyFill="1" applyBorder="1"/>
    <xf numFmtId="43" fontId="0" fillId="9" borderId="1" xfId="0" applyNumberFormat="1" applyFill="1" applyBorder="1"/>
    <xf numFmtId="0" fontId="0" fillId="0" borderId="28" xfId="0" applyBorder="1" applyAlignment="1">
      <alignment wrapText="1"/>
    </xf>
    <xf numFmtId="10" fontId="0" fillId="9" borderId="1" xfId="0" applyNumberFormat="1" applyFill="1" applyBorder="1"/>
    <xf numFmtId="10" fontId="4" fillId="9" borderId="1" xfId="10" applyFill="1" applyBorder="1"/>
    <xf numFmtId="0" fontId="4" fillId="0" borderId="4" xfId="7" applyBorder="1"/>
    <xf numFmtId="0" fontId="27" fillId="5" borderId="32" xfId="7" applyFont="1" applyFill="1" applyBorder="1"/>
    <xf numFmtId="0" fontId="27" fillId="5" borderId="32" xfId="7" applyFont="1" applyFill="1" applyBorder="1" applyAlignment="1">
      <alignment horizontal="centerContinuous" wrapText="1"/>
    </xf>
    <xf numFmtId="0" fontId="4" fillId="11" borderId="1" xfId="7" applyFill="1" applyBorder="1"/>
    <xf numFmtId="0" fontId="4" fillId="11" borderId="12" xfId="7" applyFill="1" applyBorder="1"/>
    <xf numFmtId="0" fontId="4" fillId="11" borderId="4" xfId="7" applyFill="1" applyBorder="1"/>
    <xf numFmtId="0" fontId="4" fillId="11" borderId="28" xfId="7" applyFill="1" applyBorder="1"/>
    <xf numFmtId="0" fontId="4" fillId="11" borderId="31" xfId="7" applyFill="1" applyBorder="1"/>
    <xf numFmtId="0" fontId="32" fillId="12" borderId="1" xfId="7" applyFont="1" applyFill="1" applyBorder="1" applyAlignment="1">
      <alignment horizontal="centerContinuous" wrapText="1"/>
    </xf>
    <xf numFmtId="0" fontId="27" fillId="5" borderId="32" xfId="7" applyFont="1" applyFill="1" applyBorder="1" applyAlignment="1">
      <alignment wrapText="1"/>
    </xf>
    <xf numFmtId="0" fontId="0" fillId="11" borderId="1" xfId="0" applyFill="1" applyBorder="1"/>
    <xf numFmtId="0" fontId="4" fillId="13" borderId="1" xfId="7" applyFill="1" applyBorder="1"/>
    <xf numFmtId="0" fontId="4" fillId="13" borderId="12" xfId="7" applyFill="1" applyBorder="1"/>
    <xf numFmtId="0" fontId="4" fillId="13" borderId="4" xfId="7" applyFill="1" applyBorder="1"/>
    <xf numFmtId="0" fontId="4" fillId="13" borderId="1" xfId="7" applyFill="1" applyBorder="1" applyAlignment="1">
      <alignment wrapText="1"/>
    </xf>
    <xf numFmtId="0" fontId="4" fillId="13" borderId="12" xfId="7" applyFill="1" applyBorder="1" applyAlignment="1">
      <alignment wrapText="1"/>
    </xf>
    <xf numFmtId="0" fontId="4" fillId="13" borderId="4" xfId="7" applyFill="1" applyBorder="1" applyAlignment="1">
      <alignment wrapText="1"/>
    </xf>
    <xf numFmtId="14" fontId="30" fillId="12" borderId="1" xfId="0" applyNumberFormat="1" applyFont="1" applyFill="1" applyBorder="1"/>
    <xf numFmtId="0" fontId="30" fillId="12" borderId="0" xfId="0" applyFont="1" applyFill="1"/>
    <xf numFmtId="43" fontId="1" fillId="0" borderId="1" xfId="3" applyFont="1" applyBorder="1"/>
    <xf numFmtId="43" fontId="1" fillId="0" borderId="12" xfId="3" applyFont="1" applyBorder="1"/>
    <xf numFmtId="0" fontId="2" fillId="0" borderId="0" xfId="0" applyFont="1"/>
    <xf numFmtId="0" fontId="30" fillId="12" borderId="1" xfId="0" applyFont="1" applyFill="1" applyBorder="1"/>
    <xf numFmtId="43" fontId="1" fillId="0" borderId="2" xfId="3" applyFont="1" applyBorder="1"/>
    <xf numFmtId="43" fontId="1" fillId="0" borderId="3" xfId="3" applyFont="1" applyBorder="1"/>
    <xf numFmtId="43" fontId="1" fillId="0" borderId="4" xfId="3" applyFont="1" applyBorder="1"/>
    <xf numFmtId="3" fontId="2" fillId="0" borderId="1" xfId="0" applyNumberFormat="1" applyFont="1" applyBorder="1"/>
    <xf numFmtId="2" fontId="4" fillId="9" borderId="1" xfId="8" applyNumberFormat="1" applyFont="1" applyFill="1" applyBorder="1"/>
    <xf numFmtId="2" fontId="4" fillId="9" borderId="1" xfId="3" applyNumberFormat="1" applyFont="1" applyFill="1" applyBorder="1"/>
    <xf numFmtId="2" fontId="0" fillId="0" borderId="0" xfId="0" applyNumberFormat="1"/>
    <xf numFmtId="0" fontId="30" fillId="12" borderId="12" xfId="0" applyFont="1" applyFill="1" applyBorder="1"/>
    <xf numFmtId="0" fontId="0" fillId="14" borderId="1" xfId="0" applyFill="1" applyBorder="1"/>
    <xf numFmtId="0" fontId="0" fillId="14" borderId="1" xfId="0" applyFill="1" applyBorder="1" applyAlignment="1">
      <alignment wrapText="1"/>
    </xf>
    <xf numFmtId="0" fontId="33" fillId="0" borderId="1" xfId="0" applyFont="1" applyBorder="1"/>
    <xf numFmtId="14" fontId="33" fillId="0" borderId="1" xfId="0" applyNumberFormat="1" applyFont="1" applyBorder="1"/>
    <xf numFmtId="177" fontId="0" fillId="0" borderId="1" xfId="0" applyNumberFormat="1" applyBorder="1"/>
    <xf numFmtId="182" fontId="0" fillId="0" borderId="1" xfId="0" applyNumberFormat="1" applyBorder="1"/>
    <xf numFmtId="0" fontId="30" fillId="12" borderId="1" xfId="0" applyFont="1" applyFill="1" applyBorder="1" applyAlignment="1">
      <alignment wrapText="1"/>
    </xf>
    <xf numFmtId="10" fontId="29" fillId="0" borderId="1" xfId="8" applyNumberFormat="1" applyFont="1" applyBorder="1"/>
    <xf numFmtId="10" fontId="12" fillId="11" borderId="1" xfId="8" applyNumberFormat="1" applyFont="1" applyFill="1" applyBorder="1"/>
    <xf numFmtId="10" fontId="12" fillId="11" borderId="11" xfId="8" applyNumberFormat="1" applyFont="1" applyFill="1" applyBorder="1"/>
    <xf numFmtId="10" fontId="12" fillId="11" borderId="9" xfId="8" applyNumberFormat="1" applyFont="1" applyFill="1" applyBorder="1"/>
    <xf numFmtId="10" fontId="12" fillId="11" borderId="8" xfId="8" applyNumberFormat="1" applyFont="1" applyFill="1" applyBorder="1"/>
    <xf numFmtId="10" fontId="12" fillId="11" borderId="10" xfId="8" applyNumberFormat="1" applyFont="1" applyFill="1" applyBorder="1"/>
    <xf numFmtId="10" fontId="12" fillId="11" borderId="4" xfId="8" applyNumberFormat="1" applyFont="1" applyFill="1" applyBorder="1"/>
    <xf numFmtId="9" fontId="0" fillId="9" borderId="1" xfId="0" applyNumberFormat="1" applyFill="1" applyBorder="1"/>
    <xf numFmtId="0" fontId="34" fillId="12" borderId="1" xfId="0" applyFont="1" applyFill="1" applyBorder="1"/>
    <xf numFmtId="20" fontId="0" fillId="0" borderId="0" xfId="0" applyNumberFormat="1"/>
    <xf numFmtId="10" fontId="12" fillId="11" borderId="12" xfId="8" applyNumberFormat="1" applyFont="1" applyFill="1" applyBorder="1"/>
    <xf numFmtId="10" fontId="12" fillId="11" borderId="2" xfId="8" applyNumberFormat="1" applyFont="1" applyFill="1" applyBorder="1"/>
    <xf numFmtId="10" fontId="12" fillId="11" borderId="3" xfId="8" applyNumberFormat="1" applyFont="1" applyFill="1" applyBorder="1"/>
    <xf numFmtId="10" fontId="0" fillId="11" borderId="1" xfId="0" applyNumberFormat="1" applyFill="1" applyBorder="1"/>
    <xf numFmtId="183" fontId="0" fillId="11" borderId="1" xfId="0" applyNumberFormat="1" applyFill="1" applyBorder="1"/>
    <xf numFmtId="10" fontId="0" fillId="0" borderId="0" xfId="0" applyNumberFormat="1"/>
    <xf numFmtId="0" fontId="33" fillId="0" borderId="1" xfId="0" applyFont="1" applyBorder="1" applyAlignment="1">
      <alignment wrapText="1"/>
    </xf>
    <xf numFmtId="0" fontId="30" fillId="16" borderId="1" xfId="0" applyFont="1" applyFill="1" applyBorder="1"/>
    <xf numFmtId="0" fontId="0" fillId="9" borderId="1" xfId="0" applyFill="1" applyBorder="1" applyAlignment="1">
      <alignment horizontal="center" wrapText="1"/>
    </xf>
    <xf numFmtId="0" fontId="33" fillId="0" borderId="28" xfId="0" applyFont="1" applyBorder="1" applyAlignment="1">
      <alignment horizontal="center"/>
    </xf>
    <xf numFmtId="0" fontId="33" fillId="0" borderId="30" xfId="0" applyFont="1" applyBorder="1" applyAlignment="1">
      <alignment horizontal="center"/>
    </xf>
    <xf numFmtId="0" fontId="33" fillId="15" borderId="34" xfId="0" applyFont="1" applyFill="1" applyBorder="1" applyAlignment="1">
      <alignment horizontal="center"/>
    </xf>
    <xf numFmtId="0" fontId="33" fillId="15" borderId="35" xfId="0" applyFont="1" applyFill="1" applyBorder="1" applyAlignment="1">
      <alignment horizontal="center"/>
    </xf>
    <xf numFmtId="0" fontId="30" fillId="16" borderId="1" xfId="0" applyFont="1" applyFill="1" applyBorder="1" applyAlignment="1">
      <alignment horizontal="center"/>
    </xf>
    <xf numFmtId="0" fontId="20" fillId="0" borderId="5" xfId="0" applyFont="1" applyBorder="1" applyAlignment="1">
      <alignment horizontal="center" wrapText="1"/>
    </xf>
    <xf numFmtId="0" fontId="16" fillId="0" borderId="0" xfId="0" applyFont="1" applyAlignment="1">
      <alignment wrapText="1"/>
    </xf>
    <xf numFmtId="0" fontId="20" fillId="0" borderId="0" xfId="0" applyFont="1" applyAlignment="1">
      <alignment horizontal="center" wrapText="1"/>
    </xf>
    <xf numFmtId="0" fontId="19" fillId="0" borderId="0" xfId="0" applyFont="1" applyAlignment="1">
      <alignment wrapText="1"/>
    </xf>
    <xf numFmtId="0" fontId="20" fillId="0" borderId="33" xfId="0" applyFont="1" applyBorder="1" applyAlignment="1">
      <alignment horizontal="center" wrapText="1"/>
    </xf>
    <xf numFmtId="0" fontId="16" fillId="0" borderId="6" xfId="0" applyFont="1" applyBorder="1" applyAlignment="1">
      <alignment wrapText="1"/>
    </xf>
    <xf numFmtId="0" fontId="20" fillId="0" borderId="6" xfId="0" applyFont="1" applyBorder="1" applyAlignment="1">
      <alignment horizontal="center" wrapText="1"/>
    </xf>
    <xf numFmtId="0" fontId="20" fillId="0" borderId="0" xfId="0" applyFont="1" applyAlignment="1">
      <alignment wrapText="1"/>
    </xf>
    <xf numFmtId="0" fontId="15" fillId="0" borderId="0" xfId="0" applyFont="1" applyAlignment="1">
      <alignment horizontal="left" vertical="top" wrapText="1" indent="1"/>
    </xf>
    <xf numFmtId="0" fontId="15" fillId="0" borderId="0" xfId="0" applyFont="1"/>
    <xf numFmtId="0" fontId="15" fillId="0" borderId="0" xfId="0" applyFont="1" applyAlignment="1">
      <alignment wrapText="1"/>
    </xf>
    <xf numFmtId="3" fontId="15" fillId="0" borderId="0" xfId="0" applyNumberFormat="1" applyFont="1" applyAlignment="1">
      <alignment horizontal="right" wrapText="1"/>
    </xf>
  </cellXfs>
  <cellStyles count="15">
    <cellStyle name="Assumptions" xfId="1" xr:uid="{83DE5042-8B6B-4E58-9E19-22ADB039E653}"/>
    <cellStyle name="Center Across Section" xfId="2" xr:uid="{D7F1429A-15A3-459E-90C7-5AACBEE92E56}"/>
    <cellStyle name="Comma" xfId="3" builtinId="3"/>
    <cellStyle name="Comma 2" xfId="4" xr:uid="{5E6EFB45-2CE6-46C5-B039-D88273188CC4}"/>
    <cellStyle name="Currency" xfId="5" builtinId="4"/>
    <cellStyle name="Hyperlink" xfId="6" builtinId="8"/>
    <cellStyle name="Normal" xfId="0" builtinId="0"/>
    <cellStyle name="Normal 2" xfId="7" xr:uid="{E959FE39-4138-444A-B62B-6D8EC5F3AAD2}"/>
    <cellStyle name="Percent" xfId="8" builtinId="5"/>
    <cellStyle name="Percent 2" xfId="9" xr:uid="{3E53247D-75BD-4480-8858-ED4CAEEFBF15}"/>
    <cellStyle name="Pp" xfId="10" xr:uid="{C6A19B47-3872-4892-9865-7FC0D4CA6C9D}"/>
    <cellStyle name="Style 1" xfId="11" xr:uid="{EE0E4670-A567-4CC2-805C-9E53AEF00E14}"/>
    <cellStyle name="Title1" xfId="12" xr:uid="{5610FC15-5D98-4709-9457-90F93CFA9DC8}"/>
    <cellStyle name="Wrap Text" xfId="13" xr:uid="{7A43E8C4-1B62-4463-9FBD-3CD3093BA225}"/>
    <cellStyle name="YellowAS" xfId="14" xr:uid="{5875570C-4246-4734-9FEB-F75AAC3AFAF1}"/>
  </cellStyles>
  <dxfs count="21">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FF"/>
        </patternFill>
      </fill>
    </dxf>
    <dxf>
      <fill>
        <patternFill>
          <bgColor rgb="FFCCFFFF"/>
        </patternFill>
      </fill>
    </dxf>
    <dxf>
      <fill>
        <patternFill>
          <bgColor rgb="FFCCFFFF"/>
        </patternFill>
      </fill>
    </dxf>
    <dxf>
      <fill>
        <patternFill>
          <bgColor rgb="FFCCFFCC"/>
        </patternFill>
      </fill>
    </dxf>
  </dxfs>
  <tableStyles count="0" defaultTableStyle="TableStyleMedium9"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onnections" Target="connections.xml"/><Relationship Id="rId8" Type="http://schemas.openxmlformats.org/officeDocument/2006/relationships/worksheet" Target="worksheets/sheet8.xml"/><Relationship Id="rId51" Type="http://schemas.openxmlformats.org/officeDocument/2006/relationships/sheetMetadata" Target="metadata.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15</xdr:col>
      <xdr:colOff>438150</xdr:colOff>
      <xdr:row>23</xdr:row>
      <xdr:rowOff>19050</xdr:rowOff>
    </xdr:to>
    <xdr:pic>
      <xdr:nvPicPr>
        <xdr:cNvPr id="3355" name="Picture 3" descr="table0305">
          <a:extLst>
            <a:ext uri="{FF2B5EF4-FFF2-40B4-BE49-F238E27FC236}">
              <a16:creationId xmlns:a16="http://schemas.microsoft.com/office/drawing/2014/main" id="{EF72EC90-37AE-8109-26AC-041C85EF52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5800"/>
        <a:stretch>
          <a:fillRect/>
        </a:stretch>
      </xdr:blipFill>
      <xdr:spPr bwMode="auto">
        <a:xfrm>
          <a:off x="7585075" y="0"/>
          <a:ext cx="7753350" cy="4327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24</xdr:row>
      <xdr:rowOff>0</xdr:rowOff>
    </xdr:from>
    <xdr:to>
      <xdr:col>15</xdr:col>
      <xdr:colOff>438150</xdr:colOff>
      <xdr:row>45</xdr:row>
      <xdr:rowOff>85725</xdr:rowOff>
    </xdr:to>
    <xdr:pic>
      <xdr:nvPicPr>
        <xdr:cNvPr id="3356" name="Picture 4" descr="table0306">
          <a:extLst>
            <a:ext uri="{FF2B5EF4-FFF2-40B4-BE49-F238E27FC236}">
              <a16:creationId xmlns:a16="http://schemas.microsoft.com/office/drawing/2014/main" id="{04450608-4050-4037-681B-8E06086BAC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9737"/>
        <a:stretch>
          <a:fillRect/>
        </a:stretch>
      </xdr:blipFill>
      <xdr:spPr bwMode="auto">
        <a:xfrm>
          <a:off x="7585075" y="4495800"/>
          <a:ext cx="7753350" cy="420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304800</xdr:colOff>
      <xdr:row>18</xdr:row>
      <xdr:rowOff>0</xdr:rowOff>
    </xdr:to>
    <xdr:pic>
      <xdr:nvPicPr>
        <xdr:cNvPr id="6548" name="Picture 1">
          <a:extLst>
            <a:ext uri="{FF2B5EF4-FFF2-40B4-BE49-F238E27FC236}">
              <a16:creationId xmlns:a16="http://schemas.microsoft.com/office/drawing/2014/main" id="{9915B923-0585-079D-9030-FB02ABD6D6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572000" cy="3371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18</xdr:row>
      <xdr:rowOff>0</xdr:rowOff>
    </xdr:from>
    <xdr:to>
      <xdr:col>7</xdr:col>
      <xdr:colOff>304800</xdr:colOff>
      <xdr:row>36</xdr:row>
      <xdr:rowOff>0</xdr:rowOff>
    </xdr:to>
    <xdr:pic>
      <xdr:nvPicPr>
        <xdr:cNvPr id="6549" name="Picture 2">
          <a:extLst>
            <a:ext uri="{FF2B5EF4-FFF2-40B4-BE49-F238E27FC236}">
              <a16:creationId xmlns:a16="http://schemas.microsoft.com/office/drawing/2014/main" id="{A7035D87-3FEE-05C6-928F-C8FDF1F7E1C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71850"/>
          <a:ext cx="4572000" cy="3371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36</xdr:row>
      <xdr:rowOff>0</xdr:rowOff>
    </xdr:from>
    <xdr:to>
      <xdr:col>7</xdr:col>
      <xdr:colOff>304800</xdr:colOff>
      <xdr:row>54</xdr:row>
      <xdr:rowOff>0</xdr:rowOff>
    </xdr:to>
    <xdr:pic>
      <xdr:nvPicPr>
        <xdr:cNvPr id="6550" name="Picture 3">
          <a:extLst>
            <a:ext uri="{FF2B5EF4-FFF2-40B4-BE49-F238E27FC236}">
              <a16:creationId xmlns:a16="http://schemas.microsoft.com/office/drawing/2014/main" id="{2816018B-1D9D-7D5D-D8C5-7B827100E40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6743700"/>
          <a:ext cx="4572000" cy="3371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161925</xdr:colOff>
      <xdr:row>5</xdr:row>
      <xdr:rowOff>9525</xdr:rowOff>
    </xdr:from>
    <xdr:to>
      <xdr:col>5</xdr:col>
      <xdr:colOff>0</xdr:colOff>
      <xdr:row>7</xdr:row>
      <xdr:rowOff>111125</xdr:rowOff>
    </xdr:to>
    <xdr:sp macro="" textlink="">
      <xdr:nvSpPr>
        <xdr:cNvPr id="7720" name="AutoShape 14">
          <a:extLst>
            <a:ext uri="{FF2B5EF4-FFF2-40B4-BE49-F238E27FC236}">
              <a16:creationId xmlns:a16="http://schemas.microsoft.com/office/drawing/2014/main" id="{53D544E1-7545-47A7-8B05-D9FE5BAA351A}"/>
            </a:ext>
          </a:extLst>
        </xdr:cNvPr>
        <xdr:cNvSpPr>
          <a:spLocks/>
        </xdr:cNvSpPr>
      </xdr:nvSpPr>
      <xdr:spPr bwMode="auto">
        <a:xfrm rot="5400000">
          <a:off x="2919413" y="-839788"/>
          <a:ext cx="476250" cy="4797425"/>
        </a:xfrm>
        <a:prstGeom prst="rightBrace">
          <a:avLst>
            <a:gd name="adj1" fmla="val 79607"/>
            <a:gd name="adj2" fmla="val 49264"/>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180975</xdr:colOff>
      <xdr:row>5</xdr:row>
      <xdr:rowOff>9525</xdr:rowOff>
    </xdr:from>
    <xdr:to>
      <xdr:col>7</xdr:col>
      <xdr:colOff>0</xdr:colOff>
      <xdr:row>15</xdr:row>
      <xdr:rowOff>139700</xdr:rowOff>
    </xdr:to>
    <xdr:sp macro="" textlink="">
      <xdr:nvSpPr>
        <xdr:cNvPr id="7721" name="AutoShape 15">
          <a:extLst>
            <a:ext uri="{FF2B5EF4-FFF2-40B4-BE49-F238E27FC236}">
              <a16:creationId xmlns:a16="http://schemas.microsoft.com/office/drawing/2014/main" id="{90BFD41B-A793-6DC0-8D7D-2683EE94491B}"/>
            </a:ext>
          </a:extLst>
        </xdr:cNvPr>
        <xdr:cNvSpPr>
          <a:spLocks/>
        </xdr:cNvSpPr>
      </xdr:nvSpPr>
      <xdr:spPr bwMode="auto">
        <a:xfrm rot="5400000">
          <a:off x="3392487" y="-1293812"/>
          <a:ext cx="2003425" cy="7232650"/>
        </a:xfrm>
        <a:prstGeom prst="rightBrace">
          <a:avLst>
            <a:gd name="adj1" fmla="val 33060"/>
            <a:gd name="adj2" fmla="val 49296"/>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1930549</xdr:colOff>
      <xdr:row>7</xdr:row>
      <xdr:rowOff>126814</xdr:rowOff>
    </xdr:from>
    <xdr:to>
      <xdr:col>4</xdr:col>
      <xdr:colOff>435525</xdr:colOff>
      <xdr:row>9</xdr:row>
      <xdr:rowOff>119343</xdr:rowOff>
    </xdr:to>
    <xdr:sp macro="" textlink="">
      <xdr:nvSpPr>
        <xdr:cNvPr id="10" name="Rectangle 9">
          <a:extLst>
            <a:ext uri="{FF2B5EF4-FFF2-40B4-BE49-F238E27FC236}">
              <a16:creationId xmlns:a16="http://schemas.microsoft.com/office/drawing/2014/main" id="{F0C7F853-C571-74DA-D83A-9B470BB26578}"/>
            </a:ext>
          </a:extLst>
        </xdr:cNvPr>
        <xdr:cNvSpPr>
          <a:spLocks noChangeArrowheads="1"/>
        </xdr:cNvSpPr>
      </xdr:nvSpPr>
      <xdr:spPr bwMode="auto">
        <a:xfrm>
          <a:off x="2597523" y="1844489"/>
          <a:ext cx="914400" cy="381000"/>
        </a:xfrm>
        <a:prstGeom prst="rect">
          <a:avLst/>
        </a:prstGeom>
        <a:solidFill>
          <a:srgbClr val="FF0000">
            <a:alpha val="3137"/>
          </a:srgbClr>
        </a:solidFill>
        <a:ln w="19050">
          <a:solidFill>
            <a:srgbClr val="FF0000"/>
          </a:solidFill>
          <a:miter lim="800000"/>
          <a:headEnd/>
          <a:tailEnd/>
        </a:ln>
      </xdr:spPr>
      <xdr:txBody>
        <a:bodyPr wrap="square" anchor="ctr"/>
        <a:lstStyle>
          <a:defPPr>
            <a:defRPr lang="en-US"/>
          </a:defPPr>
          <a:lvl1pPr algn="l" rtl="0" eaLnBrk="0" fontAlgn="base" hangingPunct="0">
            <a:spcBef>
              <a:spcPct val="0"/>
            </a:spcBef>
            <a:spcAft>
              <a:spcPct val="0"/>
            </a:spcAft>
            <a:defRPr kern="1200">
              <a:solidFill>
                <a:schemeClr val="tx1"/>
              </a:solidFill>
              <a:latin typeface="Verdana" pitchFamily="34" charset="0"/>
              <a:ea typeface="+mn-ea"/>
              <a:cs typeface="+mn-cs"/>
            </a:defRPr>
          </a:lvl1pPr>
          <a:lvl2pPr marL="457200" algn="l" rtl="0" eaLnBrk="0" fontAlgn="base" hangingPunct="0">
            <a:spcBef>
              <a:spcPct val="0"/>
            </a:spcBef>
            <a:spcAft>
              <a:spcPct val="0"/>
            </a:spcAft>
            <a:defRPr kern="1200">
              <a:solidFill>
                <a:schemeClr val="tx1"/>
              </a:solidFill>
              <a:latin typeface="Verdana" pitchFamily="34" charset="0"/>
              <a:ea typeface="+mn-ea"/>
              <a:cs typeface="+mn-cs"/>
            </a:defRPr>
          </a:lvl2pPr>
          <a:lvl3pPr marL="914400" algn="l" rtl="0" eaLnBrk="0" fontAlgn="base" hangingPunct="0">
            <a:spcBef>
              <a:spcPct val="0"/>
            </a:spcBef>
            <a:spcAft>
              <a:spcPct val="0"/>
            </a:spcAft>
            <a:defRPr kern="1200">
              <a:solidFill>
                <a:schemeClr val="tx1"/>
              </a:solidFill>
              <a:latin typeface="Verdana" pitchFamily="34" charset="0"/>
              <a:ea typeface="+mn-ea"/>
              <a:cs typeface="+mn-cs"/>
            </a:defRPr>
          </a:lvl3pPr>
          <a:lvl4pPr marL="1371600" algn="l" rtl="0" eaLnBrk="0" fontAlgn="base" hangingPunct="0">
            <a:spcBef>
              <a:spcPct val="0"/>
            </a:spcBef>
            <a:spcAft>
              <a:spcPct val="0"/>
            </a:spcAft>
            <a:defRPr kern="1200">
              <a:solidFill>
                <a:schemeClr val="tx1"/>
              </a:solidFill>
              <a:latin typeface="Verdana" pitchFamily="34" charset="0"/>
              <a:ea typeface="+mn-ea"/>
              <a:cs typeface="+mn-cs"/>
            </a:defRPr>
          </a:lvl4pPr>
          <a:lvl5pPr marL="1828800" algn="l" rtl="0" eaLnBrk="0" fontAlgn="base" hangingPunct="0">
            <a:spcBef>
              <a:spcPct val="0"/>
            </a:spcBef>
            <a:spcAft>
              <a:spcPct val="0"/>
            </a:spcAft>
            <a:defRPr kern="1200">
              <a:solidFill>
                <a:schemeClr val="tx1"/>
              </a:solidFill>
              <a:latin typeface="Verdana" pitchFamily="34" charset="0"/>
              <a:ea typeface="+mn-ea"/>
              <a:cs typeface="+mn-cs"/>
            </a:defRPr>
          </a:lvl5pPr>
          <a:lvl6pPr marL="2286000" algn="l" defTabSz="914400" rtl="0" eaLnBrk="1" latinLnBrk="0" hangingPunct="1">
            <a:defRPr kern="1200">
              <a:solidFill>
                <a:schemeClr val="tx1"/>
              </a:solidFill>
              <a:latin typeface="Verdana" pitchFamily="34" charset="0"/>
              <a:ea typeface="+mn-ea"/>
              <a:cs typeface="+mn-cs"/>
            </a:defRPr>
          </a:lvl6pPr>
          <a:lvl7pPr marL="2743200" algn="l" defTabSz="914400" rtl="0" eaLnBrk="1" latinLnBrk="0" hangingPunct="1">
            <a:defRPr kern="1200">
              <a:solidFill>
                <a:schemeClr val="tx1"/>
              </a:solidFill>
              <a:latin typeface="Verdana" pitchFamily="34" charset="0"/>
              <a:ea typeface="+mn-ea"/>
              <a:cs typeface="+mn-cs"/>
            </a:defRPr>
          </a:lvl7pPr>
          <a:lvl8pPr marL="3200400" algn="l" defTabSz="914400" rtl="0" eaLnBrk="1" latinLnBrk="0" hangingPunct="1">
            <a:defRPr kern="1200">
              <a:solidFill>
                <a:schemeClr val="tx1"/>
              </a:solidFill>
              <a:latin typeface="Verdana" pitchFamily="34" charset="0"/>
              <a:ea typeface="+mn-ea"/>
              <a:cs typeface="+mn-cs"/>
            </a:defRPr>
          </a:lvl8pPr>
          <a:lvl9pPr marL="3657600" algn="l" defTabSz="914400" rtl="0" eaLnBrk="1" latinLnBrk="0" hangingPunct="1">
            <a:defRPr kern="1200">
              <a:solidFill>
                <a:schemeClr val="tx1"/>
              </a:solidFill>
              <a:latin typeface="Verdana" pitchFamily="34" charset="0"/>
              <a:ea typeface="+mn-ea"/>
              <a:cs typeface="+mn-cs"/>
            </a:defRPr>
          </a:lvl9pPr>
        </a:lstStyle>
        <a:p>
          <a:pPr algn="ctr"/>
          <a:r>
            <a:rPr lang="en-US"/>
            <a:t>ROA</a:t>
          </a:r>
        </a:p>
      </xdr:txBody>
    </xdr:sp>
    <xdr:clientData/>
  </xdr:twoCellAnchor>
  <xdr:twoCellAnchor>
    <xdr:from>
      <xdr:col>4</xdr:col>
      <xdr:colOff>741567</xdr:colOff>
      <xdr:row>15</xdr:row>
      <xdr:rowOff>151130</xdr:rowOff>
    </xdr:from>
    <xdr:to>
      <xdr:col>4</xdr:col>
      <xdr:colOff>1708717</xdr:colOff>
      <xdr:row>17</xdr:row>
      <xdr:rowOff>68568</xdr:rowOff>
    </xdr:to>
    <xdr:sp macro="" textlink="">
      <xdr:nvSpPr>
        <xdr:cNvPr id="11" name="Rectangle 10">
          <a:extLst>
            <a:ext uri="{FF2B5EF4-FFF2-40B4-BE49-F238E27FC236}">
              <a16:creationId xmlns:a16="http://schemas.microsoft.com/office/drawing/2014/main" id="{C4235B84-96E2-3D38-9DF4-CA8FF6C23810}"/>
            </a:ext>
          </a:extLst>
        </xdr:cNvPr>
        <xdr:cNvSpPr>
          <a:spLocks noChangeArrowheads="1"/>
        </xdr:cNvSpPr>
      </xdr:nvSpPr>
      <xdr:spPr bwMode="auto">
        <a:xfrm>
          <a:off x="3803276" y="3390900"/>
          <a:ext cx="914400" cy="295275"/>
        </a:xfrm>
        <a:prstGeom prst="rect">
          <a:avLst/>
        </a:prstGeom>
        <a:solidFill>
          <a:srgbClr val="FF0000">
            <a:alpha val="3137"/>
          </a:srgbClr>
        </a:solidFill>
        <a:ln w="19050">
          <a:solidFill>
            <a:srgbClr val="FF0000"/>
          </a:solidFill>
          <a:miter lim="800000"/>
          <a:headEnd/>
          <a:tailEnd/>
        </a:ln>
      </xdr:spPr>
      <xdr:txBody>
        <a:bodyPr wrap="square" anchor="ctr"/>
        <a:lstStyle>
          <a:defPPr>
            <a:defRPr lang="en-US"/>
          </a:defPPr>
          <a:lvl1pPr algn="l" rtl="0" eaLnBrk="0" fontAlgn="base" hangingPunct="0">
            <a:spcBef>
              <a:spcPct val="0"/>
            </a:spcBef>
            <a:spcAft>
              <a:spcPct val="0"/>
            </a:spcAft>
            <a:defRPr kern="1200">
              <a:solidFill>
                <a:schemeClr val="tx1"/>
              </a:solidFill>
              <a:latin typeface="Verdana" pitchFamily="34" charset="0"/>
              <a:ea typeface="+mn-ea"/>
              <a:cs typeface="+mn-cs"/>
            </a:defRPr>
          </a:lvl1pPr>
          <a:lvl2pPr marL="457200" algn="l" rtl="0" eaLnBrk="0" fontAlgn="base" hangingPunct="0">
            <a:spcBef>
              <a:spcPct val="0"/>
            </a:spcBef>
            <a:spcAft>
              <a:spcPct val="0"/>
            </a:spcAft>
            <a:defRPr kern="1200">
              <a:solidFill>
                <a:schemeClr val="tx1"/>
              </a:solidFill>
              <a:latin typeface="Verdana" pitchFamily="34" charset="0"/>
              <a:ea typeface="+mn-ea"/>
              <a:cs typeface="+mn-cs"/>
            </a:defRPr>
          </a:lvl2pPr>
          <a:lvl3pPr marL="914400" algn="l" rtl="0" eaLnBrk="0" fontAlgn="base" hangingPunct="0">
            <a:spcBef>
              <a:spcPct val="0"/>
            </a:spcBef>
            <a:spcAft>
              <a:spcPct val="0"/>
            </a:spcAft>
            <a:defRPr kern="1200">
              <a:solidFill>
                <a:schemeClr val="tx1"/>
              </a:solidFill>
              <a:latin typeface="Verdana" pitchFamily="34" charset="0"/>
              <a:ea typeface="+mn-ea"/>
              <a:cs typeface="+mn-cs"/>
            </a:defRPr>
          </a:lvl3pPr>
          <a:lvl4pPr marL="1371600" algn="l" rtl="0" eaLnBrk="0" fontAlgn="base" hangingPunct="0">
            <a:spcBef>
              <a:spcPct val="0"/>
            </a:spcBef>
            <a:spcAft>
              <a:spcPct val="0"/>
            </a:spcAft>
            <a:defRPr kern="1200">
              <a:solidFill>
                <a:schemeClr val="tx1"/>
              </a:solidFill>
              <a:latin typeface="Verdana" pitchFamily="34" charset="0"/>
              <a:ea typeface="+mn-ea"/>
              <a:cs typeface="+mn-cs"/>
            </a:defRPr>
          </a:lvl4pPr>
          <a:lvl5pPr marL="1828800" algn="l" rtl="0" eaLnBrk="0" fontAlgn="base" hangingPunct="0">
            <a:spcBef>
              <a:spcPct val="0"/>
            </a:spcBef>
            <a:spcAft>
              <a:spcPct val="0"/>
            </a:spcAft>
            <a:defRPr kern="1200">
              <a:solidFill>
                <a:schemeClr val="tx1"/>
              </a:solidFill>
              <a:latin typeface="Verdana" pitchFamily="34" charset="0"/>
              <a:ea typeface="+mn-ea"/>
              <a:cs typeface="+mn-cs"/>
            </a:defRPr>
          </a:lvl5pPr>
          <a:lvl6pPr marL="2286000" algn="l" defTabSz="914400" rtl="0" eaLnBrk="1" latinLnBrk="0" hangingPunct="1">
            <a:defRPr kern="1200">
              <a:solidFill>
                <a:schemeClr val="tx1"/>
              </a:solidFill>
              <a:latin typeface="Verdana" pitchFamily="34" charset="0"/>
              <a:ea typeface="+mn-ea"/>
              <a:cs typeface="+mn-cs"/>
            </a:defRPr>
          </a:lvl6pPr>
          <a:lvl7pPr marL="2743200" algn="l" defTabSz="914400" rtl="0" eaLnBrk="1" latinLnBrk="0" hangingPunct="1">
            <a:defRPr kern="1200">
              <a:solidFill>
                <a:schemeClr val="tx1"/>
              </a:solidFill>
              <a:latin typeface="Verdana" pitchFamily="34" charset="0"/>
              <a:ea typeface="+mn-ea"/>
              <a:cs typeface="+mn-cs"/>
            </a:defRPr>
          </a:lvl7pPr>
          <a:lvl8pPr marL="3200400" algn="l" defTabSz="914400" rtl="0" eaLnBrk="1" latinLnBrk="0" hangingPunct="1">
            <a:defRPr kern="1200">
              <a:solidFill>
                <a:schemeClr val="tx1"/>
              </a:solidFill>
              <a:latin typeface="Verdana" pitchFamily="34" charset="0"/>
              <a:ea typeface="+mn-ea"/>
              <a:cs typeface="+mn-cs"/>
            </a:defRPr>
          </a:lvl8pPr>
          <a:lvl9pPr marL="3657600" algn="l" defTabSz="914400" rtl="0" eaLnBrk="1" latinLnBrk="0" hangingPunct="1">
            <a:defRPr kern="1200">
              <a:solidFill>
                <a:schemeClr val="tx1"/>
              </a:solidFill>
              <a:latin typeface="Verdana" pitchFamily="34" charset="0"/>
              <a:ea typeface="+mn-ea"/>
              <a:cs typeface="+mn-cs"/>
            </a:defRPr>
          </a:lvl9pPr>
        </a:lstStyle>
        <a:p>
          <a:pPr algn="ctr"/>
          <a:r>
            <a:rPr lang="en-US"/>
            <a:t>ROE</a:t>
          </a: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92075</xdr:colOff>
          <xdr:row>9</xdr:row>
          <xdr:rowOff>76200</xdr:rowOff>
        </xdr:from>
        <xdr:to>
          <xdr:col>0</xdr:col>
          <xdr:colOff>4975225</xdr:colOff>
          <xdr:row>13</xdr:row>
          <xdr:rowOff>98425</xdr:rowOff>
        </xdr:to>
        <xdr:sp macro="" textlink="">
          <xdr:nvSpPr>
            <xdr:cNvPr id="10241" name="Object 4" hidden="1">
              <a:extLst>
                <a:ext uri="{63B3BB69-23CF-44E3-9099-C40C66FF867C}">
                  <a14:compatExt spid="_x0000_s10241"/>
                </a:ext>
                <a:ext uri="{FF2B5EF4-FFF2-40B4-BE49-F238E27FC236}">
                  <a16:creationId xmlns:a16="http://schemas.microsoft.com/office/drawing/2014/main" id="{00000000-0008-0000-2900-000001280000}"/>
                </a:ext>
              </a:extLst>
            </xdr:cNvPr>
            <xdr:cNvSpPr/>
          </xdr:nvSpPr>
          <xdr:spPr bwMode="auto">
            <a:xfrm>
              <a:off x="0" y="0"/>
              <a:ext cx="0" cy="0"/>
            </a:xfrm>
            <a:prstGeom prst="rect">
              <a:avLst/>
            </a:prstGeom>
            <a:noFill/>
            <a:ln w="25400">
              <a:solidFill>
                <a:srgbClr val="000080" mc:Ignorable="a14" a14:legacySpreadsheetColorIndex="18"/>
              </a:solidFill>
              <a:miter lim="800000"/>
              <a:headEnd/>
              <a:tailEnd/>
            </a:ln>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92075</xdr:colOff>
          <xdr:row>18</xdr:row>
          <xdr:rowOff>82550</xdr:rowOff>
        </xdr:from>
        <xdr:to>
          <xdr:col>0</xdr:col>
          <xdr:colOff>6286500</xdr:colOff>
          <xdr:row>23</xdr:row>
          <xdr:rowOff>82550</xdr:rowOff>
        </xdr:to>
        <xdr:sp macro="" textlink="">
          <xdr:nvSpPr>
            <xdr:cNvPr id="10242" name="Object 4" hidden="1">
              <a:extLst>
                <a:ext uri="{63B3BB69-23CF-44E3-9099-C40C66FF867C}">
                  <a14:compatExt spid="_x0000_s10242"/>
                </a:ext>
                <a:ext uri="{FF2B5EF4-FFF2-40B4-BE49-F238E27FC236}">
                  <a16:creationId xmlns:a16="http://schemas.microsoft.com/office/drawing/2014/main" id="{00000000-0008-0000-2900-000002280000}"/>
                </a:ext>
              </a:extLst>
            </xdr:cNvPr>
            <xdr:cNvSpPr/>
          </xdr:nvSpPr>
          <xdr:spPr bwMode="auto">
            <a:xfrm>
              <a:off x="0" y="0"/>
              <a:ext cx="0" cy="0"/>
            </a:xfrm>
            <a:prstGeom prst="rect">
              <a:avLst/>
            </a:prstGeom>
            <a:noFill/>
            <a:ln w="25400">
              <a:solidFill>
                <a:srgbClr val="000080" mc:Ignorable="a14" a14:legacySpreadsheetColorIndex="32"/>
              </a:solidFill>
              <a:miter lim="800000"/>
              <a:headEnd/>
              <a:tailEnd/>
            </a:ln>
            <a:extLst>
              <a:ext uri="{909E8E84-426E-40DD-AFC4-6F175D3DCCD1}">
                <a14:hiddenFill>
                  <a:solidFill>
                    <a:srgbClr val="FFFFFF"/>
                  </a:solidFill>
                </a14:hiddenFill>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0</xdr:col>
      <xdr:colOff>0</xdr:colOff>
      <xdr:row>18</xdr:row>
      <xdr:rowOff>0</xdr:rowOff>
    </xdr:from>
    <xdr:to>
      <xdr:col>7</xdr:col>
      <xdr:colOff>304800</xdr:colOff>
      <xdr:row>36</xdr:row>
      <xdr:rowOff>0</xdr:rowOff>
    </xdr:to>
    <xdr:pic>
      <xdr:nvPicPr>
        <xdr:cNvPr id="11653" name="Picture 2">
          <a:extLst>
            <a:ext uri="{FF2B5EF4-FFF2-40B4-BE49-F238E27FC236}">
              <a16:creationId xmlns:a16="http://schemas.microsoft.com/office/drawing/2014/main" id="{0B0C3995-81B8-44C8-D823-24EB16F62E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71850"/>
          <a:ext cx="4572000" cy="3371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36</xdr:row>
      <xdr:rowOff>0</xdr:rowOff>
    </xdr:from>
    <xdr:to>
      <xdr:col>7</xdr:col>
      <xdr:colOff>304800</xdr:colOff>
      <xdr:row>54</xdr:row>
      <xdr:rowOff>0</xdr:rowOff>
    </xdr:to>
    <xdr:pic>
      <xdr:nvPicPr>
        <xdr:cNvPr id="11654" name="Picture 3">
          <a:extLst>
            <a:ext uri="{FF2B5EF4-FFF2-40B4-BE49-F238E27FC236}">
              <a16:creationId xmlns:a16="http://schemas.microsoft.com/office/drawing/2014/main" id="{23D97D41-8503-FC03-B30E-21E39D4CCFF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743700"/>
          <a:ext cx="4572000" cy="3371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7</xdr:col>
      <xdr:colOff>304800</xdr:colOff>
      <xdr:row>18</xdr:row>
      <xdr:rowOff>0</xdr:rowOff>
    </xdr:to>
    <xdr:pic>
      <xdr:nvPicPr>
        <xdr:cNvPr id="11655" name="Picture 4">
          <a:extLst>
            <a:ext uri="{FF2B5EF4-FFF2-40B4-BE49-F238E27FC236}">
              <a16:creationId xmlns:a16="http://schemas.microsoft.com/office/drawing/2014/main" id="{55E3855F-5AD0-07F8-E758-9F2C577EA22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4572000" cy="3371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finance.yahoo.com/q?s=wfmi" TargetMode="External"/><Relationship Id="rId1" Type="http://schemas.openxmlformats.org/officeDocument/2006/relationships/hyperlink" Target="http://biz.yahoo.com/f/g/g.html"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image" Target="../media/image7.emf"/><Relationship Id="rId2" Type="http://schemas.openxmlformats.org/officeDocument/2006/relationships/drawing" Target="../drawings/drawing4.xml"/><Relationship Id="rId1" Type="http://schemas.openxmlformats.org/officeDocument/2006/relationships/printerSettings" Target="../printerSettings/printerSettings37.bin"/><Relationship Id="rId6" Type="http://schemas.openxmlformats.org/officeDocument/2006/relationships/oleObject" Target="../embeddings/oleObject2.bin"/><Relationship Id="rId5" Type="http://schemas.openxmlformats.org/officeDocument/2006/relationships/image" Target="../media/image6.emf"/><Relationship Id="rId4" Type="http://schemas.openxmlformats.org/officeDocument/2006/relationships/oleObject" Target="../embeddings/oleObject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AB2B4-F7F4-4CB8-B95D-617433C3F37F}">
  <sheetPr>
    <tabColor rgb="FFFFFF00"/>
  </sheetPr>
  <dimension ref="B2:F10"/>
  <sheetViews>
    <sheetView workbookViewId="0"/>
  </sheetViews>
  <sheetFormatPr defaultRowHeight="14.75" x14ac:dyDescent="0.75"/>
  <cols>
    <col min="3" max="3" width="12" customWidth="1"/>
    <col min="4" max="4" width="0.86328125" customWidth="1"/>
    <col min="5" max="5" width="6.08984375" customWidth="1"/>
  </cols>
  <sheetData>
    <row r="2" spans="2:6" x14ac:dyDescent="0.75">
      <c r="B2" s="252" t="s">
        <v>1213</v>
      </c>
      <c r="C2" s="252" t="s">
        <v>1214</v>
      </c>
    </row>
    <row r="3" spans="2:6" x14ac:dyDescent="0.75">
      <c r="B3" s="2">
        <v>14</v>
      </c>
      <c r="C3" s="2" t="s">
        <v>1216</v>
      </c>
      <c r="E3" s="253">
        <v>0.58680555555555558</v>
      </c>
      <c r="F3" t="s">
        <v>1215</v>
      </c>
    </row>
    <row r="4" spans="2:6" x14ac:dyDescent="0.75">
      <c r="B4" s="2">
        <v>15</v>
      </c>
      <c r="C4" s="2" t="s">
        <v>1216</v>
      </c>
      <c r="E4" s="253">
        <v>3.8194444444444448E-2</v>
      </c>
      <c r="F4" t="s">
        <v>1215</v>
      </c>
    </row>
    <row r="5" spans="2:6" x14ac:dyDescent="0.75">
      <c r="B5" s="2"/>
      <c r="C5" s="2"/>
      <c r="E5" s="253">
        <v>0.28472222222222221</v>
      </c>
      <c r="F5" t="s">
        <v>1217</v>
      </c>
    </row>
    <row r="6" spans="2:6" x14ac:dyDescent="0.75">
      <c r="B6" s="2">
        <v>16</v>
      </c>
      <c r="C6" s="2"/>
    </row>
    <row r="7" spans="2:6" x14ac:dyDescent="0.75">
      <c r="B7" s="2">
        <v>17</v>
      </c>
      <c r="C7" s="2"/>
    </row>
    <row r="8" spans="2:6" x14ac:dyDescent="0.75">
      <c r="B8" s="2">
        <v>18</v>
      </c>
      <c r="C8" s="2"/>
    </row>
    <row r="9" spans="2:6" x14ac:dyDescent="0.75">
      <c r="B9" s="2">
        <v>19</v>
      </c>
      <c r="C9" s="2"/>
    </row>
    <row r="10" spans="2:6" x14ac:dyDescent="0.75">
      <c r="B10" s="2">
        <v>20</v>
      </c>
      <c r="C10" s="2"/>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E77F2E-4A57-42F0-ABDC-04AF6012E850}">
  <sheetPr codeName="Sheet16">
    <tabColor rgb="FF0000FF"/>
  </sheetPr>
  <dimension ref="A1:H41"/>
  <sheetViews>
    <sheetView zoomScale="95" zoomScaleNormal="95" workbookViewId="0"/>
  </sheetViews>
  <sheetFormatPr defaultRowHeight="14.75" x14ac:dyDescent="0.75"/>
  <cols>
    <col min="1" max="1" width="41" bestFit="1" customWidth="1"/>
    <col min="2" max="3" width="26.453125" bestFit="1" customWidth="1"/>
    <col min="4" max="4" width="2.08984375" bestFit="1" customWidth="1"/>
    <col min="5" max="5" width="12.86328125" bestFit="1" customWidth="1"/>
    <col min="6" max="6" width="12.08984375" bestFit="1" customWidth="1"/>
    <col min="7" max="8" width="9.86328125" bestFit="1" customWidth="1"/>
  </cols>
  <sheetData>
    <row r="1" spans="1:8" x14ac:dyDescent="0.75">
      <c r="A1" s="11" t="s">
        <v>919</v>
      </c>
      <c r="B1" s="11"/>
      <c r="C1" s="11"/>
      <c r="G1" s="100">
        <f>B3</f>
        <v>38984</v>
      </c>
      <c r="H1" s="100">
        <f>C3</f>
        <v>38620</v>
      </c>
    </row>
    <row r="2" spans="1:8" x14ac:dyDescent="0.75">
      <c r="A2" s="11" t="s">
        <v>543</v>
      </c>
      <c r="B2" s="11"/>
      <c r="C2" s="11"/>
      <c r="E2" s="2" t="s">
        <v>496</v>
      </c>
      <c r="F2" s="79" t="s">
        <v>497</v>
      </c>
      <c r="G2" s="201"/>
      <c r="H2" s="201"/>
    </row>
    <row r="3" spans="1:8" x14ac:dyDescent="0.75">
      <c r="A3" s="10" t="s">
        <v>850</v>
      </c>
      <c r="B3" s="16">
        <v>38984</v>
      </c>
      <c r="C3" s="16">
        <v>38620</v>
      </c>
      <c r="E3" s="2" t="s">
        <v>498</v>
      </c>
      <c r="F3" s="79" t="s">
        <v>499</v>
      </c>
      <c r="G3" s="201"/>
      <c r="H3" s="201"/>
    </row>
    <row r="4" spans="1:8" x14ac:dyDescent="0.75">
      <c r="A4" s="12" t="s">
        <v>545</v>
      </c>
      <c r="B4" s="4">
        <v>5607376</v>
      </c>
      <c r="C4" s="4">
        <v>4701289</v>
      </c>
      <c r="E4" s="2" t="s">
        <v>500</v>
      </c>
      <c r="F4" s="79" t="s">
        <v>501</v>
      </c>
      <c r="G4" s="201"/>
      <c r="H4" s="201"/>
    </row>
    <row r="5" spans="1:8" ht="15.5" thickBot="1" x14ac:dyDescent="0.9">
      <c r="A5" s="13" t="s">
        <v>546</v>
      </c>
      <c r="B5" s="4">
        <v>3647734</v>
      </c>
      <c r="C5" s="4">
        <v>3052184</v>
      </c>
    </row>
    <row r="6" spans="1:8" x14ac:dyDescent="0.75">
      <c r="A6" s="12" t="s">
        <v>851</v>
      </c>
      <c r="B6" s="83">
        <v>1484410</v>
      </c>
      <c r="C6" s="83">
        <v>1285613</v>
      </c>
    </row>
    <row r="7" spans="1:8" ht="15.5" thickBot="1" x14ac:dyDescent="0.9">
      <c r="A7" s="12" t="s">
        <v>547</v>
      </c>
      <c r="B7" s="86">
        <v>156223</v>
      </c>
      <c r="C7" s="86">
        <v>133759</v>
      </c>
      <c r="D7" s="25" t="s">
        <v>922</v>
      </c>
    </row>
    <row r="8" spans="1:8" x14ac:dyDescent="0.75">
      <c r="A8" s="14" t="s">
        <v>852</v>
      </c>
      <c r="B8" s="87">
        <f>B4-SUM(B5:B7)</f>
        <v>319009</v>
      </c>
      <c r="C8" s="87">
        <f>C4-SUM(C5:C7)</f>
        <v>229733</v>
      </c>
    </row>
    <row r="9" spans="1:8" ht="15.5" thickBot="1" x14ac:dyDescent="0.9">
      <c r="A9" s="13" t="s">
        <v>853</v>
      </c>
      <c r="B9" s="5">
        <v>20736</v>
      </c>
      <c r="C9" s="5">
        <v>9623</v>
      </c>
    </row>
    <row r="10" spans="1:8" x14ac:dyDescent="0.75">
      <c r="A10" s="14" t="s">
        <v>854</v>
      </c>
      <c r="B10" s="9">
        <f>SUM(B8:B9)</f>
        <v>339745</v>
      </c>
      <c r="C10" s="9">
        <f>SUM(C8:C9)</f>
        <v>239356</v>
      </c>
    </row>
    <row r="11" spans="1:8" ht="15.5" thickBot="1" x14ac:dyDescent="0.9">
      <c r="A11" s="13" t="s">
        <v>855</v>
      </c>
      <c r="B11" s="5">
        <v>32</v>
      </c>
      <c r="C11" s="5">
        <v>2223</v>
      </c>
    </row>
    <row r="12" spans="1:8" x14ac:dyDescent="0.75">
      <c r="A12" s="14" t="s">
        <v>856</v>
      </c>
      <c r="B12" s="6">
        <v>339713</v>
      </c>
      <c r="C12" s="6">
        <v>237133</v>
      </c>
    </row>
    <row r="13" spans="1:8" ht="15.5" thickBot="1" x14ac:dyDescent="0.9">
      <c r="A13" s="13" t="s">
        <v>857</v>
      </c>
      <c r="B13" s="5">
        <v>135885</v>
      </c>
      <c r="C13" s="5">
        <v>100782</v>
      </c>
    </row>
    <row r="14" spans="1:8" ht="15.5" thickBot="1" x14ac:dyDescent="0.9">
      <c r="A14" s="15" t="s">
        <v>858</v>
      </c>
      <c r="B14" s="7">
        <v>203828</v>
      </c>
      <c r="C14" s="7">
        <v>136351</v>
      </c>
    </row>
    <row r="15" spans="1:8" ht="15.5" thickTop="1" x14ac:dyDescent="0.75"/>
    <row r="16" spans="1:8" x14ac:dyDescent="0.75">
      <c r="A16" s="12" t="s">
        <v>495</v>
      </c>
      <c r="B16" s="3">
        <v>358075</v>
      </c>
      <c r="C16" s="200">
        <v>54683</v>
      </c>
    </row>
    <row r="17" spans="1:3" x14ac:dyDescent="0.75">
      <c r="A17" s="12" t="s">
        <v>13</v>
      </c>
      <c r="B17" s="83">
        <f>B14-B16</f>
        <v>-154247</v>
      </c>
      <c r="C17" s="83">
        <f>C14-C16</f>
        <v>81668</v>
      </c>
    </row>
    <row r="19" spans="1:3" x14ac:dyDescent="0.75">
      <c r="A19" s="11" t="s">
        <v>919</v>
      </c>
      <c r="B19" s="11"/>
      <c r="C19" s="11"/>
    </row>
    <row r="20" spans="1:3" x14ac:dyDescent="0.75">
      <c r="A20" s="11" t="s">
        <v>551</v>
      </c>
      <c r="B20" s="11"/>
      <c r="C20" s="11"/>
    </row>
    <row r="21" spans="1:3" x14ac:dyDescent="0.75">
      <c r="A21" s="12" t="s">
        <v>850</v>
      </c>
      <c r="B21" s="19">
        <v>38984</v>
      </c>
      <c r="C21" s="19">
        <v>38620</v>
      </c>
    </row>
    <row r="22" spans="1:3" x14ac:dyDescent="0.75">
      <c r="A22" s="72" t="s">
        <v>859</v>
      </c>
      <c r="B22" s="2"/>
      <c r="C22" s="2"/>
    </row>
    <row r="23" spans="1:3" x14ac:dyDescent="0.75">
      <c r="A23" s="175" t="s">
        <v>573</v>
      </c>
      <c r="B23" s="3">
        <v>256164</v>
      </c>
      <c r="C23" s="3">
        <v>345446</v>
      </c>
    </row>
    <row r="24" spans="1:3" x14ac:dyDescent="0.75">
      <c r="A24" s="175" t="s">
        <v>282</v>
      </c>
      <c r="B24" s="3">
        <v>82137</v>
      </c>
      <c r="C24" s="3">
        <v>66682</v>
      </c>
    </row>
    <row r="25" spans="1:3" x14ac:dyDescent="0.75">
      <c r="A25" s="175" t="s">
        <v>577</v>
      </c>
      <c r="B25" s="3">
        <v>203727</v>
      </c>
      <c r="C25" s="3">
        <v>174848</v>
      </c>
    </row>
    <row r="26" spans="1:3" ht="15.5" thickBot="1" x14ac:dyDescent="0.9">
      <c r="A26" s="175" t="s">
        <v>214</v>
      </c>
      <c r="B26" s="3">
        <v>81953</v>
      </c>
      <c r="C26" s="3">
        <v>85553</v>
      </c>
    </row>
    <row r="27" spans="1:3" x14ac:dyDescent="0.75">
      <c r="A27" s="52" t="s">
        <v>224</v>
      </c>
      <c r="B27" s="3">
        <f>SUM(B23:B26)</f>
        <v>623981</v>
      </c>
      <c r="C27" s="3">
        <f>SUM(C23:C26)</f>
        <v>672529</v>
      </c>
    </row>
    <row r="28" spans="1:3" ht="15.5" thickBot="1" x14ac:dyDescent="0.9">
      <c r="A28" s="70" t="s">
        <v>544</v>
      </c>
      <c r="B28" s="84">
        <v>1419015</v>
      </c>
      <c r="C28" s="84">
        <v>1216767</v>
      </c>
    </row>
    <row r="29" spans="1:3" ht="15.5" thickBot="1" x14ac:dyDescent="0.9">
      <c r="A29" s="68" t="s">
        <v>861</v>
      </c>
      <c r="B29" s="69">
        <f>SUM(B27:B28)</f>
        <v>2042996</v>
      </c>
      <c r="C29" s="69">
        <f>SUM(C27:C28)</f>
        <v>1889296</v>
      </c>
    </row>
    <row r="30" spans="1:3" ht="15.5" thickTop="1" x14ac:dyDescent="0.75">
      <c r="A30" s="72" t="s">
        <v>862</v>
      </c>
      <c r="B30" s="95"/>
      <c r="C30" s="95"/>
    </row>
    <row r="31" spans="1:3" x14ac:dyDescent="0.75">
      <c r="A31" s="177" t="s">
        <v>226</v>
      </c>
      <c r="B31" s="176">
        <v>121857</v>
      </c>
      <c r="C31" s="176">
        <v>103348</v>
      </c>
    </row>
    <row r="32" spans="1:3" x14ac:dyDescent="0.75">
      <c r="A32" s="177" t="s">
        <v>214</v>
      </c>
      <c r="B32" s="176">
        <v>387913</v>
      </c>
      <c r="C32" s="176">
        <v>315035</v>
      </c>
    </row>
    <row r="33" spans="1:3" x14ac:dyDescent="0.75">
      <c r="A33" s="70" t="s">
        <v>225</v>
      </c>
      <c r="B33" s="3">
        <f>SUM(B31:B32)</f>
        <v>509770</v>
      </c>
      <c r="C33" s="3">
        <f>SUM(C31:C32)</f>
        <v>418383</v>
      </c>
    </row>
    <row r="34" spans="1:3" ht="15.5" thickBot="1" x14ac:dyDescent="0.9">
      <c r="A34" s="70" t="s">
        <v>864</v>
      </c>
      <c r="B34" s="84">
        <v>129083</v>
      </c>
      <c r="C34" s="84">
        <v>105237</v>
      </c>
    </row>
    <row r="35" spans="1:3" ht="15.5" thickBot="1" x14ac:dyDescent="0.9">
      <c r="A35" s="15" t="s">
        <v>865</v>
      </c>
      <c r="B35" s="53">
        <f>SUM(B33:B34)</f>
        <v>638853</v>
      </c>
      <c r="C35" s="53">
        <f>SUM(C33:C34)</f>
        <v>523620</v>
      </c>
    </row>
    <row r="36" spans="1:3" ht="15.5" thickTop="1" x14ac:dyDescent="0.75">
      <c r="A36" s="74" t="s">
        <v>866</v>
      </c>
      <c r="B36" s="75"/>
      <c r="C36" s="75"/>
    </row>
    <row r="37" spans="1:3" x14ac:dyDescent="0.75">
      <c r="A37" s="85" t="s">
        <v>548</v>
      </c>
      <c r="B37" s="3">
        <v>1054883</v>
      </c>
      <c r="C37" s="3">
        <v>879377</v>
      </c>
    </row>
    <row r="38" spans="1:3" ht="15.5" thickBot="1" x14ac:dyDescent="0.9">
      <c r="A38" s="70" t="s">
        <v>867</v>
      </c>
      <c r="B38" s="3">
        <v>349260</v>
      </c>
      <c r="C38" s="3">
        <v>486299</v>
      </c>
    </row>
    <row r="39" spans="1:3" ht="15.5" thickBot="1" x14ac:dyDescent="0.9">
      <c r="A39" s="73" t="s">
        <v>868</v>
      </c>
      <c r="B39" s="71">
        <f>SUM(B37:B38)</f>
        <v>1404143</v>
      </c>
      <c r="C39" s="71">
        <f>SUM(C37:C38)</f>
        <v>1365676</v>
      </c>
    </row>
    <row r="40" spans="1:3" ht="15.5" thickBot="1" x14ac:dyDescent="0.9">
      <c r="A40" s="15" t="str">
        <f>A39&amp;" and "&amp;A35</f>
        <v>Total Stockholder Equity and Total Liabilities</v>
      </c>
      <c r="B40" s="67">
        <f>SUM(B39,B35)</f>
        <v>2042996</v>
      </c>
      <c r="C40" s="67">
        <f>SUM(C39,C35)</f>
        <v>1889296</v>
      </c>
    </row>
    <row r="41" spans="1:3" ht="15.5" thickTop="1" x14ac:dyDescent="0.75">
      <c r="B41" t="b">
        <f>B40=B29</f>
        <v>1</v>
      </c>
      <c r="C41" t="b">
        <f>C40=C29</f>
        <v>1</v>
      </c>
    </row>
  </sheetData>
  <phoneticPr fontId="28" type="noConversion"/>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1D24B-6E7B-4A93-879B-E1E6BE2D5AC2}">
  <sheetPr codeName="Sheet17">
    <tabColor rgb="FFFF0000"/>
  </sheetPr>
  <dimension ref="A1:H41"/>
  <sheetViews>
    <sheetView zoomScale="95" zoomScaleNormal="95" workbookViewId="0"/>
  </sheetViews>
  <sheetFormatPr defaultRowHeight="14.75" x14ac:dyDescent="0.75"/>
  <cols>
    <col min="1" max="1" width="41" bestFit="1" customWidth="1"/>
    <col min="2" max="3" width="26.453125" bestFit="1" customWidth="1"/>
    <col min="4" max="4" width="2.08984375" bestFit="1" customWidth="1"/>
    <col min="5" max="5" width="12.86328125" bestFit="1" customWidth="1"/>
    <col min="6" max="6" width="12.08984375" bestFit="1" customWidth="1"/>
    <col min="7" max="8" width="9.86328125" bestFit="1" customWidth="1"/>
  </cols>
  <sheetData>
    <row r="1" spans="1:8" x14ac:dyDescent="0.75">
      <c r="A1" s="11" t="s">
        <v>919</v>
      </c>
      <c r="B1" s="11"/>
      <c r="C1" s="11"/>
      <c r="G1" s="100">
        <f>B3</f>
        <v>38984</v>
      </c>
      <c r="H1" s="100">
        <f>C3</f>
        <v>38620</v>
      </c>
    </row>
    <row r="2" spans="1:8" x14ac:dyDescent="0.75">
      <c r="A2" s="11" t="s">
        <v>543</v>
      </c>
      <c r="B2" s="11"/>
      <c r="C2" s="11"/>
      <c r="E2" s="2" t="s">
        <v>496</v>
      </c>
      <c r="F2" s="79" t="s">
        <v>497</v>
      </c>
      <c r="G2" s="201">
        <f>B27/B33</f>
        <v>1.2240441767856092</v>
      </c>
      <c r="H2" s="201">
        <f>C27/C33</f>
        <v>1.6074481993771257</v>
      </c>
    </row>
    <row r="3" spans="1:8" x14ac:dyDescent="0.75">
      <c r="A3" s="10" t="s">
        <v>850</v>
      </c>
      <c r="B3" s="16">
        <v>38984</v>
      </c>
      <c r="C3" s="16">
        <v>38620</v>
      </c>
      <c r="E3" s="2" t="s">
        <v>498</v>
      </c>
      <c r="F3" s="79" t="s">
        <v>499</v>
      </c>
      <c r="G3" s="201">
        <f>(B27-B25)/B33</f>
        <v>0.82439923887243272</v>
      </c>
      <c r="H3" s="201">
        <f>(C27-C25)/C33</f>
        <v>1.189534469612771</v>
      </c>
    </row>
    <row r="4" spans="1:8" x14ac:dyDescent="0.75">
      <c r="A4" s="12" t="s">
        <v>545</v>
      </c>
      <c r="B4" s="4">
        <v>5607376</v>
      </c>
      <c r="C4" s="4">
        <v>4701289</v>
      </c>
      <c r="E4" s="2" t="s">
        <v>500</v>
      </c>
      <c r="F4" s="79" t="s">
        <v>501</v>
      </c>
      <c r="G4" s="201">
        <f>B23/B33</f>
        <v>0.50250897463561994</v>
      </c>
      <c r="H4" s="201">
        <f>C23/C33</f>
        <v>0.82566930300705332</v>
      </c>
    </row>
    <row r="5" spans="1:8" ht="15.5" thickBot="1" x14ac:dyDescent="0.9">
      <c r="A5" s="13" t="s">
        <v>546</v>
      </c>
      <c r="B5" s="4">
        <v>3647734</v>
      </c>
      <c r="C5" s="4">
        <v>3052184</v>
      </c>
    </row>
    <row r="6" spans="1:8" x14ac:dyDescent="0.75">
      <c r="A6" s="12" t="s">
        <v>851</v>
      </c>
      <c r="B6" s="83">
        <v>1484410</v>
      </c>
      <c r="C6" s="83">
        <v>1285613</v>
      </c>
    </row>
    <row r="7" spans="1:8" ht="15.5" thickBot="1" x14ac:dyDescent="0.9">
      <c r="A7" s="12" t="s">
        <v>547</v>
      </c>
      <c r="B7" s="86">
        <v>156223</v>
      </c>
      <c r="C7" s="86">
        <v>133759</v>
      </c>
      <c r="D7" s="25" t="s">
        <v>922</v>
      </c>
    </row>
    <row r="8" spans="1:8" x14ac:dyDescent="0.75">
      <c r="A8" s="14" t="s">
        <v>852</v>
      </c>
      <c r="B8" s="87">
        <f>B4-SUM(B5:B7)</f>
        <v>319009</v>
      </c>
      <c r="C8" s="87">
        <f>C4-SUM(C5:C7)</f>
        <v>229733</v>
      </c>
    </row>
    <row r="9" spans="1:8" ht="15.5" thickBot="1" x14ac:dyDescent="0.9">
      <c r="A9" s="13" t="s">
        <v>853</v>
      </c>
      <c r="B9" s="5">
        <v>20736</v>
      </c>
      <c r="C9" s="5">
        <v>9623</v>
      </c>
    </row>
    <row r="10" spans="1:8" x14ac:dyDescent="0.75">
      <c r="A10" s="14" t="s">
        <v>854</v>
      </c>
      <c r="B10" s="9">
        <f>SUM(B8:B9)</f>
        <v>339745</v>
      </c>
      <c r="C10" s="9">
        <f>SUM(C8:C9)</f>
        <v>239356</v>
      </c>
    </row>
    <row r="11" spans="1:8" ht="15.5" thickBot="1" x14ac:dyDescent="0.9">
      <c r="A11" s="13" t="s">
        <v>855</v>
      </c>
      <c r="B11" s="5">
        <v>32</v>
      </c>
      <c r="C11" s="5">
        <v>2223</v>
      </c>
    </row>
    <row r="12" spans="1:8" x14ac:dyDescent="0.75">
      <c r="A12" s="14" t="s">
        <v>856</v>
      </c>
      <c r="B12" s="6">
        <v>339713</v>
      </c>
      <c r="C12" s="6">
        <v>237133</v>
      </c>
    </row>
    <row r="13" spans="1:8" ht="15.5" thickBot="1" x14ac:dyDescent="0.9">
      <c r="A13" s="13" t="s">
        <v>857</v>
      </c>
      <c r="B13" s="5">
        <v>135885</v>
      </c>
      <c r="C13" s="5">
        <v>100782</v>
      </c>
    </row>
    <row r="14" spans="1:8" ht="15.5" thickBot="1" x14ac:dyDescent="0.9">
      <c r="A14" s="15" t="s">
        <v>858</v>
      </c>
      <c r="B14" s="7">
        <v>203828</v>
      </c>
      <c r="C14" s="7">
        <v>136351</v>
      </c>
    </row>
    <row r="15" spans="1:8" ht="15.5" thickTop="1" x14ac:dyDescent="0.75"/>
    <row r="16" spans="1:8" x14ac:dyDescent="0.75">
      <c r="A16" s="12" t="s">
        <v>495</v>
      </c>
      <c r="B16" s="3">
        <v>358075</v>
      </c>
      <c r="C16" s="200">
        <v>54683</v>
      </c>
    </row>
    <row r="17" spans="1:3" x14ac:dyDescent="0.75">
      <c r="A17" s="12" t="s">
        <v>13</v>
      </c>
      <c r="B17" s="83">
        <f>B14-B16</f>
        <v>-154247</v>
      </c>
      <c r="C17" s="83">
        <f>C14-C16</f>
        <v>81668</v>
      </c>
    </row>
    <row r="19" spans="1:3" x14ac:dyDescent="0.75">
      <c r="A19" s="11" t="s">
        <v>919</v>
      </c>
      <c r="B19" s="11"/>
      <c r="C19" s="11"/>
    </row>
    <row r="20" spans="1:3" x14ac:dyDescent="0.75">
      <c r="A20" s="11" t="s">
        <v>551</v>
      </c>
      <c r="B20" s="11"/>
      <c r="C20" s="11"/>
    </row>
    <row r="21" spans="1:3" x14ac:dyDescent="0.75">
      <c r="A21" s="12" t="s">
        <v>850</v>
      </c>
      <c r="B21" s="19">
        <v>38984</v>
      </c>
      <c r="C21" s="19">
        <v>38620</v>
      </c>
    </row>
    <row r="22" spans="1:3" x14ac:dyDescent="0.75">
      <c r="A22" s="72" t="s">
        <v>859</v>
      </c>
      <c r="B22" s="2"/>
      <c r="C22" s="2"/>
    </row>
    <row r="23" spans="1:3" x14ac:dyDescent="0.75">
      <c r="A23" s="175" t="s">
        <v>573</v>
      </c>
      <c r="B23" s="3">
        <v>256164</v>
      </c>
      <c r="C23" s="3">
        <v>345446</v>
      </c>
    </row>
    <row r="24" spans="1:3" x14ac:dyDescent="0.75">
      <c r="A24" s="175" t="s">
        <v>282</v>
      </c>
      <c r="B24" s="3">
        <v>82137</v>
      </c>
      <c r="C24" s="3">
        <v>66682</v>
      </c>
    </row>
    <row r="25" spans="1:3" x14ac:dyDescent="0.75">
      <c r="A25" s="175" t="s">
        <v>577</v>
      </c>
      <c r="B25" s="3">
        <v>203727</v>
      </c>
      <c r="C25" s="3">
        <v>174848</v>
      </c>
    </row>
    <row r="26" spans="1:3" ht="15.5" thickBot="1" x14ac:dyDescent="0.9">
      <c r="A26" s="175" t="s">
        <v>214</v>
      </c>
      <c r="B26" s="3">
        <v>81953</v>
      </c>
      <c r="C26" s="3">
        <v>85553</v>
      </c>
    </row>
    <row r="27" spans="1:3" x14ac:dyDescent="0.75">
      <c r="A27" s="52" t="s">
        <v>224</v>
      </c>
      <c r="B27" s="3">
        <f>SUM(B23:B26)</f>
        <v>623981</v>
      </c>
      <c r="C27" s="3">
        <f>SUM(C23:C26)</f>
        <v>672529</v>
      </c>
    </row>
    <row r="28" spans="1:3" ht="15.5" thickBot="1" x14ac:dyDescent="0.9">
      <c r="A28" s="70" t="s">
        <v>544</v>
      </c>
      <c r="B28" s="84">
        <v>1419015</v>
      </c>
      <c r="C28" s="84">
        <v>1216767</v>
      </c>
    </row>
    <row r="29" spans="1:3" ht="15.5" thickBot="1" x14ac:dyDescent="0.9">
      <c r="A29" s="68" t="s">
        <v>861</v>
      </c>
      <c r="B29" s="69">
        <f>SUM(B27:B28)</f>
        <v>2042996</v>
      </c>
      <c r="C29" s="69">
        <f>SUM(C27:C28)</f>
        <v>1889296</v>
      </c>
    </row>
    <row r="30" spans="1:3" ht="15.5" thickTop="1" x14ac:dyDescent="0.75">
      <c r="A30" s="72" t="s">
        <v>862</v>
      </c>
      <c r="B30" s="95"/>
      <c r="C30" s="95"/>
    </row>
    <row r="31" spans="1:3" x14ac:dyDescent="0.75">
      <c r="A31" s="177" t="s">
        <v>226</v>
      </c>
      <c r="B31" s="176">
        <v>121857</v>
      </c>
      <c r="C31" s="176">
        <v>103348</v>
      </c>
    </row>
    <row r="32" spans="1:3" x14ac:dyDescent="0.75">
      <c r="A32" s="177" t="s">
        <v>214</v>
      </c>
      <c r="B32" s="176">
        <v>387913</v>
      </c>
      <c r="C32" s="176">
        <v>315035</v>
      </c>
    </row>
    <row r="33" spans="1:3" x14ac:dyDescent="0.75">
      <c r="A33" s="70" t="s">
        <v>225</v>
      </c>
      <c r="B33" s="3">
        <f>SUM(B31:B32)</f>
        <v>509770</v>
      </c>
      <c r="C33" s="3">
        <f>SUM(C31:C32)</f>
        <v>418383</v>
      </c>
    </row>
    <row r="34" spans="1:3" ht="15.5" thickBot="1" x14ac:dyDescent="0.9">
      <c r="A34" s="70" t="s">
        <v>864</v>
      </c>
      <c r="B34" s="84">
        <v>129083</v>
      </c>
      <c r="C34" s="84">
        <v>105237</v>
      </c>
    </row>
    <row r="35" spans="1:3" ht="15.5" thickBot="1" x14ac:dyDescent="0.9">
      <c r="A35" s="15" t="s">
        <v>865</v>
      </c>
      <c r="B35" s="53">
        <f>SUM(B33:B34)</f>
        <v>638853</v>
      </c>
      <c r="C35" s="53">
        <f>SUM(C33:C34)</f>
        <v>523620</v>
      </c>
    </row>
    <row r="36" spans="1:3" ht="15.5" thickTop="1" x14ac:dyDescent="0.75">
      <c r="A36" s="74" t="s">
        <v>866</v>
      </c>
      <c r="B36" s="75"/>
      <c r="C36" s="75"/>
    </row>
    <row r="37" spans="1:3" x14ac:dyDescent="0.75">
      <c r="A37" s="85" t="s">
        <v>548</v>
      </c>
      <c r="B37" s="3">
        <v>1054883</v>
      </c>
      <c r="C37" s="3">
        <v>879377</v>
      </c>
    </row>
    <row r="38" spans="1:3" ht="15.5" thickBot="1" x14ac:dyDescent="0.9">
      <c r="A38" s="70" t="s">
        <v>867</v>
      </c>
      <c r="B38" s="3">
        <v>349260</v>
      </c>
      <c r="C38" s="3">
        <v>486299</v>
      </c>
    </row>
    <row r="39" spans="1:3" ht="15.5" thickBot="1" x14ac:dyDescent="0.9">
      <c r="A39" s="73" t="s">
        <v>868</v>
      </c>
      <c r="B39" s="71">
        <f>SUM(B37:B38)</f>
        <v>1404143</v>
      </c>
      <c r="C39" s="71">
        <f>SUM(C37:C38)</f>
        <v>1365676</v>
      </c>
    </row>
    <row r="40" spans="1:3" ht="15.5" thickBot="1" x14ac:dyDescent="0.9">
      <c r="A40" s="15" t="str">
        <f>A39&amp;" and "&amp;A35</f>
        <v>Total Stockholder Equity and Total Liabilities</v>
      </c>
      <c r="B40" s="67">
        <f>SUM(B39,B35)</f>
        <v>2042996</v>
      </c>
      <c r="C40" s="67">
        <f>SUM(C39,C35)</f>
        <v>1889296</v>
      </c>
    </row>
    <row r="41" spans="1:3" ht="15.5" thickTop="1" x14ac:dyDescent="0.75">
      <c r="B41" t="b">
        <f>B40=B29</f>
        <v>1</v>
      </c>
      <c r="C41" t="b">
        <f>C40=C29</f>
        <v>1</v>
      </c>
    </row>
  </sheetData>
  <phoneticPr fontId="28" type="noConversion"/>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0C0C2-55E5-4789-B56F-CAF22D3649F7}">
  <sheetPr codeName="Sheet10">
    <tabColor rgb="FF0000FF"/>
  </sheetPr>
  <dimension ref="A1:H81"/>
  <sheetViews>
    <sheetView zoomScaleNormal="100" workbookViewId="0"/>
  </sheetViews>
  <sheetFormatPr defaultColWidth="9.08984375" defaultRowHeight="13" x14ac:dyDescent="0.6"/>
  <cols>
    <col min="1" max="1" width="9.08984375" style="152" customWidth="1"/>
    <col min="2" max="2" width="23.76953125" style="152" bestFit="1" customWidth="1"/>
    <col min="3" max="3" width="37.76953125" style="166" customWidth="1"/>
    <col min="4" max="4" width="9.08984375" style="152" customWidth="1"/>
    <col min="5" max="5" width="30.76953125" style="152" bestFit="1" customWidth="1"/>
    <col min="6" max="6" width="16.2265625" style="152" bestFit="1" customWidth="1"/>
    <col min="7" max="16384" width="9.08984375" style="152"/>
  </cols>
  <sheetData>
    <row r="1" spans="1:6" ht="26" x14ac:dyDescent="0.6">
      <c r="A1" s="207" t="s">
        <v>198</v>
      </c>
      <c r="B1" s="207" t="s">
        <v>199</v>
      </c>
      <c r="C1" s="208" t="s">
        <v>293</v>
      </c>
      <c r="D1" s="208"/>
      <c r="E1" s="208"/>
      <c r="F1" s="208"/>
    </row>
    <row r="2" spans="1:6" x14ac:dyDescent="0.6">
      <c r="A2" s="214" t="s">
        <v>287</v>
      </c>
      <c r="B2" s="214"/>
      <c r="C2" s="214"/>
      <c r="D2" s="214"/>
    </row>
    <row r="3" spans="1:6" x14ac:dyDescent="0.6">
      <c r="A3" s="152" t="s">
        <v>286</v>
      </c>
      <c r="C3" s="166" t="s">
        <v>284</v>
      </c>
      <c r="E3" s="171" t="s">
        <v>295</v>
      </c>
      <c r="F3" s="171" t="s">
        <v>294</v>
      </c>
    </row>
    <row r="4" spans="1:6" ht="26" x14ac:dyDescent="0.6">
      <c r="A4" s="217" t="s">
        <v>212</v>
      </c>
      <c r="B4" s="171">
        <v>4</v>
      </c>
      <c r="C4" s="220" t="s">
        <v>285</v>
      </c>
      <c r="D4" s="209"/>
      <c r="E4" s="171">
        <v>1</v>
      </c>
      <c r="F4" s="171">
        <v>1</v>
      </c>
    </row>
    <row r="5" spans="1:6" ht="13.75" thickBot="1" x14ac:dyDescent="0.75">
      <c r="A5" s="218" t="s">
        <v>213</v>
      </c>
      <c r="B5" s="172">
        <v>2</v>
      </c>
      <c r="C5" s="221" t="s">
        <v>213</v>
      </c>
      <c r="D5" s="210"/>
    </row>
    <row r="6" spans="1:6" ht="13.75" thickBot="1" x14ac:dyDescent="0.75">
      <c r="A6" s="219" t="str">
        <f>A4&amp;"/"&amp;A5&amp;"="</f>
        <v>CA/CL=</v>
      </c>
      <c r="B6" s="206">
        <f>B4/B5</f>
        <v>2</v>
      </c>
      <c r="C6" s="222" t="str">
        <f>A6</f>
        <v>CA/CL=</v>
      </c>
      <c r="D6" s="211"/>
    </row>
    <row r="7" spans="1:6" ht="13.75" thickTop="1" x14ac:dyDescent="0.6"/>
    <row r="8" spans="1:6" x14ac:dyDescent="0.6">
      <c r="A8" s="214" t="s">
        <v>288</v>
      </c>
      <c r="B8" s="214"/>
      <c r="C8" s="214"/>
      <c r="D8" s="214"/>
    </row>
    <row r="9" spans="1:6" x14ac:dyDescent="0.6">
      <c r="A9" s="152" t="s">
        <v>286</v>
      </c>
      <c r="C9" s="166" t="s">
        <v>284</v>
      </c>
      <c r="E9" s="171" t="s">
        <v>291</v>
      </c>
    </row>
    <row r="10" spans="1:6" x14ac:dyDescent="0.6">
      <c r="A10" s="217" t="s">
        <v>212</v>
      </c>
      <c r="B10" s="171">
        <v>4</v>
      </c>
      <c r="C10" s="220" t="s">
        <v>289</v>
      </c>
      <c r="D10" s="212"/>
      <c r="E10" s="171">
        <v>1</v>
      </c>
    </row>
    <row r="11" spans="1:6" ht="13.75" thickBot="1" x14ac:dyDescent="0.75">
      <c r="A11" s="218" t="s">
        <v>213</v>
      </c>
      <c r="B11" s="172">
        <v>2</v>
      </c>
      <c r="C11" s="221" t="s">
        <v>290</v>
      </c>
      <c r="D11" s="213"/>
      <c r="E11" s="171">
        <v>1</v>
      </c>
    </row>
    <row r="12" spans="1:6" ht="13.75" thickBot="1" x14ac:dyDescent="0.75">
      <c r="A12" s="219" t="str">
        <f>A10&amp;"/"&amp;A11&amp;"="</f>
        <v>CA/CL=</v>
      </c>
      <c r="B12" s="206">
        <f>B10/B11</f>
        <v>2</v>
      </c>
      <c r="C12" s="222" t="str">
        <f>A12</f>
        <v>CA/CL=</v>
      </c>
      <c r="D12" s="211"/>
    </row>
    <row r="13" spans="1:6" ht="13.75" thickTop="1" x14ac:dyDescent="0.6"/>
    <row r="14" spans="1:6" x14ac:dyDescent="0.6">
      <c r="A14" s="214" t="s">
        <v>292</v>
      </c>
      <c r="B14" s="214"/>
      <c r="C14" s="214"/>
      <c r="D14" s="214"/>
    </row>
    <row r="15" spans="1:6" x14ac:dyDescent="0.6">
      <c r="A15" s="152" t="s">
        <v>286</v>
      </c>
      <c r="C15" s="166" t="s">
        <v>284</v>
      </c>
      <c r="E15" s="171" t="s">
        <v>291</v>
      </c>
    </row>
    <row r="16" spans="1:6" x14ac:dyDescent="0.6">
      <c r="A16" s="217" t="s">
        <v>212</v>
      </c>
      <c r="B16" s="171">
        <v>5</v>
      </c>
      <c r="C16" s="220" t="s">
        <v>289</v>
      </c>
      <c r="D16" s="212"/>
      <c r="E16" s="171">
        <v>1</v>
      </c>
    </row>
    <row r="17" spans="1:8" ht="13.75" thickBot="1" x14ac:dyDescent="0.75">
      <c r="A17" s="218" t="s">
        <v>213</v>
      </c>
      <c r="B17" s="172">
        <v>6</v>
      </c>
      <c r="C17" s="221" t="s">
        <v>290</v>
      </c>
      <c r="D17" s="213"/>
      <c r="E17" s="171">
        <v>1</v>
      </c>
    </row>
    <row r="18" spans="1:8" ht="13.75" thickBot="1" x14ac:dyDescent="0.75">
      <c r="A18" s="219" t="str">
        <f>A16&amp;"/"&amp;A17&amp;"="</f>
        <v>CA/CL=</v>
      </c>
      <c r="B18" s="206">
        <f>B16/B17</f>
        <v>0.83333333333333337</v>
      </c>
      <c r="C18" s="222" t="str">
        <f>A18</f>
        <v>CA/CL=</v>
      </c>
      <c r="D18" s="211"/>
    </row>
    <row r="19" spans="1:8" ht="13.75" thickTop="1" x14ac:dyDescent="0.6"/>
    <row r="20" spans="1:8" ht="14.75" x14ac:dyDescent="0.75">
      <c r="A20" s="207" t="s">
        <v>529</v>
      </c>
      <c r="B20" s="207" t="s">
        <v>200</v>
      </c>
      <c r="C20" s="208" t="s">
        <v>305</v>
      </c>
      <c r="D20" s="208"/>
      <c r="E20"/>
      <c r="F20"/>
      <c r="G20"/>
      <c r="H20"/>
    </row>
    <row r="21" spans="1:8" ht="14.75" x14ac:dyDescent="0.75">
      <c r="A21" s="214" t="s">
        <v>306</v>
      </c>
      <c r="B21" s="214"/>
      <c r="C21" s="214"/>
      <c r="D21" s="214"/>
      <c r="G21"/>
      <c r="H21"/>
    </row>
    <row r="22" spans="1:8" ht="14.75" x14ac:dyDescent="0.75">
      <c r="A22" s="152" t="s">
        <v>296</v>
      </c>
      <c r="C22" s="152" t="s">
        <v>297</v>
      </c>
      <c r="E22" s="171" t="s">
        <v>298</v>
      </c>
      <c r="G22"/>
      <c r="H22"/>
    </row>
    <row r="23" spans="1:8" ht="14.75" x14ac:dyDescent="0.75">
      <c r="A23" s="217" t="s">
        <v>212</v>
      </c>
      <c r="B23" s="171">
        <v>4</v>
      </c>
      <c r="C23" s="220" t="s">
        <v>299</v>
      </c>
      <c r="D23" s="212"/>
      <c r="E23" s="171">
        <v>1</v>
      </c>
      <c r="G23"/>
      <c r="H23"/>
    </row>
    <row r="24" spans="1:8" ht="15.5" thickBot="1" x14ac:dyDescent="0.9">
      <c r="A24" s="218" t="s">
        <v>213</v>
      </c>
      <c r="B24" s="172">
        <v>2</v>
      </c>
      <c r="C24" s="221" t="s">
        <v>300</v>
      </c>
      <c r="D24" s="213"/>
      <c r="E24" s="171">
        <v>1</v>
      </c>
      <c r="G24"/>
      <c r="H24"/>
    </row>
    <row r="25" spans="1:8" ht="15.5" thickBot="1" x14ac:dyDescent="0.9">
      <c r="A25" s="219" t="str">
        <f>A23&amp;"/"&amp;A24&amp;"="</f>
        <v>CA/CL=</v>
      </c>
      <c r="B25" s="206">
        <f>B23/B24</f>
        <v>2</v>
      </c>
      <c r="C25" s="222" t="str">
        <f>A25</f>
        <v>CA/CL=</v>
      </c>
      <c r="D25" s="211"/>
      <c r="G25"/>
      <c r="H25"/>
    </row>
    <row r="26" spans="1:8" customFormat="1" ht="15.5" thickTop="1" x14ac:dyDescent="0.75"/>
    <row r="27" spans="1:8" customFormat="1" ht="14.75" x14ac:dyDescent="0.75">
      <c r="A27" s="214" t="s">
        <v>307</v>
      </c>
      <c r="B27" s="214"/>
      <c r="C27" s="214"/>
      <c r="D27" s="214"/>
      <c r="E27" s="152"/>
      <c r="F27" s="152"/>
    </row>
    <row r="28" spans="1:8" customFormat="1" ht="14.75" x14ac:dyDescent="0.75">
      <c r="A28" s="152" t="s">
        <v>296</v>
      </c>
      <c r="B28" s="152"/>
      <c r="C28" s="152" t="s">
        <v>297</v>
      </c>
      <c r="D28" s="152"/>
      <c r="E28" s="171" t="s">
        <v>298</v>
      </c>
      <c r="F28" s="152"/>
    </row>
    <row r="29" spans="1:8" customFormat="1" ht="14.75" x14ac:dyDescent="0.75">
      <c r="A29" s="217" t="s">
        <v>212</v>
      </c>
      <c r="B29" s="171">
        <v>5</v>
      </c>
      <c r="C29" s="220" t="s">
        <v>299</v>
      </c>
      <c r="D29" s="212"/>
      <c r="E29" s="171">
        <v>1</v>
      </c>
      <c r="F29" s="152"/>
    </row>
    <row r="30" spans="1:8" customFormat="1" ht="15.5" thickBot="1" x14ac:dyDescent="0.9">
      <c r="A30" s="218" t="s">
        <v>213</v>
      </c>
      <c r="B30" s="172">
        <v>6</v>
      </c>
      <c r="C30" s="221" t="s">
        <v>300</v>
      </c>
      <c r="D30" s="213"/>
      <c r="E30" s="171">
        <v>1</v>
      </c>
      <c r="F30" s="152"/>
    </row>
    <row r="31" spans="1:8" ht="13.75" thickBot="1" x14ac:dyDescent="0.75">
      <c r="A31" s="219" t="str">
        <f>A29&amp;"/"&amp;A30&amp;"="</f>
        <v>CA/CL=</v>
      </c>
      <c r="B31" s="206">
        <f>B29/B30</f>
        <v>0.83333333333333337</v>
      </c>
      <c r="C31" s="222" t="str">
        <f>A31</f>
        <v>CA/CL=</v>
      </c>
      <c r="D31" s="211"/>
    </row>
    <row r="32" spans="1:8" customFormat="1" ht="15.5" thickTop="1" x14ac:dyDescent="0.75"/>
    <row r="33" spans="1:5" customFormat="1" ht="14.75" x14ac:dyDescent="0.75">
      <c r="A33" s="207" t="s">
        <v>201</v>
      </c>
      <c r="B33" s="207" t="s">
        <v>202</v>
      </c>
      <c r="C33" s="208" t="s">
        <v>305</v>
      </c>
      <c r="D33" s="208"/>
    </row>
    <row r="34" spans="1:5" customFormat="1" ht="14.75" x14ac:dyDescent="0.75">
      <c r="A34" s="214" t="s">
        <v>308</v>
      </c>
      <c r="B34" s="214"/>
      <c r="C34" s="214"/>
      <c r="D34" s="214"/>
      <c r="E34" s="152"/>
    </row>
    <row r="35" spans="1:5" customFormat="1" ht="14.75" x14ac:dyDescent="0.75">
      <c r="A35" s="152" t="s">
        <v>302</v>
      </c>
      <c r="B35" s="152"/>
      <c r="C35" s="152" t="s">
        <v>303</v>
      </c>
      <c r="D35" s="152"/>
      <c r="E35" s="171" t="s">
        <v>304</v>
      </c>
    </row>
    <row r="36" spans="1:5" x14ac:dyDescent="0.6">
      <c r="A36" s="217" t="s">
        <v>212</v>
      </c>
      <c r="B36" s="171">
        <v>4</v>
      </c>
      <c r="C36" s="220" t="s">
        <v>299</v>
      </c>
      <c r="D36" s="212"/>
      <c r="E36" s="171">
        <v>1</v>
      </c>
    </row>
    <row r="37" spans="1:5" ht="13.75" thickBot="1" x14ac:dyDescent="0.75">
      <c r="A37" s="218" t="s">
        <v>213</v>
      </c>
      <c r="B37" s="172">
        <v>2</v>
      </c>
      <c r="C37" s="221" t="s">
        <v>301</v>
      </c>
      <c r="D37" s="213"/>
      <c r="E37" s="171">
        <v>1</v>
      </c>
    </row>
    <row r="38" spans="1:5" ht="13.75" thickBot="1" x14ac:dyDescent="0.75">
      <c r="A38" s="219" t="str">
        <f>A36&amp;"/"&amp;A37&amp;"="</f>
        <v>CA/CL=</v>
      </c>
      <c r="B38" s="206">
        <f>B36/B37</f>
        <v>2</v>
      </c>
      <c r="C38" s="222" t="str">
        <f>A38</f>
        <v>CA/CL=</v>
      </c>
      <c r="D38" s="211"/>
    </row>
    <row r="39" spans="1:5" ht="13.75" thickTop="1" x14ac:dyDescent="0.6"/>
    <row r="40" spans="1:5" x14ac:dyDescent="0.6">
      <c r="A40" s="214" t="s">
        <v>309</v>
      </c>
      <c r="B40" s="214"/>
      <c r="C40" s="214"/>
      <c r="D40" s="214"/>
    </row>
    <row r="41" spans="1:5" x14ac:dyDescent="0.6">
      <c r="A41" s="152" t="s">
        <v>302</v>
      </c>
      <c r="C41" s="152" t="s">
        <v>303</v>
      </c>
      <c r="E41" s="171" t="s">
        <v>304</v>
      </c>
    </row>
    <row r="42" spans="1:5" x14ac:dyDescent="0.6">
      <c r="A42" s="217" t="s">
        <v>212</v>
      </c>
      <c r="B42" s="171">
        <v>5</v>
      </c>
      <c r="C42" s="220" t="s">
        <v>299</v>
      </c>
      <c r="D42" s="212"/>
      <c r="E42" s="171">
        <v>1</v>
      </c>
    </row>
    <row r="43" spans="1:5" ht="13.75" thickBot="1" x14ac:dyDescent="0.75">
      <c r="A43" s="218" t="s">
        <v>213</v>
      </c>
      <c r="B43" s="172">
        <v>6</v>
      </c>
      <c r="C43" s="221" t="s">
        <v>301</v>
      </c>
      <c r="D43" s="213"/>
      <c r="E43" s="171">
        <v>1</v>
      </c>
    </row>
    <row r="44" spans="1:5" ht="13.75" thickBot="1" x14ac:dyDescent="0.75">
      <c r="A44" s="219" t="str">
        <f>A42&amp;"/"&amp;A43&amp;"="</f>
        <v>CA/CL=</v>
      </c>
      <c r="B44" s="206">
        <f>B42/B43</f>
        <v>0.83333333333333337</v>
      </c>
      <c r="C44" s="222" t="str">
        <f>A44</f>
        <v>CA/CL=</v>
      </c>
      <c r="D44" s="211"/>
    </row>
    <row r="45" spans="1:5" ht="13.75" thickTop="1" x14ac:dyDescent="0.6"/>
    <row r="46" spans="1:5" x14ac:dyDescent="0.6">
      <c r="A46" s="207" t="s">
        <v>203</v>
      </c>
      <c r="B46" s="207" t="s">
        <v>204</v>
      </c>
      <c r="C46" s="208" t="s">
        <v>205</v>
      </c>
      <c r="D46" s="208"/>
      <c r="E46" s="208"/>
    </row>
    <row r="47" spans="1:5" x14ac:dyDescent="0.6">
      <c r="A47" s="214" t="s">
        <v>310</v>
      </c>
      <c r="B47" s="214"/>
      <c r="C47" s="214"/>
      <c r="D47" s="214"/>
    </row>
    <row r="48" spans="1:5" x14ac:dyDescent="0.6">
      <c r="A48" s="152" t="s">
        <v>313</v>
      </c>
      <c r="C48" s="152" t="s">
        <v>314</v>
      </c>
      <c r="E48" s="171" t="s">
        <v>311</v>
      </c>
    </row>
    <row r="49" spans="1:6" x14ac:dyDescent="0.6">
      <c r="A49" s="217" t="s">
        <v>212</v>
      </c>
      <c r="B49" s="171">
        <v>4</v>
      </c>
      <c r="C49" s="220" t="s">
        <v>299</v>
      </c>
      <c r="D49" s="212"/>
      <c r="E49" s="171">
        <v>1</v>
      </c>
    </row>
    <row r="50" spans="1:6" ht="13.75" thickBot="1" x14ac:dyDescent="0.75">
      <c r="A50" s="218" t="s">
        <v>213</v>
      </c>
      <c r="B50" s="172">
        <v>2</v>
      </c>
      <c r="C50" s="221" t="s">
        <v>312</v>
      </c>
      <c r="D50" s="213"/>
      <c r="E50" s="171"/>
    </row>
    <row r="51" spans="1:6" ht="13.75" thickBot="1" x14ac:dyDescent="0.75">
      <c r="A51" s="219" t="str">
        <f>A49&amp;"/"&amp;A50&amp;"="</f>
        <v>CA/CL=</v>
      </c>
      <c r="B51" s="206">
        <f>B49/B50</f>
        <v>2</v>
      </c>
      <c r="C51" s="222" t="str">
        <f>A51</f>
        <v>CA/CL=</v>
      </c>
      <c r="D51" s="211"/>
      <c r="E51" s="152" t="s">
        <v>315</v>
      </c>
    </row>
    <row r="52" spans="1:6" ht="13.75" thickTop="1" x14ac:dyDescent="0.6"/>
    <row r="53" spans="1:6" ht="14.75" x14ac:dyDescent="0.75">
      <c r="A53" s="207" t="s">
        <v>206</v>
      </c>
      <c r="B53" s="207" t="s">
        <v>207</v>
      </c>
      <c r="C53" s="208" t="s">
        <v>208</v>
      </c>
      <c r="D53" s="208"/>
      <c r="E53"/>
    </row>
    <row r="54" spans="1:6" x14ac:dyDescent="0.6">
      <c r="A54" s="214" t="s">
        <v>318</v>
      </c>
      <c r="B54" s="214"/>
      <c r="C54" s="214"/>
      <c r="D54" s="214"/>
    </row>
    <row r="55" spans="1:6" x14ac:dyDescent="0.6">
      <c r="A55" s="152" t="s">
        <v>316</v>
      </c>
      <c r="C55" s="152" t="s">
        <v>317</v>
      </c>
      <c r="E55" s="171" t="s">
        <v>319</v>
      </c>
      <c r="F55" s="152" t="s">
        <v>320</v>
      </c>
    </row>
    <row r="56" spans="1:6" x14ac:dyDescent="0.6">
      <c r="A56" s="217" t="s">
        <v>212</v>
      </c>
      <c r="B56" s="171">
        <v>4</v>
      </c>
      <c r="C56" s="220" t="s">
        <v>325</v>
      </c>
      <c r="D56" s="212"/>
      <c r="E56" s="171">
        <v>1</v>
      </c>
      <c r="F56" s="171">
        <v>1</v>
      </c>
    </row>
    <row r="57" spans="1:6" ht="13.75" thickBot="1" x14ac:dyDescent="0.75">
      <c r="A57" s="218" t="s">
        <v>213</v>
      </c>
      <c r="B57" s="172">
        <v>2</v>
      </c>
      <c r="C57" s="221" t="s">
        <v>312</v>
      </c>
      <c r="D57" s="209"/>
    </row>
    <row r="58" spans="1:6" ht="13.75" thickBot="1" x14ac:dyDescent="0.75">
      <c r="A58" s="219" t="str">
        <f>A56&amp;"/"&amp;A57&amp;"="</f>
        <v>CA/CL=</v>
      </c>
      <c r="B58" s="206">
        <f>B56/B57</f>
        <v>2</v>
      </c>
      <c r="C58" s="222" t="str">
        <f>A58</f>
        <v>CA/CL=</v>
      </c>
      <c r="D58" s="211"/>
    </row>
    <row r="59" spans="1:6" ht="15.5" thickTop="1" x14ac:dyDescent="0.75">
      <c r="A59"/>
      <c r="B59"/>
      <c r="C59"/>
    </row>
    <row r="60" spans="1:6" ht="14.75" x14ac:dyDescent="0.75">
      <c r="A60" s="207" t="s">
        <v>209</v>
      </c>
      <c r="B60" s="207" t="s">
        <v>210</v>
      </c>
      <c r="C60" s="208" t="s">
        <v>208</v>
      </c>
      <c r="D60" s="208"/>
      <c r="E60"/>
    </row>
    <row r="61" spans="1:6" ht="26" x14ac:dyDescent="0.6">
      <c r="A61" s="214" t="s">
        <v>321</v>
      </c>
      <c r="B61" s="214"/>
      <c r="C61" s="214"/>
      <c r="D61" s="214"/>
    </row>
    <row r="62" spans="1:6" x14ac:dyDescent="0.6">
      <c r="A62" s="152" t="s">
        <v>322</v>
      </c>
      <c r="C62" s="152" t="s">
        <v>323</v>
      </c>
      <c r="E62" s="171" t="s">
        <v>319</v>
      </c>
      <c r="F62" s="152" t="s">
        <v>324</v>
      </c>
    </row>
    <row r="63" spans="1:6" x14ac:dyDescent="0.6">
      <c r="A63" s="217" t="s">
        <v>212</v>
      </c>
      <c r="B63" s="171">
        <v>4</v>
      </c>
      <c r="C63" s="220" t="s">
        <v>326</v>
      </c>
      <c r="D63" s="212"/>
      <c r="E63" s="171">
        <v>1</v>
      </c>
      <c r="F63" s="171">
        <v>1</v>
      </c>
    </row>
    <row r="64" spans="1:6" ht="13.75" thickBot="1" x14ac:dyDescent="0.75">
      <c r="A64" s="218" t="s">
        <v>213</v>
      </c>
      <c r="B64" s="172">
        <v>2</v>
      </c>
      <c r="C64" s="221" t="s">
        <v>312</v>
      </c>
      <c r="D64" s="209"/>
    </row>
    <row r="65" spans="1:6" ht="13.75" thickBot="1" x14ac:dyDescent="0.75">
      <c r="A65" s="219" t="str">
        <f>A63&amp;"/"&amp;A64&amp;"="</f>
        <v>CA/CL=</v>
      </c>
      <c r="B65" s="206">
        <f>B63/B64</f>
        <v>2</v>
      </c>
      <c r="C65" s="222" t="str">
        <f>A65</f>
        <v>CA/CL=</v>
      </c>
      <c r="D65" s="211"/>
    </row>
    <row r="66" spans="1:6" ht="13.75" thickTop="1" x14ac:dyDescent="0.6"/>
    <row r="67" spans="1:6" ht="14.75" x14ac:dyDescent="0.75">
      <c r="A67" s="207" t="s">
        <v>209</v>
      </c>
      <c r="B67" s="207" t="s">
        <v>327</v>
      </c>
      <c r="C67" s="208" t="s">
        <v>328</v>
      </c>
      <c r="D67" s="208"/>
      <c r="E67"/>
    </row>
    <row r="68" spans="1:6" ht="26" x14ac:dyDescent="0.6">
      <c r="A68" s="214" t="s">
        <v>329</v>
      </c>
      <c r="B68" s="214"/>
      <c r="C68" s="214"/>
      <c r="D68" s="214"/>
    </row>
    <row r="69" spans="1:6" x14ac:dyDescent="0.6">
      <c r="A69" s="152" t="s">
        <v>330</v>
      </c>
      <c r="C69" s="152" t="s">
        <v>331</v>
      </c>
      <c r="E69" s="171" t="s">
        <v>332</v>
      </c>
      <c r="F69" s="152" t="s">
        <v>324</v>
      </c>
    </row>
    <row r="70" spans="1:6" x14ac:dyDescent="0.6">
      <c r="A70" s="217" t="s">
        <v>212</v>
      </c>
      <c r="B70" s="171">
        <v>4</v>
      </c>
      <c r="C70" s="220" t="s">
        <v>333</v>
      </c>
      <c r="D70" s="212"/>
      <c r="E70" s="171">
        <v>2</v>
      </c>
      <c r="F70" s="171">
        <v>1</v>
      </c>
    </row>
    <row r="71" spans="1:6" ht="13.75" thickBot="1" x14ac:dyDescent="0.75">
      <c r="A71" s="218" t="s">
        <v>213</v>
      </c>
      <c r="B71" s="172">
        <v>2</v>
      </c>
      <c r="C71" s="221" t="s">
        <v>312</v>
      </c>
      <c r="D71" s="209"/>
    </row>
    <row r="72" spans="1:6" ht="13.75" thickBot="1" x14ac:dyDescent="0.75">
      <c r="A72" s="219" t="str">
        <f>A70&amp;"/"&amp;A71&amp;"="</f>
        <v>CA/CL=</v>
      </c>
      <c r="B72" s="206">
        <f>B70/B71</f>
        <v>2</v>
      </c>
      <c r="C72" s="222" t="str">
        <f>A72</f>
        <v>CA/CL=</v>
      </c>
      <c r="D72" s="211"/>
    </row>
    <row r="73" spans="1:6" ht="13.75" thickTop="1" x14ac:dyDescent="0.6"/>
    <row r="75" spans="1:6" ht="26.75" x14ac:dyDescent="0.75">
      <c r="A75" s="207" t="s">
        <v>211</v>
      </c>
      <c r="B75" s="215" t="s">
        <v>1171</v>
      </c>
      <c r="C75" s="208" t="s">
        <v>1172</v>
      </c>
      <c r="D75" s="208"/>
      <c r="E75"/>
    </row>
    <row r="76" spans="1:6" x14ac:dyDescent="0.6">
      <c r="A76" s="214" t="s">
        <v>1175</v>
      </c>
      <c r="B76" s="214"/>
      <c r="C76" s="214"/>
      <c r="D76" s="214"/>
    </row>
    <row r="77" spans="1:6" x14ac:dyDescent="0.6">
      <c r="A77" s="152" t="s">
        <v>1173</v>
      </c>
      <c r="C77" s="152" t="s">
        <v>1174</v>
      </c>
      <c r="E77" s="152" t="s">
        <v>1177</v>
      </c>
    </row>
    <row r="78" spans="1:6" x14ac:dyDescent="0.6">
      <c r="A78" s="217" t="s">
        <v>212</v>
      </c>
      <c r="B78" s="171">
        <v>4</v>
      </c>
      <c r="C78" s="220" t="s">
        <v>1178</v>
      </c>
      <c r="D78" s="212"/>
      <c r="E78" s="171">
        <v>1</v>
      </c>
    </row>
    <row r="79" spans="1:6" ht="13.75" thickBot="1" x14ac:dyDescent="0.75">
      <c r="A79" s="218" t="s">
        <v>213</v>
      </c>
      <c r="B79" s="172">
        <v>2</v>
      </c>
      <c r="C79" s="221" t="s">
        <v>1176</v>
      </c>
      <c r="D79" s="209"/>
    </row>
    <row r="80" spans="1:6" ht="13.75" thickBot="1" x14ac:dyDescent="0.75">
      <c r="A80" s="219" t="str">
        <f>A78&amp;"/"&amp;A79&amp;"="</f>
        <v>CA/CL=</v>
      </c>
      <c r="B80" s="206">
        <f>B78/B79</f>
        <v>2</v>
      </c>
      <c r="C80" s="222" t="str">
        <f>A80</f>
        <v>CA/CL=</v>
      </c>
      <c r="D80" s="211"/>
    </row>
    <row r="81" ht="13.75" thickTop="1" x14ac:dyDescent="0.6"/>
  </sheetData>
  <printOptions horizontalCentered="1"/>
  <pageMargins left="0.75" right="0.75" top="1" bottom="1" header="0.5" footer="0.5"/>
  <pageSetup orientation="landscape" r:id="rId1"/>
  <headerFooter alignWithMargins="0">
    <oddHeader>&amp;CChapter 3 Homework - &amp;A</oddHeader>
    <oddFooter>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7FB2D-109A-4229-8604-784782F83A11}">
  <sheetPr codeName="Sheet11">
    <tabColor rgb="FFFF0000"/>
  </sheetPr>
  <dimension ref="A1:H81"/>
  <sheetViews>
    <sheetView zoomScaleNormal="100" workbookViewId="0"/>
  </sheetViews>
  <sheetFormatPr defaultColWidth="9.08984375" defaultRowHeight="13" x14ac:dyDescent="0.6"/>
  <cols>
    <col min="1" max="1" width="9.08984375" style="152" customWidth="1"/>
    <col min="2" max="2" width="23.76953125" style="152" bestFit="1" customWidth="1"/>
    <col min="3" max="3" width="37.76953125" style="166" customWidth="1"/>
    <col min="4" max="4" width="9.08984375" style="152" customWidth="1"/>
    <col min="5" max="5" width="30.76953125" style="152" bestFit="1" customWidth="1"/>
    <col min="6" max="6" width="16.2265625" style="152" bestFit="1" customWidth="1"/>
    <col min="7" max="16384" width="9.08984375" style="152"/>
  </cols>
  <sheetData>
    <row r="1" spans="1:6" ht="26" x14ac:dyDescent="0.6">
      <c r="A1" s="207" t="s">
        <v>198</v>
      </c>
      <c r="B1" s="207" t="s">
        <v>199</v>
      </c>
      <c r="C1" s="208" t="s">
        <v>293</v>
      </c>
      <c r="D1" s="208"/>
      <c r="E1" s="208"/>
      <c r="F1" s="208"/>
    </row>
    <row r="2" spans="1:6" x14ac:dyDescent="0.6">
      <c r="A2" s="214" t="s">
        <v>287</v>
      </c>
      <c r="B2" s="214"/>
      <c r="C2" s="214"/>
      <c r="D2" s="214"/>
    </row>
    <row r="3" spans="1:6" x14ac:dyDescent="0.6">
      <c r="A3" s="152" t="s">
        <v>286</v>
      </c>
      <c r="C3" s="166" t="s">
        <v>284</v>
      </c>
      <c r="E3" s="171" t="s">
        <v>295</v>
      </c>
      <c r="F3" s="171" t="s">
        <v>294</v>
      </c>
    </row>
    <row r="4" spans="1:6" ht="26" x14ac:dyDescent="0.6">
      <c r="A4" s="217" t="s">
        <v>212</v>
      </c>
      <c r="B4" s="171">
        <v>4</v>
      </c>
      <c r="C4" s="220" t="s">
        <v>285</v>
      </c>
      <c r="D4" s="209">
        <f>B4-E4+F4</f>
        <v>4</v>
      </c>
      <c r="E4" s="171">
        <v>1</v>
      </c>
      <c r="F4" s="171">
        <v>1</v>
      </c>
    </row>
    <row r="5" spans="1:6" ht="13.75" thickBot="1" x14ac:dyDescent="0.75">
      <c r="A5" s="218" t="s">
        <v>213</v>
      </c>
      <c r="B5" s="172">
        <v>2</v>
      </c>
      <c r="C5" s="221" t="s">
        <v>213</v>
      </c>
      <c r="D5" s="210">
        <v>2</v>
      </c>
    </row>
    <row r="6" spans="1:6" ht="13.75" thickBot="1" x14ac:dyDescent="0.75">
      <c r="A6" s="219" t="str">
        <f>A4&amp;"/"&amp;A5&amp;"="</f>
        <v>CA/CL=</v>
      </c>
      <c r="B6" s="206">
        <f>B4/B5</f>
        <v>2</v>
      </c>
      <c r="C6" s="222" t="str">
        <f>A6</f>
        <v>CA/CL=</v>
      </c>
      <c r="D6" s="211">
        <f>D4/D5</f>
        <v>2</v>
      </c>
    </row>
    <row r="7" spans="1:6" ht="13.75" thickTop="1" x14ac:dyDescent="0.6"/>
    <row r="8" spans="1:6" x14ac:dyDescent="0.6">
      <c r="A8" s="214" t="s">
        <v>288</v>
      </c>
      <c r="B8" s="214"/>
      <c r="C8" s="214"/>
      <c r="D8" s="214"/>
    </row>
    <row r="9" spans="1:6" x14ac:dyDescent="0.6">
      <c r="A9" s="152" t="s">
        <v>286</v>
      </c>
      <c r="C9" s="166" t="s">
        <v>284</v>
      </c>
      <c r="E9" s="171" t="s">
        <v>291</v>
      </c>
    </row>
    <row r="10" spans="1:6" x14ac:dyDescent="0.6">
      <c r="A10" s="217" t="s">
        <v>212</v>
      </c>
      <c r="B10" s="171">
        <v>4</v>
      </c>
      <c r="C10" s="220" t="s">
        <v>289</v>
      </c>
      <c r="D10" s="212">
        <f>B10+E10</f>
        <v>5</v>
      </c>
      <c r="E10" s="171">
        <v>1</v>
      </c>
    </row>
    <row r="11" spans="1:6" ht="13.75" thickBot="1" x14ac:dyDescent="0.75">
      <c r="A11" s="218" t="s">
        <v>213</v>
      </c>
      <c r="B11" s="172">
        <v>2</v>
      </c>
      <c r="C11" s="221" t="s">
        <v>290</v>
      </c>
      <c r="D11" s="213">
        <f>B11+E11</f>
        <v>3</v>
      </c>
      <c r="E11" s="171">
        <v>1</v>
      </c>
    </row>
    <row r="12" spans="1:6" ht="13.75" thickBot="1" x14ac:dyDescent="0.75">
      <c r="A12" s="219" t="str">
        <f>A10&amp;"/"&amp;A11&amp;"="</f>
        <v>CA/CL=</v>
      </c>
      <c r="B12" s="206">
        <f>B10/B11</f>
        <v>2</v>
      </c>
      <c r="C12" s="222" t="str">
        <f>A12</f>
        <v>CA/CL=</v>
      </c>
      <c r="D12" s="211">
        <f>D10/D11</f>
        <v>1.6666666666666667</v>
      </c>
    </row>
    <row r="13" spans="1:6" ht="13.75" thickTop="1" x14ac:dyDescent="0.6"/>
    <row r="14" spans="1:6" x14ac:dyDescent="0.6">
      <c r="A14" s="214" t="s">
        <v>292</v>
      </c>
      <c r="B14" s="214"/>
      <c r="C14" s="214"/>
      <c r="D14" s="214"/>
    </row>
    <row r="15" spans="1:6" x14ac:dyDescent="0.6">
      <c r="A15" s="152" t="s">
        <v>286</v>
      </c>
      <c r="C15" s="166" t="s">
        <v>284</v>
      </c>
      <c r="E15" s="171" t="s">
        <v>291</v>
      </c>
    </row>
    <row r="16" spans="1:6" x14ac:dyDescent="0.6">
      <c r="A16" s="217" t="s">
        <v>212</v>
      </c>
      <c r="B16" s="171">
        <v>5</v>
      </c>
      <c r="C16" s="220" t="s">
        <v>289</v>
      </c>
      <c r="D16" s="212">
        <f>B16+E16</f>
        <v>6</v>
      </c>
      <c r="E16" s="171">
        <v>1</v>
      </c>
    </row>
    <row r="17" spans="1:8" ht="13.75" thickBot="1" x14ac:dyDescent="0.75">
      <c r="A17" s="218" t="s">
        <v>213</v>
      </c>
      <c r="B17" s="172">
        <v>6</v>
      </c>
      <c r="C17" s="221" t="s">
        <v>290</v>
      </c>
      <c r="D17" s="213">
        <f>B17+E17</f>
        <v>7</v>
      </c>
      <c r="E17" s="171">
        <v>1</v>
      </c>
    </row>
    <row r="18" spans="1:8" ht="13.75" thickBot="1" x14ac:dyDescent="0.75">
      <c r="A18" s="219" t="str">
        <f>A16&amp;"/"&amp;A17&amp;"="</f>
        <v>CA/CL=</v>
      </c>
      <c r="B18" s="206">
        <f>B16/B17</f>
        <v>0.83333333333333337</v>
      </c>
      <c r="C18" s="222" t="str">
        <f>A18</f>
        <v>CA/CL=</v>
      </c>
      <c r="D18" s="211">
        <f>D16/D17</f>
        <v>0.8571428571428571</v>
      </c>
    </row>
    <row r="19" spans="1:8" ht="13.75" thickTop="1" x14ac:dyDescent="0.6"/>
    <row r="20" spans="1:8" ht="14.75" x14ac:dyDescent="0.75">
      <c r="A20" s="207" t="s">
        <v>529</v>
      </c>
      <c r="B20" s="207" t="s">
        <v>200</v>
      </c>
      <c r="C20" s="208" t="s">
        <v>305</v>
      </c>
      <c r="D20" s="208"/>
      <c r="E20"/>
      <c r="F20"/>
      <c r="G20"/>
      <c r="H20"/>
    </row>
    <row r="21" spans="1:8" ht="14.75" x14ac:dyDescent="0.75">
      <c r="A21" s="214" t="s">
        <v>306</v>
      </c>
      <c r="B21" s="214"/>
      <c r="C21" s="214"/>
      <c r="D21" s="214"/>
      <c r="G21"/>
      <c r="H21"/>
    </row>
    <row r="22" spans="1:8" ht="14.75" x14ac:dyDescent="0.75">
      <c r="A22" s="152" t="s">
        <v>296</v>
      </c>
      <c r="C22" s="152" t="s">
        <v>297</v>
      </c>
      <c r="E22" s="171" t="s">
        <v>298</v>
      </c>
      <c r="G22"/>
      <c r="H22"/>
    </row>
    <row r="23" spans="1:8" ht="14.75" x14ac:dyDescent="0.75">
      <c r="A23" s="217" t="s">
        <v>212</v>
      </c>
      <c r="B23" s="171">
        <v>4</v>
      </c>
      <c r="C23" s="220" t="s">
        <v>299</v>
      </c>
      <c r="D23" s="212">
        <f>B23-E23</f>
        <v>3</v>
      </c>
      <c r="E23" s="171">
        <v>1</v>
      </c>
      <c r="G23"/>
      <c r="H23"/>
    </row>
    <row r="24" spans="1:8" ht="15.5" thickBot="1" x14ac:dyDescent="0.9">
      <c r="A24" s="218" t="s">
        <v>213</v>
      </c>
      <c r="B24" s="172">
        <v>2</v>
      </c>
      <c r="C24" s="221" t="s">
        <v>300</v>
      </c>
      <c r="D24" s="213">
        <f>B24-E24</f>
        <v>1</v>
      </c>
      <c r="E24" s="171">
        <v>1</v>
      </c>
      <c r="G24"/>
      <c r="H24"/>
    </row>
    <row r="25" spans="1:8" ht="15.5" thickBot="1" x14ac:dyDescent="0.9">
      <c r="A25" s="219" t="str">
        <f>A23&amp;"/"&amp;A24&amp;"="</f>
        <v>CA/CL=</v>
      </c>
      <c r="B25" s="206">
        <f>B23/B24</f>
        <v>2</v>
      </c>
      <c r="C25" s="222" t="str">
        <f>A25</f>
        <v>CA/CL=</v>
      </c>
      <c r="D25" s="211">
        <f>D23/D24</f>
        <v>3</v>
      </c>
      <c r="G25"/>
      <c r="H25"/>
    </row>
    <row r="26" spans="1:8" customFormat="1" ht="15.5" thickTop="1" x14ac:dyDescent="0.75"/>
    <row r="27" spans="1:8" customFormat="1" ht="14.75" x14ac:dyDescent="0.75">
      <c r="A27" s="214" t="s">
        <v>307</v>
      </c>
      <c r="B27" s="214"/>
      <c r="C27" s="214"/>
      <c r="D27" s="214"/>
      <c r="E27" s="152"/>
      <c r="F27" s="152"/>
    </row>
    <row r="28" spans="1:8" customFormat="1" ht="14.75" x14ac:dyDescent="0.75">
      <c r="A28" s="152" t="s">
        <v>296</v>
      </c>
      <c r="B28" s="152"/>
      <c r="C28" s="152" t="s">
        <v>297</v>
      </c>
      <c r="D28" s="152"/>
      <c r="E28" s="171" t="s">
        <v>298</v>
      </c>
      <c r="F28" s="152"/>
    </row>
    <row r="29" spans="1:8" customFormat="1" ht="14.75" x14ac:dyDescent="0.75">
      <c r="A29" s="217" t="s">
        <v>212</v>
      </c>
      <c r="B29" s="171">
        <v>5</v>
      </c>
      <c r="C29" s="220" t="s">
        <v>299</v>
      </c>
      <c r="D29" s="212">
        <f>B29-E29</f>
        <v>4</v>
      </c>
      <c r="E29" s="171">
        <v>1</v>
      </c>
      <c r="F29" s="152"/>
    </row>
    <row r="30" spans="1:8" customFormat="1" ht="15.5" thickBot="1" x14ac:dyDescent="0.9">
      <c r="A30" s="218" t="s">
        <v>213</v>
      </c>
      <c r="B30" s="172">
        <v>6</v>
      </c>
      <c r="C30" s="221" t="s">
        <v>300</v>
      </c>
      <c r="D30" s="213">
        <f>B30-E30</f>
        <v>5</v>
      </c>
      <c r="E30" s="171">
        <v>1</v>
      </c>
      <c r="F30" s="152"/>
    </row>
    <row r="31" spans="1:8" ht="13.75" thickBot="1" x14ac:dyDescent="0.75">
      <c r="A31" s="219" t="str">
        <f>A29&amp;"/"&amp;A30&amp;"="</f>
        <v>CA/CL=</v>
      </c>
      <c r="B31" s="206">
        <f>B29/B30</f>
        <v>0.83333333333333337</v>
      </c>
      <c r="C31" s="222" t="str">
        <f>A31</f>
        <v>CA/CL=</v>
      </c>
      <c r="D31" s="211">
        <f>D29/D30</f>
        <v>0.8</v>
      </c>
    </row>
    <row r="32" spans="1:8" customFormat="1" ht="15.5" thickTop="1" x14ac:dyDescent="0.75"/>
    <row r="33" spans="1:5" customFormat="1" ht="14.75" x14ac:dyDescent="0.75">
      <c r="A33" s="207" t="s">
        <v>201</v>
      </c>
      <c r="B33" s="207" t="s">
        <v>202</v>
      </c>
      <c r="C33" s="208" t="s">
        <v>305</v>
      </c>
      <c r="D33" s="208"/>
    </row>
    <row r="34" spans="1:5" customFormat="1" ht="14.75" x14ac:dyDescent="0.75">
      <c r="A34" s="214" t="s">
        <v>308</v>
      </c>
      <c r="B34" s="214"/>
      <c r="C34" s="214"/>
      <c r="D34" s="214"/>
      <c r="E34" s="152"/>
    </row>
    <row r="35" spans="1:5" customFormat="1" ht="14.75" x14ac:dyDescent="0.75">
      <c r="A35" s="152" t="s">
        <v>302</v>
      </c>
      <c r="B35" s="152"/>
      <c r="C35" s="152" t="s">
        <v>303</v>
      </c>
      <c r="D35" s="152"/>
      <c r="E35" s="171" t="s">
        <v>304</v>
      </c>
    </row>
    <row r="36" spans="1:5" x14ac:dyDescent="0.6">
      <c r="A36" s="217" t="s">
        <v>212</v>
      </c>
      <c r="B36" s="171">
        <v>4</v>
      </c>
      <c r="C36" s="220" t="s">
        <v>299</v>
      </c>
      <c r="D36" s="212">
        <f>B36-E36</f>
        <v>3</v>
      </c>
      <c r="E36" s="171">
        <v>1</v>
      </c>
    </row>
    <row r="37" spans="1:5" ht="13.75" thickBot="1" x14ac:dyDescent="0.75">
      <c r="A37" s="218" t="s">
        <v>213</v>
      </c>
      <c r="B37" s="172">
        <v>2</v>
      </c>
      <c r="C37" s="221" t="s">
        <v>301</v>
      </c>
      <c r="D37" s="213">
        <f>B37-E37</f>
        <v>1</v>
      </c>
      <c r="E37" s="171">
        <v>1</v>
      </c>
    </row>
    <row r="38" spans="1:5" ht="13.75" thickBot="1" x14ac:dyDescent="0.75">
      <c r="A38" s="219" t="str">
        <f>A36&amp;"/"&amp;A37&amp;"="</f>
        <v>CA/CL=</v>
      </c>
      <c r="B38" s="206">
        <f>B36/B37</f>
        <v>2</v>
      </c>
      <c r="C38" s="222" t="str">
        <f>A38</f>
        <v>CA/CL=</v>
      </c>
      <c r="D38" s="211">
        <f>D36/D37</f>
        <v>3</v>
      </c>
    </row>
    <row r="39" spans="1:5" ht="13.75" thickTop="1" x14ac:dyDescent="0.6"/>
    <row r="40" spans="1:5" x14ac:dyDescent="0.6">
      <c r="A40" s="214" t="s">
        <v>309</v>
      </c>
      <c r="B40" s="214"/>
      <c r="C40" s="214"/>
      <c r="D40" s="214"/>
    </row>
    <row r="41" spans="1:5" x14ac:dyDescent="0.6">
      <c r="A41" s="152" t="s">
        <v>302</v>
      </c>
      <c r="C41" s="152" t="s">
        <v>303</v>
      </c>
      <c r="E41" s="171" t="s">
        <v>304</v>
      </c>
    </row>
    <row r="42" spans="1:5" x14ac:dyDescent="0.6">
      <c r="A42" s="217" t="s">
        <v>212</v>
      </c>
      <c r="B42" s="171">
        <v>5</v>
      </c>
      <c r="C42" s="220" t="s">
        <v>299</v>
      </c>
      <c r="D42" s="212">
        <f>B42-E42</f>
        <v>4</v>
      </c>
      <c r="E42" s="171">
        <v>1</v>
      </c>
    </row>
    <row r="43" spans="1:5" ht="13.75" thickBot="1" x14ac:dyDescent="0.75">
      <c r="A43" s="218" t="s">
        <v>213</v>
      </c>
      <c r="B43" s="172">
        <v>6</v>
      </c>
      <c r="C43" s="221" t="s">
        <v>301</v>
      </c>
      <c r="D43" s="213">
        <f>B43-E43</f>
        <v>5</v>
      </c>
      <c r="E43" s="171">
        <v>1</v>
      </c>
    </row>
    <row r="44" spans="1:5" ht="13.75" thickBot="1" x14ac:dyDescent="0.75">
      <c r="A44" s="219" t="str">
        <f>A42&amp;"/"&amp;A43&amp;"="</f>
        <v>CA/CL=</v>
      </c>
      <c r="B44" s="206">
        <f>B42/B43</f>
        <v>0.83333333333333337</v>
      </c>
      <c r="C44" s="222" t="str">
        <f>A44</f>
        <v>CA/CL=</v>
      </c>
      <c r="D44" s="211">
        <f>D42/D43</f>
        <v>0.8</v>
      </c>
    </row>
    <row r="45" spans="1:5" ht="13.75" thickTop="1" x14ac:dyDescent="0.6"/>
    <row r="46" spans="1:5" x14ac:dyDescent="0.6">
      <c r="A46" s="207" t="s">
        <v>203</v>
      </c>
      <c r="B46" s="207" t="s">
        <v>204</v>
      </c>
      <c r="C46" s="208" t="s">
        <v>205</v>
      </c>
      <c r="D46" s="208"/>
      <c r="E46" s="208"/>
    </row>
    <row r="47" spans="1:5" x14ac:dyDescent="0.6">
      <c r="A47" s="214" t="s">
        <v>310</v>
      </c>
      <c r="B47" s="214"/>
      <c r="C47" s="214"/>
      <c r="D47" s="214"/>
    </row>
    <row r="48" spans="1:5" x14ac:dyDescent="0.6">
      <c r="A48" s="152" t="s">
        <v>313</v>
      </c>
      <c r="C48" s="152" t="s">
        <v>314</v>
      </c>
      <c r="E48" s="171" t="s">
        <v>311</v>
      </c>
    </row>
    <row r="49" spans="1:6" x14ac:dyDescent="0.6">
      <c r="A49" s="217" t="s">
        <v>212</v>
      </c>
      <c r="B49" s="171">
        <v>4</v>
      </c>
      <c r="C49" s="220" t="s">
        <v>299</v>
      </c>
      <c r="D49" s="212">
        <f>B49-E49</f>
        <v>3</v>
      </c>
      <c r="E49" s="171">
        <v>1</v>
      </c>
    </row>
    <row r="50" spans="1:6" ht="13.75" thickBot="1" x14ac:dyDescent="0.75">
      <c r="A50" s="218" t="s">
        <v>213</v>
      </c>
      <c r="B50" s="172">
        <v>2</v>
      </c>
      <c r="C50" s="221" t="s">
        <v>312</v>
      </c>
      <c r="D50" s="213">
        <f>B50-E50</f>
        <v>2</v>
      </c>
      <c r="E50" s="171"/>
    </row>
    <row r="51" spans="1:6" ht="13.75" thickBot="1" x14ac:dyDescent="0.75">
      <c r="A51" s="219" t="str">
        <f>A49&amp;"/"&amp;A50&amp;"="</f>
        <v>CA/CL=</v>
      </c>
      <c r="B51" s="206">
        <f>B49/B50</f>
        <v>2</v>
      </c>
      <c r="C51" s="222" t="str">
        <f>A51</f>
        <v>CA/CL=</v>
      </c>
      <c r="D51" s="211">
        <f>D49/D50</f>
        <v>1.5</v>
      </c>
      <c r="E51" s="152" t="s">
        <v>315</v>
      </c>
    </row>
    <row r="52" spans="1:6" ht="13.75" thickTop="1" x14ac:dyDescent="0.6"/>
    <row r="53" spans="1:6" ht="14.75" x14ac:dyDescent="0.75">
      <c r="A53" s="207" t="s">
        <v>206</v>
      </c>
      <c r="B53" s="207" t="s">
        <v>207</v>
      </c>
      <c r="C53" s="208" t="s">
        <v>208</v>
      </c>
      <c r="D53" s="208"/>
      <c r="E53"/>
    </row>
    <row r="54" spans="1:6" x14ac:dyDescent="0.6">
      <c r="A54" s="214" t="s">
        <v>318</v>
      </c>
      <c r="B54" s="214"/>
      <c r="C54" s="214"/>
      <c r="D54" s="214"/>
    </row>
    <row r="55" spans="1:6" x14ac:dyDescent="0.6">
      <c r="A55" s="152" t="s">
        <v>316</v>
      </c>
      <c r="C55" s="152" t="s">
        <v>317</v>
      </c>
      <c r="E55" s="171" t="s">
        <v>319</v>
      </c>
      <c r="F55" s="152" t="s">
        <v>320</v>
      </c>
    </row>
    <row r="56" spans="1:6" x14ac:dyDescent="0.6">
      <c r="A56" s="217" t="s">
        <v>212</v>
      </c>
      <c r="B56" s="171">
        <v>4</v>
      </c>
      <c r="C56" s="220" t="s">
        <v>325</v>
      </c>
      <c r="D56" s="212">
        <f>B56+E56-F56</f>
        <v>4</v>
      </c>
      <c r="E56" s="171">
        <v>1</v>
      </c>
      <c r="F56" s="171">
        <v>1</v>
      </c>
    </row>
    <row r="57" spans="1:6" ht="13.75" thickBot="1" x14ac:dyDescent="0.75">
      <c r="A57" s="218" t="s">
        <v>213</v>
      </c>
      <c r="B57" s="172">
        <v>2</v>
      </c>
      <c r="C57" s="221" t="s">
        <v>312</v>
      </c>
      <c r="D57" s="209">
        <f>B57</f>
        <v>2</v>
      </c>
    </row>
    <row r="58" spans="1:6" ht="13.75" thickBot="1" x14ac:dyDescent="0.75">
      <c r="A58" s="219" t="str">
        <f>A56&amp;"/"&amp;A57&amp;"="</f>
        <v>CA/CL=</v>
      </c>
      <c r="B58" s="206">
        <f>B56/B57</f>
        <v>2</v>
      </c>
      <c r="C58" s="222" t="str">
        <f>A58</f>
        <v>CA/CL=</v>
      </c>
      <c r="D58" s="211">
        <f>D56/D57</f>
        <v>2</v>
      </c>
    </row>
    <row r="59" spans="1:6" ht="15.5" thickTop="1" x14ac:dyDescent="0.75">
      <c r="A59"/>
      <c r="B59"/>
      <c r="C59"/>
    </row>
    <row r="60" spans="1:6" ht="14.75" x14ac:dyDescent="0.75">
      <c r="A60" s="207" t="s">
        <v>209</v>
      </c>
      <c r="B60" s="207" t="s">
        <v>210</v>
      </c>
      <c r="C60" s="208" t="s">
        <v>208</v>
      </c>
      <c r="D60" s="208"/>
      <c r="E60"/>
    </row>
    <row r="61" spans="1:6" ht="26" x14ac:dyDescent="0.6">
      <c r="A61" s="214" t="s">
        <v>321</v>
      </c>
      <c r="B61" s="214"/>
      <c r="C61" s="214"/>
      <c r="D61" s="214"/>
    </row>
    <row r="62" spans="1:6" x14ac:dyDescent="0.6">
      <c r="A62" s="152" t="s">
        <v>322</v>
      </c>
      <c r="C62" s="152" t="s">
        <v>323</v>
      </c>
      <c r="E62" s="171" t="s">
        <v>319</v>
      </c>
      <c r="F62" s="152" t="s">
        <v>324</v>
      </c>
    </row>
    <row r="63" spans="1:6" x14ac:dyDescent="0.6">
      <c r="A63" s="217" t="s">
        <v>212</v>
      </c>
      <c r="B63" s="171">
        <v>4</v>
      </c>
      <c r="C63" s="220" t="s">
        <v>326</v>
      </c>
      <c r="D63" s="212">
        <f>B63+E63-F63</f>
        <v>4</v>
      </c>
      <c r="E63" s="171">
        <v>1</v>
      </c>
      <c r="F63" s="171">
        <v>1</v>
      </c>
    </row>
    <row r="64" spans="1:6" ht="13.75" thickBot="1" x14ac:dyDescent="0.75">
      <c r="A64" s="218" t="s">
        <v>213</v>
      </c>
      <c r="B64" s="172">
        <v>2</v>
      </c>
      <c r="C64" s="221" t="s">
        <v>312</v>
      </c>
      <c r="D64" s="209">
        <f>B64</f>
        <v>2</v>
      </c>
    </row>
    <row r="65" spans="1:6" ht="13.75" thickBot="1" x14ac:dyDescent="0.75">
      <c r="A65" s="219" t="str">
        <f>A63&amp;"/"&amp;A64&amp;"="</f>
        <v>CA/CL=</v>
      </c>
      <c r="B65" s="206">
        <f>B63/B64</f>
        <v>2</v>
      </c>
      <c r="C65" s="222" t="str">
        <f>A65</f>
        <v>CA/CL=</v>
      </c>
      <c r="D65" s="211">
        <f>D63/D64</f>
        <v>2</v>
      </c>
    </row>
    <row r="66" spans="1:6" ht="13.75" thickTop="1" x14ac:dyDescent="0.6"/>
    <row r="67" spans="1:6" ht="14.75" x14ac:dyDescent="0.75">
      <c r="A67" s="207" t="s">
        <v>209</v>
      </c>
      <c r="B67" s="207" t="s">
        <v>327</v>
      </c>
      <c r="C67" s="208" t="s">
        <v>328</v>
      </c>
      <c r="D67" s="208"/>
      <c r="E67"/>
    </row>
    <row r="68" spans="1:6" ht="26" x14ac:dyDescent="0.6">
      <c r="A68" s="214" t="s">
        <v>329</v>
      </c>
      <c r="B68" s="214"/>
      <c r="C68" s="214"/>
      <c r="D68" s="214"/>
    </row>
    <row r="69" spans="1:6" x14ac:dyDescent="0.6">
      <c r="A69" s="152" t="s">
        <v>330</v>
      </c>
      <c r="C69" s="152" t="s">
        <v>331</v>
      </c>
      <c r="E69" s="171" t="s">
        <v>332</v>
      </c>
      <c r="F69" s="152" t="s">
        <v>324</v>
      </c>
    </row>
    <row r="70" spans="1:6" x14ac:dyDescent="0.6">
      <c r="A70" s="217" t="s">
        <v>212</v>
      </c>
      <c r="B70" s="171">
        <v>4</v>
      </c>
      <c r="C70" s="220" t="s">
        <v>333</v>
      </c>
      <c r="D70" s="212">
        <f>B70+E70-F70</f>
        <v>5</v>
      </c>
      <c r="E70" s="171">
        <v>2</v>
      </c>
      <c r="F70" s="171">
        <v>1</v>
      </c>
    </row>
    <row r="71" spans="1:6" ht="13.75" thickBot="1" x14ac:dyDescent="0.75">
      <c r="A71" s="218" t="s">
        <v>213</v>
      </c>
      <c r="B71" s="172">
        <v>2</v>
      </c>
      <c r="C71" s="221" t="s">
        <v>312</v>
      </c>
      <c r="D71" s="209">
        <f>B71</f>
        <v>2</v>
      </c>
    </row>
    <row r="72" spans="1:6" ht="13.75" thickBot="1" x14ac:dyDescent="0.75">
      <c r="A72" s="219" t="str">
        <f>A70&amp;"/"&amp;A71&amp;"="</f>
        <v>CA/CL=</v>
      </c>
      <c r="B72" s="206">
        <f>B70/B71</f>
        <v>2</v>
      </c>
      <c r="C72" s="222" t="str">
        <f>A72</f>
        <v>CA/CL=</v>
      </c>
      <c r="D72" s="211">
        <f>D70/D71</f>
        <v>2.5</v>
      </c>
    </row>
    <row r="73" spans="1:6" ht="13.75" thickTop="1" x14ac:dyDescent="0.6"/>
    <row r="75" spans="1:6" ht="26.75" x14ac:dyDescent="0.75">
      <c r="A75" s="207" t="s">
        <v>211</v>
      </c>
      <c r="B75" s="215" t="s">
        <v>1171</v>
      </c>
      <c r="C75" s="208" t="s">
        <v>1172</v>
      </c>
      <c r="D75" s="208"/>
      <c r="E75"/>
    </row>
    <row r="76" spans="1:6" x14ac:dyDescent="0.6">
      <c r="A76" s="214" t="s">
        <v>1175</v>
      </c>
      <c r="B76" s="214"/>
      <c r="C76" s="214"/>
      <c r="D76" s="214"/>
    </row>
    <row r="77" spans="1:6" x14ac:dyDescent="0.6">
      <c r="A77" s="152" t="s">
        <v>1173</v>
      </c>
      <c r="C77" s="152" t="s">
        <v>1174</v>
      </c>
      <c r="E77" s="152" t="s">
        <v>1177</v>
      </c>
    </row>
    <row r="78" spans="1:6" x14ac:dyDescent="0.6">
      <c r="A78" s="217" t="s">
        <v>212</v>
      </c>
      <c r="B78" s="171">
        <v>4</v>
      </c>
      <c r="C78" s="220" t="s">
        <v>1178</v>
      </c>
      <c r="D78" s="212">
        <f>B78</f>
        <v>4</v>
      </c>
      <c r="E78" s="171">
        <v>1</v>
      </c>
    </row>
    <row r="79" spans="1:6" ht="13.75" thickBot="1" x14ac:dyDescent="0.75">
      <c r="A79" s="218" t="s">
        <v>213</v>
      </c>
      <c r="B79" s="172">
        <v>2</v>
      </c>
      <c r="C79" s="221" t="s">
        <v>1176</v>
      </c>
      <c r="D79" s="209">
        <f>B79-E78</f>
        <v>1</v>
      </c>
    </row>
    <row r="80" spans="1:6" ht="13.75" thickBot="1" x14ac:dyDescent="0.75">
      <c r="A80" s="219" t="str">
        <f>A78&amp;"/"&amp;A79&amp;"="</f>
        <v>CA/CL=</v>
      </c>
      <c r="B80" s="206">
        <f>B78/B79</f>
        <v>2</v>
      </c>
      <c r="C80" s="222" t="str">
        <f>A80</f>
        <v>CA/CL=</v>
      </c>
      <c r="D80" s="211">
        <f>D78/D79</f>
        <v>4</v>
      </c>
    </row>
    <row r="81" ht="13.75" thickTop="1" x14ac:dyDescent="0.6"/>
  </sheetData>
  <printOptions horizontalCentered="1"/>
  <pageMargins left="0.75" right="0.75" top="1" bottom="1" header="0.5" footer="0.5"/>
  <pageSetup orientation="landscape" r:id="rId1"/>
  <headerFooter alignWithMargins="0">
    <oddHeader>&amp;CChapter 3 Homework - &amp;A</oddHeader>
    <oddFooter>Page &amp;P of &amp;N</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C2778-E073-44EB-8D2B-3A94567F5599}">
  <sheetPr codeName="Sheet18">
    <tabColor rgb="FF0000FF"/>
  </sheetPr>
  <dimension ref="A1:H41"/>
  <sheetViews>
    <sheetView zoomScale="85" zoomScaleNormal="85" workbookViewId="0"/>
  </sheetViews>
  <sheetFormatPr defaultRowHeight="14.75" x14ac:dyDescent="0.75"/>
  <cols>
    <col min="1" max="1" width="41" bestFit="1" customWidth="1"/>
    <col min="2" max="3" width="29" bestFit="1" customWidth="1"/>
    <col min="4" max="4" width="2.08984375" bestFit="1" customWidth="1"/>
    <col min="5" max="5" width="22.08984375" bestFit="1" customWidth="1"/>
    <col min="6" max="6" width="36.453125" bestFit="1" customWidth="1"/>
    <col min="7" max="8" width="13.2265625" bestFit="1" customWidth="1"/>
    <col min="10" max="10" width="10.2265625" customWidth="1"/>
  </cols>
  <sheetData>
    <row r="1" spans="1:8" x14ac:dyDescent="0.75">
      <c r="A1" s="11" t="s">
        <v>919</v>
      </c>
      <c r="B1" s="11"/>
      <c r="C1" s="11"/>
      <c r="G1" s="236">
        <v>2006</v>
      </c>
      <c r="H1" s="236">
        <v>2005</v>
      </c>
    </row>
    <row r="2" spans="1:8" x14ac:dyDescent="0.75">
      <c r="A2" s="11" t="s">
        <v>543</v>
      </c>
      <c r="B2" s="11"/>
      <c r="C2" s="11"/>
      <c r="F2" s="2" t="s">
        <v>72</v>
      </c>
      <c r="G2" s="83">
        <f>B4</f>
        <v>5607376</v>
      </c>
      <c r="H2" s="83">
        <f>C4</f>
        <v>4701289</v>
      </c>
    </row>
    <row r="3" spans="1:8" x14ac:dyDescent="0.75">
      <c r="A3" s="10" t="s">
        <v>850</v>
      </c>
      <c r="B3" s="16">
        <v>38984</v>
      </c>
      <c r="C3" s="16">
        <v>38620</v>
      </c>
      <c r="F3" s="2" t="s">
        <v>1185</v>
      </c>
      <c r="G3" s="3">
        <f>B29</f>
        <v>2042996</v>
      </c>
      <c r="H3" s="3">
        <f>C29</f>
        <v>1889296</v>
      </c>
    </row>
    <row r="4" spans="1:8" x14ac:dyDescent="0.75">
      <c r="A4" s="12" t="s">
        <v>545</v>
      </c>
      <c r="B4" s="225">
        <v>5607376</v>
      </c>
      <c r="C4" s="225">
        <v>4701289</v>
      </c>
      <c r="F4" s="2" t="s">
        <v>546</v>
      </c>
      <c r="G4" s="83">
        <f>B5</f>
        <v>3647734</v>
      </c>
      <c r="H4" s="83">
        <f>C5</f>
        <v>3052184</v>
      </c>
    </row>
    <row r="5" spans="1:8" ht="15.5" thickBot="1" x14ac:dyDescent="0.9">
      <c r="A5" s="13" t="s">
        <v>546</v>
      </c>
      <c r="B5" s="225">
        <v>3647734</v>
      </c>
      <c r="C5" s="225">
        <v>3052184</v>
      </c>
      <c r="F5" s="2" t="s">
        <v>1186</v>
      </c>
      <c r="G5" s="3">
        <f>B25</f>
        <v>203727</v>
      </c>
      <c r="H5" s="3">
        <f>C25</f>
        <v>174848</v>
      </c>
    </row>
    <row r="6" spans="1:8" x14ac:dyDescent="0.75">
      <c r="A6" s="12" t="s">
        <v>851</v>
      </c>
      <c r="B6" s="83">
        <v>1484410</v>
      </c>
      <c r="C6" s="83">
        <v>1285613</v>
      </c>
      <c r="F6" s="2" t="s">
        <v>74</v>
      </c>
      <c r="G6" s="3">
        <f>B24</f>
        <v>82137</v>
      </c>
      <c r="H6" s="3">
        <f>C24</f>
        <v>66682</v>
      </c>
    </row>
    <row r="7" spans="1:8" ht="15.5" thickBot="1" x14ac:dyDescent="0.9">
      <c r="A7" s="12" t="s">
        <v>547</v>
      </c>
      <c r="B7" s="226">
        <v>156223</v>
      </c>
      <c r="C7" s="226">
        <v>133759</v>
      </c>
      <c r="D7" s="227" t="s">
        <v>922</v>
      </c>
      <c r="F7" s="2" t="s">
        <v>75</v>
      </c>
      <c r="G7" s="3">
        <f>B31</f>
        <v>121857</v>
      </c>
      <c r="H7" s="3">
        <f>C31</f>
        <v>103348</v>
      </c>
    </row>
    <row r="8" spans="1:8" x14ac:dyDescent="0.75">
      <c r="A8" s="14" t="s">
        <v>852</v>
      </c>
      <c r="B8" s="87">
        <f>B4-SUM(B5:B7)</f>
        <v>319009</v>
      </c>
      <c r="C8" s="87">
        <f>C4-SUM(C5:C7)</f>
        <v>229733</v>
      </c>
    </row>
    <row r="9" spans="1:8" ht="15.5" thickBot="1" x14ac:dyDescent="0.9">
      <c r="A9" s="13" t="s">
        <v>853</v>
      </c>
      <c r="B9" s="229">
        <v>20736</v>
      </c>
      <c r="C9" s="229">
        <v>9623</v>
      </c>
      <c r="G9" s="228">
        <v>2006</v>
      </c>
      <c r="H9" s="228">
        <v>2005</v>
      </c>
    </row>
    <row r="10" spans="1:8" x14ac:dyDescent="0.75">
      <c r="A10" s="14" t="s">
        <v>854</v>
      </c>
      <c r="B10" s="9">
        <f>SUM(B8:B9)</f>
        <v>339745</v>
      </c>
      <c r="C10" s="9">
        <f>SUM(C8:C9)</f>
        <v>239356</v>
      </c>
      <c r="E10" s="2" t="s">
        <v>524</v>
      </c>
      <c r="F10" s="79" t="s">
        <v>525</v>
      </c>
      <c r="G10" s="202"/>
      <c r="H10" s="202"/>
    </row>
    <row r="11" spans="1:8" ht="15.5" thickBot="1" x14ac:dyDescent="0.9">
      <c r="A11" s="13" t="s">
        <v>855</v>
      </c>
      <c r="B11" s="229">
        <v>32</v>
      </c>
      <c r="C11" s="229">
        <v>2223</v>
      </c>
    </row>
    <row r="12" spans="1:8" x14ac:dyDescent="0.75">
      <c r="A12" s="14" t="s">
        <v>856</v>
      </c>
      <c r="B12" s="230">
        <v>339713</v>
      </c>
      <c r="C12" s="230">
        <v>237133</v>
      </c>
      <c r="E12" s="2" t="s">
        <v>502</v>
      </c>
      <c r="F12" s="79" t="s">
        <v>1219</v>
      </c>
      <c r="G12" s="201"/>
      <c r="H12" s="201"/>
    </row>
    <row r="13" spans="1:8" ht="15.5" thickBot="1" x14ac:dyDescent="0.9">
      <c r="A13" s="13" t="s">
        <v>857</v>
      </c>
      <c r="B13" s="229">
        <v>135885</v>
      </c>
      <c r="C13" s="229">
        <v>100782</v>
      </c>
      <c r="E13" s="237" t="s">
        <v>504</v>
      </c>
      <c r="F13" s="238" t="str">
        <f>"365/"&amp;E12</f>
        <v>365/Inv Turnover</v>
      </c>
      <c r="G13" s="201"/>
      <c r="H13" s="201"/>
    </row>
    <row r="14" spans="1:8" ht="15.5" thickBot="1" x14ac:dyDescent="0.9">
      <c r="A14" s="15" t="s">
        <v>858</v>
      </c>
      <c r="B14" s="231">
        <v>203828</v>
      </c>
      <c r="C14" s="231">
        <v>136351</v>
      </c>
      <c r="E14" s="2" t="s">
        <v>505</v>
      </c>
      <c r="F14" s="79" t="s">
        <v>506</v>
      </c>
      <c r="G14" s="201"/>
      <c r="H14" s="201"/>
    </row>
    <row r="15" spans="1:8" ht="15.5" thickTop="1" x14ac:dyDescent="0.75">
      <c r="E15" s="237" t="s">
        <v>507</v>
      </c>
      <c r="F15" s="238" t="str">
        <f>"365/"&amp;E14</f>
        <v>365/AR Turnover</v>
      </c>
      <c r="G15" s="201"/>
      <c r="H15" s="201"/>
    </row>
    <row r="16" spans="1:8" x14ac:dyDescent="0.75">
      <c r="A16" s="12" t="s">
        <v>495</v>
      </c>
      <c r="B16" s="3">
        <v>358075</v>
      </c>
      <c r="C16" s="232">
        <v>54683</v>
      </c>
      <c r="E16" s="2" t="s">
        <v>508</v>
      </c>
      <c r="F16" s="79" t="s">
        <v>509</v>
      </c>
      <c r="G16" s="201"/>
      <c r="H16" s="201"/>
    </row>
    <row r="17" spans="1:8" x14ac:dyDescent="0.75">
      <c r="A17" s="12" t="s">
        <v>13</v>
      </c>
      <c r="B17" s="83">
        <f>B14-B16</f>
        <v>-154247</v>
      </c>
      <c r="C17" s="83">
        <f>C14-C16</f>
        <v>81668</v>
      </c>
      <c r="E17" s="237" t="s">
        <v>510</v>
      </c>
      <c r="F17" s="238" t="str">
        <f>"365/"&amp;E16</f>
        <v>365/AP Turnover</v>
      </c>
      <c r="G17" s="201"/>
      <c r="H17" s="201"/>
    </row>
    <row r="18" spans="1:8" x14ac:dyDescent="0.75">
      <c r="E18" s="2" t="s">
        <v>511</v>
      </c>
      <c r="F18" s="79" t="str">
        <f>E13&amp;"+"&amp;E15</f>
        <v>Days holding Inv+Days until collect AR</v>
      </c>
      <c r="G18" s="201"/>
      <c r="H18" s="201"/>
    </row>
    <row r="19" spans="1:8" x14ac:dyDescent="0.75">
      <c r="A19" s="11" t="s">
        <v>919</v>
      </c>
      <c r="B19" s="11"/>
      <c r="C19" s="11"/>
      <c r="E19" s="2" t="s">
        <v>512</v>
      </c>
      <c r="F19" s="79" t="str">
        <f>E18&amp;" - "&amp;E17</f>
        <v>Operating Cycle in Days - Days until pay</v>
      </c>
      <c r="G19" s="201"/>
      <c r="H19" s="201"/>
    </row>
    <row r="20" spans="1:8" x14ac:dyDescent="0.75">
      <c r="A20" s="11" t="s">
        <v>551</v>
      </c>
      <c r="B20" s="11"/>
      <c r="C20" s="11"/>
    </row>
    <row r="21" spans="1:8" x14ac:dyDescent="0.75">
      <c r="A21" s="12" t="s">
        <v>850</v>
      </c>
      <c r="B21" s="19">
        <v>38984</v>
      </c>
      <c r="C21" s="19">
        <v>38620</v>
      </c>
      <c r="E21" t="s">
        <v>1187</v>
      </c>
    </row>
    <row r="22" spans="1:8" x14ac:dyDescent="0.75">
      <c r="A22" s="72" t="s">
        <v>859</v>
      </c>
      <c r="B22" s="2"/>
      <c r="C22" s="2"/>
      <c r="E22" t="s">
        <v>1188</v>
      </c>
    </row>
    <row r="23" spans="1:8" x14ac:dyDescent="0.75">
      <c r="A23" s="175" t="s">
        <v>573</v>
      </c>
      <c r="B23" s="3">
        <v>256164</v>
      </c>
      <c r="C23" s="3">
        <v>345446</v>
      </c>
      <c r="E23" t="s">
        <v>1218</v>
      </c>
    </row>
    <row r="24" spans="1:8" x14ac:dyDescent="0.75">
      <c r="A24" s="175" t="s">
        <v>282</v>
      </c>
      <c r="B24" s="3">
        <v>82137</v>
      </c>
      <c r="C24" s="3">
        <v>66682</v>
      </c>
    </row>
    <row r="25" spans="1:8" x14ac:dyDescent="0.75">
      <c r="A25" s="175" t="s">
        <v>577</v>
      </c>
      <c r="B25" s="3">
        <v>203727</v>
      </c>
      <c r="C25" s="3">
        <v>174848</v>
      </c>
    </row>
    <row r="26" spans="1:8" ht="15.5" thickBot="1" x14ac:dyDescent="0.9">
      <c r="A26" s="175" t="s">
        <v>214</v>
      </c>
      <c r="B26" s="3">
        <v>81953</v>
      </c>
      <c r="C26" s="3">
        <v>85553</v>
      </c>
    </row>
    <row r="27" spans="1:8" x14ac:dyDescent="0.75">
      <c r="A27" s="52" t="s">
        <v>224</v>
      </c>
      <c r="B27" s="3">
        <f>SUM(B23:B26)</f>
        <v>623981</v>
      </c>
      <c r="C27" s="3">
        <f>SUM(C23:C26)</f>
        <v>672529</v>
      </c>
    </row>
    <row r="28" spans="1:8" ht="15.5" thickBot="1" x14ac:dyDescent="0.9">
      <c r="A28" s="70" t="s">
        <v>544</v>
      </c>
      <c r="B28" s="84">
        <v>1419015</v>
      </c>
      <c r="C28" s="84">
        <v>1216767</v>
      </c>
    </row>
    <row r="29" spans="1:8" ht="15.5" thickBot="1" x14ac:dyDescent="0.9">
      <c r="A29" s="68" t="s">
        <v>861</v>
      </c>
      <c r="B29" s="69">
        <f>SUM(B27:B28)</f>
        <v>2042996</v>
      </c>
      <c r="C29" s="69">
        <f>SUM(C27:C28)</f>
        <v>1889296</v>
      </c>
    </row>
    <row r="30" spans="1:8" ht="15.5" thickTop="1" x14ac:dyDescent="0.75">
      <c r="A30" s="72" t="s">
        <v>862</v>
      </c>
      <c r="B30" s="95"/>
      <c r="C30" s="95"/>
    </row>
    <row r="31" spans="1:8" x14ac:dyDescent="0.75">
      <c r="A31" s="177" t="s">
        <v>226</v>
      </c>
      <c r="B31" s="176">
        <v>121857</v>
      </c>
      <c r="C31" s="176">
        <v>103348</v>
      </c>
    </row>
    <row r="32" spans="1:8" x14ac:dyDescent="0.75">
      <c r="A32" s="177" t="s">
        <v>214</v>
      </c>
      <c r="B32" s="176">
        <v>387913</v>
      </c>
      <c r="C32" s="176">
        <v>315035</v>
      </c>
    </row>
    <row r="33" spans="1:3" x14ac:dyDescent="0.75">
      <c r="A33" s="70" t="s">
        <v>225</v>
      </c>
      <c r="B33" s="3">
        <f>SUM(B31:B32)</f>
        <v>509770</v>
      </c>
      <c r="C33" s="3">
        <f>SUM(C31:C32)</f>
        <v>418383</v>
      </c>
    </row>
    <row r="34" spans="1:3" ht="15.5" thickBot="1" x14ac:dyDescent="0.9">
      <c r="A34" s="70" t="s">
        <v>864</v>
      </c>
      <c r="B34" s="84">
        <v>129083</v>
      </c>
      <c r="C34" s="84">
        <v>105237</v>
      </c>
    </row>
    <row r="35" spans="1:3" ht="15.5" thickBot="1" x14ac:dyDescent="0.9">
      <c r="A35" s="15" t="s">
        <v>865</v>
      </c>
      <c r="B35" s="53">
        <f>SUM(B33:B34)</f>
        <v>638853</v>
      </c>
      <c r="C35" s="53">
        <f>SUM(C33:C34)</f>
        <v>523620</v>
      </c>
    </row>
    <row r="36" spans="1:3" ht="15.5" thickTop="1" x14ac:dyDescent="0.75">
      <c r="A36" s="74" t="s">
        <v>866</v>
      </c>
      <c r="B36" s="75"/>
      <c r="C36" s="75"/>
    </row>
    <row r="37" spans="1:3" x14ac:dyDescent="0.75">
      <c r="A37" s="85" t="s">
        <v>548</v>
      </c>
      <c r="B37" s="3">
        <v>1054883</v>
      </c>
      <c r="C37" s="3">
        <v>879377</v>
      </c>
    </row>
    <row r="38" spans="1:3" ht="15.5" thickBot="1" x14ac:dyDescent="0.9">
      <c r="A38" s="70" t="s">
        <v>867</v>
      </c>
      <c r="B38" s="3">
        <v>349260</v>
      </c>
      <c r="C38" s="3">
        <v>486299</v>
      </c>
    </row>
    <row r="39" spans="1:3" ht="15.5" thickBot="1" x14ac:dyDescent="0.9">
      <c r="A39" s="73" t="s">
        <v>868</v>
      </c>
      <c r="B39" s="71">
        <f>SUM(B37:B38)</f>
        <v>1404143</v>
      </c>
      <c r="C39" s="71">
        <f>SUM(C37:C38)</f>
        <v>1365676</v>
      </c>
    </row>
    <row r="40" spans="1:3" ht="15.5" thickBot="1" x14ac:dyDescent="0.9">
      <c r="A40" s="15" t="str">
        <f>A39&amp;" and "&amp;A35</f>
        <v>Total Stockholder Equity and Total Liabilities</v>
      </c>
      <c r="B40" s="67">
        <f>SUM(B39,B35)</f>
        <v>2042996</v>
      </c>
      <c r="C40" s="67">
        <f>SUM(C39,C35)</f>
        <v>1889296</v>
      </c>
    </row>
    <row r="41" spans="1:3" ht="15.5" thickTop="1" x14ac:dyDescent="0.75">
      <c r="B41" t="b">
        <f>B40=B29</f>
        <v>1</v>
      </c>
      <c r="C41" t="b">
        <f>C40=C29</f>
        <v>1</v>
      </c>
    </row>
  </sheetData>
  <phoneticPr fontId="28" type="noConversion"/>
  <pageMargins left="0.7" right="0.7" top="0.75" bottom="0.75" header="0.3" footer="0.3"/>
  <pageSetup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50CCD-FEA6-47EB-9032-3304057F1779}">
  <sheetPr codeName="Sheet19">
    <tabColor rgb="FFFF0000"/>
  </sheetPr>
  <dimension ref="A1:H41"/>
  <sheetViews>
    <sheetView zoomScale="85" zoomScaleNormal="85" workbookViewId="0"/>
  </sheetViews>
  <sheetFormatPr defaultRowHeight="14.75" x14ac:dyDescent="0.75"/>
  <cols>
    <col min="1" max="1" width="41" bestFit="1" customWidth="1"/>
    <col min="2" max="3" width="29" bestFit="1" customWidth="1"/>
    <col min="4" max="4" width="2.08984375" bestFit="1" customWidth="1"/>
    <col min="5" max="5" width="22.08984375" bestFit="1" customWidth="1"/>
    <col min="6" max="6" width="36.453125" bestFit="1" customWidth="1"/>
    <col min="7" max="8" width="13.2265625" bestFit="1" customWidth="1"/>
    <col min="10" max="10" width="10.2265625" customWidth="1"/>
  </cols>
  <sheetData>
    <row r="1" spans="1:8" x14ac:dyDescent="0.75">
      <c r="A1" s="11" t="s">
        <v>919</v>
      </c>
      <c r="B1" s="11"/>
      <c r="C1" s="11"/>
      <c r="G1" s="236">
        <v>2006</v>
      </c>
      <c r="H1" s="236">
        <v>2005</v>
      </c>
    </row>
    <row r="2" spans="1:8" x14ac:dyDescent="0.75">
      <c r="A2" s="11" t="s">
        <v>543</v>
      </c>
      <c r="B2" s="11"/>
      <c r="C2" s="11"/>
      <c r="F2" s="2" t="s">
        <v>72</v>
      </c>
      <c r="G2" s="83">
        <f>B4</f>
        <v>5607376</v>
      </c>
      <c r="H2" s="83">
        <f>C4</f>
        <v>4701289</v>
      </c>
    </row>
    <row r="3" spans="1:8" x14ac:dyDescent="0.75">
      <c r="A3" s="10" t="s">
        <v>850</v>
      </c>
      <c r="B3" s="16">
        <v>38984</v>
      </c>
      <c r="C3" s="16">
        <v>38620</v>
      </c>
      <c r="F3" s="2" t="s">
        <v>1185</v>
      </c>
      <c r="G3" s="3">
        <f>B29</f>
        <v>2042996</v>
      </c>
      <c r="H3" s="3">
        <f>C29</f>
        <v>1889296</v>
      </c>
    </row>
    <row r="4" spans="1:8" x14ac:dyDescent="0.75">
      <c r="A4" s="12" t="s">
        <v>545</v>
      </c>
      <c r="B4" s="225">
        <v>5607376</v>
      </c>
      <c r="C4" s="225">
        <v>4701289</v>
      </c>
      <c r="F4" s="2" t="s">
        <v>546</v>
      </c>
      <c r="G4" s="83">
        <f>B5</f>
        <v>3647734</v>
      </c>
      <c r="H4" s="83">
        <f>C5</f>
        <v>3052184</v>
      </c>
    </row>
    <row r="5" spans="1:8" ht="15.5" thickBot="1" x14ac:dyDescent="0.9">
      <c r="A5" s="13" t="s">
        <v>546</v>
      </c>
      <c r="B5" s="225">
        <v>3647734</v>
      </c>
      <c r="C5" s="225">
        <v>3052184</v>
      </c>
      <c r="F5" s="2" t="s">
        <v>1186</v>
      </c>
      <c r="G5" s="3">
        <f>B25</f>
        <v>203727</v>
      </c>
      <c r="H5" s="3">
        <f>C25</f>
        <v>174848</v>
      </c>
    </row>
    <row r="6" spans="1:8" x14ac:dyDescent="0.75">
      <c r="A6" s="12" t="s">
        <v>851</v>
      </c>
      <c r="B6" s="83">
        <v>1484410</v>
      </c>
      <c r="C6" s="83">
        <v>1285613</v>
      </c>
      <c r="F6" s="2" t="s">
        <v>74</v>
      </c>
      <c r="G6" s="3">
        <f>B24</f>
        <v>82137</v>
      </c>
      <c r="H6" s="3">
        <f>C24</f>
        <v>66682</v>
      </c>
    </row>
    <row r="7" spans="1:8" ht="15.5" thickBot="1" x14ac:dyDescent="0.9">
      <c r="A7" s="12" t="s">
        <v>547</v>
      </c>
      <c r="B7" s="226">
        <v>156223</v>
      </c>
      <c r="C7" s="226">
        <v>133759</v>
      </c>
      <c r="D7" s="227" t="s">
        <v>922</v>
      </c>
      <c r="F7" s="2" t="s">
        <v>75</v>
      </c>
      <c r="G7" s="3">
        <f>B31</f>
        <v>121857</v>
      </c>
      <c r="H7" s="3">
        <f>C31</f>
        <v>103348</v>
      </c>
    </row>
    <row r="8" spans="1:8" x14ac:dyDescent="0.75">
      <c r="A8" s="14" t="s">
        <v>852</v>
      </c>
      <c r="B8" s="87">
        <f>B4-SUM(B5:B7)</f>
        <v>319009</v>
      </c>
      <c r="C8" s="87">
        <f>C4-SUM(C5:C7)</f>
        <v>229733</v>
      </c>
    </row>
    <row r="9" spans="1:8" ht="15.5" thickBot="1" x14ac:dyDescent="0.9">
      <c r="A9" s="13" t="s">
        <v>853</v>
      </c>
      <c r="B9" s="229">
        <v>20736</v>
      </c>
      <c r="C9" s="229">
        <v>9623</v>
      </c>
      <c r="G9" s="228">
        <v>2006</v>
      </c>
      <c r="H9" s="228">
        <v>2005</v>
      </c>
    </row>
    <row r="10" spans="1:8" x14ac:dyDescent="0.75">
      <c r="A10" s="14" t="s">
        <v>854</v>
      </c>
      <c r="B10" s="9">
        <f>SUM(B8:B9)</f>
        <v>339745</v>
      </c>
      <c r="C10" s="9">
        <f>SUM(C8:C9)</f>
        <v>239356</v>
      </c>
      <c r="E10" s="2" t="s">
        <v>524</v>
      </c>
      <c r="F10" s="79" t="s">
        <v>525</v>
      </c>
      <c r="G10" s="202">
        <f>G2/G3</f>
        <v>2.7446828089727049</v>
      </c>
      <c r="H10" s="202">
        <f>H2/H3</f>
        <v>2.488381386505873</v>
      </c>
    </row>
    <row r="11" spans="1:8" ht="15.5" thickBot="1" x14ac:dyDescent="0.9">
      <c r="A11" s="13" t="s">
        <v>855</v>
      </c>
      <c r="B11" s="229">
        <v>32</v>
      </c>
      <c r="C11" s="229">
        <v>2223</v>
      </c>
    </row>
    <row r="12" spans="1:8" x14ac:dyDescent="0.75">
      <c r="A12" s="14" t="s">
        <v>856</v>
      </c>
      <c r="B12" s="230">
        <v>339713</v>
      </c>
      <c r="C12" s="230">
        <v>237133</v>
      </c>
      <c r="E12" s="2" t="s">
        <v>502</v>
      </c>
      <c r="F12" s="79" t="s">
        <v>1219</v>
      </c>
      <c r="G12" s="201">
        <f>G4/G5</f>
        <v>17.905010136113525</v>
      </c>
      <c r="H12" s="201">
        <f>H4/H5</f>
        <v>17.456213396778917</v>
      </c>
    </row>
    <row r="13" spans="1:8" ht="15.5" thickBot="1" x14ac:dyDescent="0.9">
      <c r="A13" s="13" t="s">
        <v>857</v>
      </c>
      <c r="B13" s="229">
        <v>135885</v>
      </c>
      <c r="C13" s="229">
        <v>100782</v>
      </c>
      <c r="E13" s="237" t="s">
        <v>504</v>
      </c>
      <c r="F13" s="238" t="str">
        <f>"365/"&amp;E12</f>
        <v>365/Inv Turnover</v>
      </c>
      <c r="G13" s="201">
        <f>365/G12</f>
        <v>20.38535567560573</v>
      </c>
      <c r="H13" s="201">
        <f>365/H12</f>
        <v>20.909460242239653</v>
      </c>
    </row>
    <row r="14" spans="1:8" ht="15.5" thickBot="1" x14ac:dyDescent="0.9">
      <c r="A14" s="15" t="s">
        <v>858</v>
      </c>
      <c r="B14" s="231">
        <v>203828</v>
      </c>
      <c r="C14" s="231">
        <v>136351</v>
      </c>
      <c r="E14" s="2" t="s">
        <v>505</v>
      </c>
      <c r="F14" s="79" t="s">
        <v>506</v>
      </c>
      <c r="G14" s="201">
        <f>G2/G6</f>
        <v>68.268575672352284</v>
      </c>
      <c r="H14" s="201">
        <f>H2/H6</f>
        <v>70.503119282565009</v>
      </c>
    </row>
    <row r="15" spans="1:8" ht="15.5" thickTop="1" x14ac:dyDescent="0.75">
      <c r="E15" s="237" t="s">
        <v>507</v>
      </c>
      <c r="F15" s="238" t="str">
        <f>"365/"&amp;E14</f>
        <v>365/AR Turnover</v>
      </c>
      <c r="G15" s="201">
        <f>365/G14</f>
        <v>5.346530177394917</v>
      </c>
      <c r="H15" s="201">
        <f>365/H14</f>
        <v>5.1770759040765206</v>
      </c>
    </row>
    <row r="16" spans="1:8" x14ac:dyDescent="0.75">
      <c r="A16" s="12" t="s">
        <v>495</v>
      </c>
      <c r="B16" s="3">
        <v>358075</v>
      </c>
      <c r="C16" s="232">
        <v>54683</v>
      </c>
      <c r="E16" s="2" t="s">
        <v>508</v>
      </c>
      <c r="F16" s="79" t="s">
        <v>509</v>
      </c>
      <c r="G16" s="201">
        <f>G4/G7</f>
        <v>29.93454623041762</v>
      </c>
      <c r="H16" s="201">
        <f>H4/H7</f>
        <v>29.533072725161588</v>
      </c>
    </row>
    <row r="17" spans="1:8" x14ac:dyDescent="0.75">
      <c r="A17" s="12" t="s">
        <v>13</v>
      </c>
      <c r="B17" s="83">
        <f>B14-B16</f>
        <v>-154247</v>
      </c>
      <c r="C17" s="83">
        <f>C14-C16</f>
        <v>81668</v>
      </c>
      <c r="E17" s="237" t="s">
        <v>510</v>
      </c>
      <c r="F17" s="238" t="str">
        <f>"365/"&amp;E16</f>
        <v>365/AP Turnover</v>
      </c>
      <c r="G17" s="201">
        <f>365/G16</f>
        <v>12.193269849172117</v>
      </c>
      <c r="H17" s="201">
        <f>365/H16</f>
        <v>12.359025537123582</v>
      </c>
    </row>
    <row r="18" spans="1:8" x14ac:dyDescent="0.75">
      <c r="E18" s="2" t="s">
        <v>511</v>
      </c>
      <c r="F18" s="79" t="str">
        <f>E13&amp;"+"&amp;E15</f>
        <v>Days holding Inv+Days until collect AR</v>
      </c>
      <c r="G18" s="201">
        <f>G13+G15</f>
        <v>25.731885853000648</v>
      </c>
      <c r="H18" s="201">
        <f>H13+H15</f>
        <v>26.086536146316174</v>
      </c>
    </row>
    <row r="19" spans="1:8" x14ac:dyDescent="0.75">
      <c r="A19" s="11" t="s">
        <v>919</v>
      </c>
      <c r="B19" s="11"/>
      <c r="C19" s="11"/>
      <c r="E19" s="2" t="s">
        <v>512</v>
      </c>
      <c r="F19" s="79" t="str">
        <f>E18&amp;" - "&amp;E17</f>
        <v>Operating Cycle in Days - Days until pay</v>
      </c>
      <c r="G19" s="201">
        <f>G18-G17</f>
        <v>13.538616003828531</v>
      </c>
      <c r="H19" s="201">
        <f>H18-H17</f>
        <v>13.727510609192592</v>
      </c>
    </row>
    <row r="20" spans="1:8" x14ac:dyDescent="0.75">
      <c r="A20" s="11" t="s">
        <v>551</v>
      </c>
      <c r="B20" s="11"/>
      <c r="C20" s="11"/>
    </row>
    <row r="21" spans="1:8" x14ac:dyDescent="0.75">
      <c r="A21" s="12" t="s">
        <v>850</v>
      </c>
      <c r="B21" s="19">
        <v>38984</v>
      </c>
      <c r="C21" s="19">
        <v>38620</v>
      </c>
      <c r="E21" t="s">
        <v>1187</v>
      </c>
    </row>
    <row r="22" spans="1:8" x14ac:dyDescent="0.75">
      <c r="A22" s="72" t="s">
        <v>859</v>
      </c>
      <c r="B22" s="2"/>
      <c r="C22" s="2"/>
      <c r="E22" t="s">
        <v>1188</v>
      </c>
    </row>
    <row r="23" spans="1:8" x14ac:dyDescent="0.75">
      <c r="A23" s="175" t="s">
        <v>573</v>
      </c>
      <c r="B23" s="3">
        <v>256164</v>
      </c>
      <c r="C23" s="3">
        <v>345446</v>
      </c>
      <c r="E23" t="s">
        <v>1189</v>
      </c>
    </row>
    <row r="24" spans="1:8" x14ac:dyDescent="0.75">
      <c r="A24" s="175" t="s">
        <v>282</v>
      </c>
      <c r="B24" s="3">
        <v>82137</v>
      </c>
      <c r="C24" s="3">
        <v>66682</v>
      </c>
    </row>
    <row r="25" spans="1:8" x14ac:dyDescent="0.75">
      <c r="A25" s="175" t="s">
        <v>577</v>
      </c>
      <c r="B25" s="3">
        <v>203727</v>
      </c>
      <c r="C25" s="3">
        <v>174848</v>
      </c>
    </row>
    <row r="26" spans="1:8" ht="15.5" thickBot="1" x14ac:dyDescent="0.9">
      <c r="A26" s="175" t="s">
        <v>214</v>
      </c>
      <c r="B26" s="3">
        <v>81953</v>
      </c>
      <c r="C26" s="3">
        <v>85553</v>
      </c>
    </row>
    <row r="27" spans="1:8" x14ac:dyDescent="0.75">
      <c r="A27" s="52" t="s">
        <v>224</v>
      </c>
      <c r="B27" s="3">
        <f>SUM(B23:B26)</f>
        <v>623981</v>
      </c>
      <c r="C27" s="3">
        <f>SUM(C23:C26)</f>
        <v>672529</v>
      </c>
    </row>
    <row r="28" spans="1:8" ht="15.5" thickBot="1" x14ac:dyDescent="0.9">
      <c r="A28" s="70" t="s">
        <v>544</v>
      </c>
      <c r="B28" s="84">
        <v>1419015</v>
      </c>
      <c r="C28" s="84">
        <v>1216767</v>
      </c>
    </row>
    <row r="29" spans="1:8" ht="15.5" thickBot="1" x14ac:dyDescent="0.9">
      <c r="A29" s="68" t="s">
        <v>861</v>
      </c>
      <c r="B29" s="69">
        <f>SUM(B27:B28)</f>
        <v>2042996</v>
      </c>
      <c r="C29" s="69">
        <f>SUM(C27:C28)</f>
        <v>1889296</v>
      </c>
    </row>
    <row r="30" spans="1:8" ht="15.5" thickTop="1" x14ac:dyDescent="0.75">
      <c r="A30" s="72" t="s">
        <v>862</v>
      </c>
      <c r="B30" s="95"/>
      <c r="C30" s="95"/>
    </row>
    <row r="31" spans="1:8" x14ac:dyDescent="0.75">
      <c r="A31" s="177" t="s">
        <v>226</v>
      </c>
      <c r="B31" s="176">
        <v>121857</v>
      </c>
      <c r="C31" s="176">
        <v>103348</v>
      </c>
    </row>
    <row r="32" spans="1:8" x14ac:dyDescent="0.75">
      <c r="A32" s="177" t="s">
        <v>214</v>
      </c>
      <c r="B32" s="176">
        <v>387913</v>
      </c>
      <c r="C32" s="176">
        <v>315035</v>
      </c>
    </row>
    <row r="33" spans="1:3" x14ac:dyDescent="0.75">
      <c r="A33" s="70" t="s">
        <v>225</v>
      </c>
      <c r="B33" s="3">
        <f>SUM(B31:B32)</f>
        <v>509770</v>
      </c>
      <c r="C33" s="3">
        <f>SUM(C31:C32)</f>
        <v>418383</v>
      </c>
    </row>
    <row r="34" spans="1:3" ht="15.5" thickBot="1" x14ac:dyDescent="0.9">
      <c r="A34" s="70" t="s">
        <v>864</v>
      </c>
      <c r="B34" s="84">
        <v>129083</v>
      </c>
      <c r="C34" s="84">
        <v>105237</v>
      </c>
    </row>
    <row r="35" spans="1:3" ht="15.5" thickBot="1" x14ac:dyDescent="0.9">
      <c r="A35" s="15" t="s">
        <v>865</v>
      </c>
      <c r="B35" s="53">
        <f>SUM(B33:B34)</f>
        <v>638853</v>
      </c>
      <c r="C35" s="53">
        <f>SUM(C33:C34)</f>
        <v>523620</v>
      </c>
    </row>
    <row r="36" spans="1:3" ht="15.5" thickTop="1" x14ac:dyDescent="0.75">
      <c r="A36" s="74" t="s">
        <v>866</v>
      </c>
      <c r="B36" s="75"/>
      <c r="C36" s="75"/>
    </row>
    <row r="37" spans="1:3" x14ac:dyDescent="0.75">
      <c r="A37" s="85" t="s">
        <v>548</v>
      </c>
      <c r="B37" s="3">
        <v>1054883</v>
      </c>
      <c r="C37" s="3">
        <v>879377</v>
      </c>
    </row>
    <row r="38" spans="1:3" ht="15.5" thickBot="1" x14ac:dyDescent="0.9">
      <c r="A38" s="70" t="s">
        <v>867</v>
      </c>
      <c r="B38" s="3">
        <v>349260</v>
      </c>
      <c r="C38" s="3">
        <v>486299</v>
      </c>
    </row>
    <row r="39" spans="1:3" ht="15.5" thickBot="1" x14ac:dyDescent="0.9">
      <c r="A39" s="73" t="s">
        <v>868</v>
      </c>
      <c r="B39" s="71">
        <f>SUM(B37:B38)</f>
        <v>1404143</v>
      </c>
      <c r="C39" s="71">
        <f>SUM(C37:C38)</f>
        <v>1365676</v>
      </c>
    </row>
    <row r="40" spans="1:3" ht="15.5" thickBot="1" x14ac:dyDescent="0.9">
      <c r="A40" s="15" t="str">
        <f>A39&amp;" and "&amp;A35</f>
        <v>Total Stockholder Equity and Total Liabilities</v>
      </c>
      <c r="B40" s="67">
        <f>SUM(B39,B35)</f>
        <v>2042996</v>
      </c>
      <c r="C40" s="67">
        <f>SUM(C39,C35)</f>
        <v>1889296</v>
      </c>
    </row>
    <row r="41" spans="1:3" ht="15.5" thickTop="1" x14ac:dyDescent="0.75">
      <c r="B41" t="b">
        <f>B40=B29</f>
        <v>1</v>
      </c>
      <c r="C41" t="b">
        <f>C40=C29</f>
        <v>1</v>
      </c>
    </row>
  </sheetData>
  <phoneticPr fontId="28" type="noConversion"/>
  <pageMargins left="0.7" right="0.7" top="0.75" bottom="0.75" header="0.3" footer="0.3"/>
  <pageSetup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95FBB-4DFE-4812-A42C-830D00799ADA}">
  <sheetPr codeName="Sheet20">
    <tabColor rgb="FF0000FF"/>
  </sheetPr>
  <dimension ref="A1:H41"/>
  <sheetViews>
    <sheetView zoomScale="82" zoomScaleNormal="82" workbookViewId="0"/>
  </sheetViews>
  <sheetFormatPr defaultRowHeight="14.75" x14ac:dyDescent="0.75"/>
  <cols>
    <col min="1" max="1" width="41" bestFit="1" customWidth="1"/>
    <col min="2" max="3" width="27.86328125" bestFit="1" customWidth="1"/>
    <col min="4" max="4" width="2.08984375" bestFit="1" customWidth="1"/>
    <col min="5" max="5" width="20.54296875" bestFit="1" customWidth="1"/>
    <col min="6" max="6" width="21.453125" bestFit="1" customWidth="1"/>
    <col min="7" max="7" width="13.86328125" bestFit="1" customWidth="1"/>
    <col min="8" max="8" width="11.08984375" bestFit="1" customWidth="1"/>
  </cols>
  <sheetData>
    <row r="1" spans="1:8" x14ac:dyDescent="0.75">
      <c r="A1" s="11" t="s">
        <v>919</v>
      </c>
      <c r="B1" s="11"/>
      <c r="C1" s="11"/>
      <c r="F1" s="224">
        <v>2006</v>
      </c>
      <c r="G1" s="224">
        <v>2005</v>
      </c>
    </row>
    <row r="2" spans="1:8" x14ac:dyDescent="0.75">
      <c r="A2" s="11" t="s">
        <v>543</v>
      </c>
      <c r="B2" s="11"/>
      <c r="C2" s="11"/>
      <c r="E2" s="2" t="s">
        <v>1181</v>
      </c>
      <c r="F2" s="3"/>
      <c r="G2" s="3"/>
    </row>
    <row r="3" spans="1:8" x14ac:dyDescent="0.75">
      <c r="A3" s="10" t="s">
        <v>850</v>
      </c>
      <c r="B3" s="16">
        <v>38984</v>
      </c>
      <c r="C3" s="16">
        <v>38620</v>
      </c>
      <c r="E3" s="2" t="s">
        <v>1182</v>
      </c>
      <c r="F3" s="3"/>
      <c r="G3" s="3"/>
    </row>
    <row r="4" spans="1:8" x14ac:dyDescent="0.75">
      <c r="A4" s="12" t="s">
        <v>545</v>
      </c>
      <c r="B4" s="225">
        <v>5607376</v>
      </c>
      <c r="C4" s="225">
        <v>4701289</v>
      </c>
      <c r="E4" s="2" t="s">
        <v>1183</v>
      </c>
      <c r="F4" s="3"/>
      <c r="G4" s="3"/>
    </row>
    <row r="5" spans="1:8" ht="15.5" thickBot="1" x14ac:dyDescent="0.9">
      <c r="A5" s="13" t="s">
        <v>546</v>
      </c>
      <c r="B5" s="225">
        <v>3647734</v>
      </c>
      <c r="C5" s="225">
        <v>3052184</v>
      </c>
      <c r="E5" s="2" t="s">
        <v>492</v>
      </c>
      <c r="F5" s="83"/>
      <c r="G5" s="83"/>
    </row>
    <row r="6" spans="1:8" x14ac:dyDescent="0.75">
      <c r="A6" s="12" t="s">
        <v>851</v>
      </c>
      <c r="B6" s="83">
        <v>1484410</v>
      </c>
      <c r="C6" s="83">
        <v>1285613</v>
      </c>
      <c r="E6" s="2" t="s">
        <v>1180</v>
      </c>
      <c r="F6" s="83"/>
      <c r="G6" s="83"/>
    </row>
    <row r="7" spans="1:8" ht="15.5" thickBot="1" x14ac:dyDescent="0.9">
      <c r="A7" s="12" t="s">
        <v>547</v>
      </c>
      <c r="B7" s="226">
        <v>156223</v>
      </c>
      <c r="C7" s="226">
        <v>133759</v>
      </c>
      <c r="D7" s="227" t="s">
        <v>922</v>
      </c>
    </row>
    <row r="8" spans="1:8" x14ac:dyDescent="0.75">
      <c r="A8" s="14" t="s">
        <v>852</v>
      </c>
      <c r="B8" s="87">
        <f>B4-SUM(B5:B7)</f>
        <v>319009</v>
      </c>
      <c r="C8" s="87">
        <f>C4-SUM(C5:C7)</f>
        <v>229733</v>
      </c>
      <c r="G8" s="228">
        <v>2006</v>
      </c>
      <c r="H8" s="228">
        <v>2005</v>
      </c>
    </row>
    <row r="9" spans="1:8" ht="15.5" thickBot="1" x14ac:dyDescent="0.9">
      <c r="A9" s="13" t="s">
        <v>853</v>
      </c>
      <c r="B9" s="229">
        <v>20736</v>
      </c>
      <c r="C9" s="229">
        <v>9623</v>
      </c>
      <c r="E9" s="2" t="s">
        <v>513</v>
      </c>
      <c r="F9" s="203" t="s">
        <v>1184</v>
      </c>
      <c r="G9" s="233"/>
      <c r="H9" s="233"/>
    </row>
    <row r="10" spans="1:8" x14ac:dyDescent="0.75">
      <c r="A10" s="14" t="s">
        <v>854</v>
      </c>
      <c r="B10" s="9">
        <f>SUM(B8:B9)</f>
        <v>339745</v>
      </c>
      <c r="C10" s="9">
        <f>SUM(C8:C9)</f>
        <v>239356</v>
      </c>
      <c r="E10" s="2" t="s">
        <v>1179</v>
      </c>
      <c r="F10" s="203" t="s">
        <v>515</v>
      </c>
      <c r="G10" s="234"/>
      <c r="H10" s="234"/>
    </row>
    <row r="11" spans="1:8" ht="15.5" thickBot="1" x14ac:dyDescent="0.9">
      <c r="A11" s="13" t="s">
        <v>855</v>
      </c>
      <c r="B11" s="229">
        <v>32</v>
      </c>
      <c r="C11" s="229">
        <v>2223</v>
      </c>
      <c r="E11" s="2" t="s">
        <v>516</v>
      </c>
      <c r="F11" s="203" t="s">
        <v>517</v>
      </c>
      <c r="G11" s="234"/>
      <c r="H11" s="234"/>
    </row>
    <row r="12" spans="1:8" x14ac:dyDescent="0.75">
      <c r="A12" s="14" t="s">
        <v>856</v>
      </c>
      <c r="B12" s="230">
        <v>339713</v>
      </c>
      <c r="C12" s="230">
        <v>237133</v>
      </c>
      <c r="E12" s="2" t="s">
        <v>518</v>
      </c>
      <c r="F12" s="203" t="s">
        <v>519</v>
      </c>
      <c r="G12" s="234"/>
      <c r="H12" s="234"/>
    </row>
    <row r="13" spans="1:8" ht="15.5" thickBot="1" x14ac:dyDescent="0.9">
      <c r="A13" s="13" t="s">
        <v>857</v>
      </c>
      <c r="B13" s="229">
        <v>135885</v>
      </c>
      <c r="C13" s="229">
        <v>100782</v>
      </c>
      <c r="E13" s="2" t="s">
        <v>520</v>
      </c>
      <c r="F13" s="203" t="s">
        <v>521</v>
      </c>
      <c r="G13" s="234"/>
      <c r="H13" s="234"/>
    </row>
    <row r="14" spans="1:8" ht="15.5" thickBot="1" x14ac:dyDescent="0.9">
      <c r="A14" s="15" t="s">
        <v>858</v>
      </c>
      <c r="B14" s="231">
        <v>203828</v>
      </c>
      <c r="C14" s="231">
        <v>136351</v>
      </c>
      <c r="G14" s="235"/>
      <c r="H14" s="235"/>
    </row>
    <row r="15" spans="1:8" ht="15.5" thickTop="1" x14ac:dyDescent="0.75">
      <c r="E15" t="s">
        <v>273</v>
      </c>
    </row>
    <row r="16" spans="1:8" x14ac:dyDescent="0.75">
      <c r="A16" s="12" t="s">
        <v>495</v>
      </c>
      <c r="B16" s="3">
        <v>358075</v>
      </c>
      <c r="C16" s="232">
        <v>54683</v>
      </c>
      <c r="E16" t="s">
        <v>272</v>
      </c>
      <c r="F16">
        <v>0.2</v>
      </c>
      <c r="G16" s="183"/>
    </row>
    <row r="17" spans="1:6" x14ac:dyDescent="0.75">
      <c r="A17" s="12" t="s">
        <v>13</v>
      </c>
      <c r="B17" s="83">
        <f>B14-B16</f>
        <v>-154247</v>
      </c>
      <c r="C17" s="83">
        <f>C14-C16</f>
        <v>81668</v>
      </c>
      <c r="E17" t="s">
        <v>274</v>
      </c>
    </row>
    <row r="18" spans="1:6" x14ac:dyDescent="0.75">
      <c r="E18" t="s">
        <v>279</v>
      </c>
      <c r="F18" s="2"/>
    </row>
    <row r="19" spans="1:6" x14ac:dyDescent="0.75">
      <c r="A19" s="11" t="s">
        <v>919</v>
      </c>
      <c r="B19" s="11"/>
      <c r="C19" s="11"/>
      <c r="E19" t="s">
        <v>280</v>
      </c>
      <c r="F19" s="2"/>
    </row>
    <row r="20" spans="1:6" x14ac:dyDescent="0.75">
      <c r="A20" s="11" t="s">
        <v>551</v>
      </c>
      <c r="B20" s="11"/>
      <c r="C20" s="11"/>
      <c r="E20" t="s">
        <v>275</v>
      </c>
      <c r="F20" s="216"/>
    </row>
    <row r="21" spans="1:6" x14ac:dyDescent="0.75">
      <c r="A21" s="12" t="s">
        <v>850</v>
      </c>
      <c r="B21" s="19">
        <v>38984</v>
      </c>
      <c r="C21" s="19">
        <v>38620</v>
      </c>
      <c r="E21" t="s">
        <v>276</v>
      </c>
      <c r="F21" s="183"/>
    </row>
    <row r="22" spans="1:6" x14ac:dyDescent="0.75">
      <c r="A22" s="72" t="s">
        <v>859</v>
      </c>
      <c r="B22" s="2"/>
      <c r="C22" s="2"/>
      <c r="E22" t="s">
        <v>277</v>
      </c>
      <c r="F22" s="183"/>
    </row>
    <row r="23" spans="1:6" x14ac:dyDescent="0.75">
      <c r="A23" s="175" t="s">
        <v>573</v>
      </c>
      <c r="B23" s="3">
        <v>256164</v>
      </c>
      <c r="C23" s="3">
        <v>345446</v>
      </c>
      <c r="E23" t="s">
        <v>278</v>
      </c>
      <c r="F23" s="183"/>
    </row>
    <row r="24" spans="1:6" x14ac:dyDescent="0.75">
      <c r="A24" s="175" t="s">
        <v>282</v>
      </c>
      <c r="B24" s="3">
        <v>82137</v>
      </c>
      <c r="C24" s="3">
        <v>66682</v>
      </c>
    </row>
    <row r="25" spans="1:6" x14ac:dyDescent="0.75">
      <c r="A25" s="175" t="s">
        <v>577</v>
      </c>
      <c r="B25" s="3">
        <v>203727</v>
      </c>
      <c r="C25" s="3">
        <v>174848</v>
      </c>
    </row>
    <row r="26" spans="1:6" ht="15.5" thickBot="1" x14ac:dyDescent="0.9">
      <c r="A26" s="175" t="s">
        <v>214</v>
      </c>
      <c r="B26" s="3">
        <v>81953</v>
      </c>
      <c r="C26" s="3">
        <v>85553</v>
      </c>
    </row>
    <row r="27" spans="1:6" x14ac:dyDescent="0.75">
      <c r="A27" s="52" t="s">
        <v>224</v>
      </c>
      <c r="B27" s="3">
        <f>SUM(B23:B26)</f>
        <v>623981</v>
      </c>
      <c r="C27" s="3">
        <f>SUM(C23:C26)</f>
        <v>672529</v>
      </c>
    </row>
    <row r="28" spans="1:6" ht="15.5" thickBot="1" x14ac:dyDescent="0.9">
      <c r="A28" s="70" t="s">
        <v>544</v>
      </c>
      <c r="B28" s="84">
        <v>1419015</v>
      </c>
      <c r="C28" s="84">
        <v>1216767</v>
      </c>
    </row>
    <row r="29" spans="1:6" ht="15.5" thickBot="1" x14ac:dyDescent="0.9">
      <c r="A29" s="68" t="s">
        <v>861</v>
      </c>
      <c r="B29" s="69">
        <f>SUM(B27:B28)</f>
        <v>2042996</v>
      </c>
      <c r="C29" s="69">
        <f>SUM(C27:C28)</f>
        <v>1889296</v>
      </c>
    </row>
    <row r="30" spans="1:6" ht="15.5" thickTop="1" x14ac:dyDescent="0.75">
      <c r="A30" s="72" t="s">
        <v>862</v>
      </c>
      <c r="B30" s="95"/>
      <c r="C30" s="95"/>
    </row>
    <row r="31" spans="1:6" x14ac:dyDescent="0.75">
      <c r="A31" s="177" t="s">
        <v>226</v>
      </c>
      <c r="B31" s="176">
        <v>121857</v>
      </c>
      <c r="C31" s="176">
        <v>103348</v>
      </c>
    </row>
    <row r="32" spans="1:6" x14ac:dyDescent="0.75">
      <c r="A32" s="177" t="s">
        <v>214</v>
      </c>
      <c r="B32" s="176">
        <v>387913</v>
      </c>
      <c r="C32" s="176">
        <v>315035</v>
      </c>
    </row>
    <row r="33" spans="1:3" x14ac:dyDescent="0.75">
      <c r="A33" s="70" t="s">
        <v>225</v>
      </c>
      <c r="B33" s="3">
        <f>SUM(B31:B32)</f>
        <v>509770</v>
      </c>
      <c r="C33" s="3">
        <f>SUM(C31:C32)</f>
        <v>418383</v>
      </c>
    </row>
    <row r="34" spans="1:3" ht="15.5" thickBot="1" x14ac:dyDescent="0.9">
      <c r="A34" s="70" t="s">
        <v>864</v>
      </c>
      <c r="B34" s="84">
        <v>129083</v>
      </c>
      <c r="C34" s="84">
        <v>105237</v>
      </c>
    </row>
    <row r="35" spans="1:3" ht="15.5" thickBot="1" x14ac:dyDescent="0.9">
      <c r="A35" s="15" t="s">
        <v>865</v>
      </c>
      <c r="B35" s="53">
        <f>SUM(B33:B34)</f>
        <v>638853</v>
      </c>
      <c r="C35" s="53">
        <f>SUM(C33:C34)</f>
        <v>523620</v>
      </c>
    </row>
    <row r="36" spans="1:3" ht="15.5" thickTop="1" x14ac:dyDescent="0.75">
      <c r="A36" s="74" t="s">
        <v>866</v>
      </c>
      <c r="B36" s="75"/>
      <c r="C36" s="75"/>
    </row>
    <row r="37" spans="1:3" x14ac:dyDescent="0.75">
      <c r="A37" s="85" t="s">
        <v>548</v>
      </c>
      <c r="B37" s="3">
        <v>1054883</v>
      </c>
      <c r="C37" s="3">
        <v>879377</v>
      </c>
    </row>
    <row r="38" spans="1:3" ht="15.5" thickBot="1" x14ac:dyDescent="0.9">
      <c r="A38" s="70" t="s">
        <v>867</v>
      </c>
      <c r="B38" s="3">
        <v>349260</v>
      </c>
      <c r="C38" s="3">
        <v>486299</v>
      </c>
    </row>
    <row r="39" spans="1:3" ht="15.5" thickBot="1" x14ac:dyDescent="0.9">
      <c r="A39" s="73" t="s">
        <v>868</v>
      </c>
      <c r="B39" s="71">
        <f>SUM(B37:B38)</f>
        <v>1404143</v>
      </c>
      <c r="C39" s="71">
        <f>SUM(C37:C38)</f>
        <v>1365676</v>
      </c>
    </row>
    <row r="40" spans="1:3" ht="15.5" thickBot="1" x14ac:dyDescent="0.9">
      <c r="A40" s="15" t="str">
        <f>A39&amp;" and "&amp;A35</f>
        <v>Total Stockholder Equity and Total Liabilities</v>
      </c>
      <c r="B40" s="67">
        <f>SUM(B39,B35)</f>
        <v>2042996</v>
      </c>
      <c r="C40" s="67">
        <f>SUM(C39,C35)</f>
        <v>1889296</v>
      </c>
    </row>
    <row r="41" spans="1:3" ht="15.5" thickTop="1" x14ac:dyDescent="0.75">
      <c r="B41" t="b">
        <f>B40=B29</f>
        <v>1</v>
      </c>
      <c r="C41" t="b">
        <f>C40=C29</f>
        <v>1</v>
      </c>
    </row>
  </sheetData>
  <phoneticPr fontId="28" type="noConversion"/>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FDCA73-A8DD-4C04-AEB8-97A16D60350C}">
  <sheetPr codeName="Sheet21">
    <tabColor rgb="FFFF0000"/>
  </sheetPr>
  <dimension ref="A1:H41"/>
  <sheetViews>
    <sheetView zoomScale="82" zoomScaleNormal="82" workbookViewId="0"/>
  </sheetViews>
  <sheetFormatPr defaultRowHeight="14.75" x14ac:dyDescent="0.75"/>
  <cols>
    <col min="1" max="1" width="41" bestFit="1" customWidth="1"/>
    <col min="2" max="3" width="27.86328125" bestFit="1" customWidth="1"/>
    <col min="4" max="4" width="2.08984375" bestFit="1" customWidth="1"/>
    <col min="5" max="5" width="20.54296875" bestFit="1" customWidth="1"/>
    <col min="6" max="6" width="21.453125" bestFit="1" customWidth="1"/>
    <col min="7" max="7" width="13.86328125" bestFit="1" customWidth="1"/>
    <col min="8" max="8" width="11.08984375" bestFit="1" customWidth="1"/>
  </cols>
  <sheetData>
    <row r="1" spans="1:8" x14ac:dyDescent="0.75">
      <c r="A1" s="11" t="s">
        <v>919</v>
      </c>
      <c r="B1" s="11"/>
      <c r="C1" s="11"/>
      <c r="F1" s="224">
        <v>2006</v>
      </c>
      <c r="G1" s="224">
        <v>2005</v>
      </c>
    </row>
    <row r="2" spans="1:8" x14ac:dyDescent="0.75">
      <c r="A2" s="11" t="s">
        <v>543</v>
      </c>
      <c r="B2" s="11"/>
      <c r="C2" s="11"/>
      <c r="E2" s="2" t="s">
        <v>1181</v>
      </c>
      <c r="F2" s="3">
        <f>B35</f>
        <v>638853</v>
      </c>
      <c r="G2" s="3">
        <f>C35</f>
        <v>523620</v>
      </c>
    </row>
    <row r="3" spans="1:8" x14ac:dyDescent="0.75">
      <c r="A3" s="10" t="s">
        <v>850</v>
      </c>
      <c r="B3" s="16">
        <v>38984</v>
      </c>
      <c r="C3" s="16">
        <v>38620</v>
      </c>
      <c r="E3" s="2" t="s">
        <v>1182</v>
      </c>
      <c r="F3" s="3">
        <f>B29</f>
        <v>2042996</v>
      </c>
      <c r="G3" s="3">
        <f>C29</f>
        <v>1889296</v>
      </c>
    </row>
    <row r="4" spans="1:8" x14ac:dyDescent="0.75">
      <c r="A4" s="12" t="s">
        <v>545</v>
      </c>
      <c r="B4" s="225">
        <v>5607376</v>
      </c>
      <c r="C4" s="225">
        <v>4701289</v>
      </c>
      <c r="E4" s="2" t="s">
        <v>1183</v>
      </c>
      <c r="F4" s="3">
        <f>B39</f>
        <v>1404143</v>
      </c>
      <c r="G4" s="3">
        <f>C39</f>
        <v>1365676</v>
      </c>
    </row>
    <row r="5" spans="1:8" ht="15.5" thickBot="1" x14ac:dyDescent="0.9">
      <c r="A5" s="13" t="s">
        <v>546</v>
      </c>
      <c r="B5" s="225">
        <v>3647734</v>
      </c>
      <c r="C5" s="225">
        <v>3052184</v>
      </c>
      <c r="E5" s="2" t="s">
        <v>492</v>
      </c>
      <c r="F5" s="83">
        <f>B10</f>
        <v>339745</v>
      </c>
      <c r="G5" s="83">
        <f>C10</f>
        <v>239356</v>
      </c>
    </row>
    <row r="6" spans="1:8" x14ac:dyDescent="0.75">
      <c r="A6" s="12" t="s">
        <v>851</v>
      </c>
      <c r="B6" s="83">
        <v>1484410</v>
      </c>
      <c r="C6" s="83">
        <v>1285613</v>
      </c>
      <c r="E6" s="2" t="s">
        <v>1180</v>
      </c>
      <c r="F6" s="83">
        <f>B11</f>
        <v>32</v>
      </c>
      <c r="G6" s="83">
        <f>C11</f>
        <v>2223</v>
      </c>
    </row>
    <row r="7" spans="1:8" ht="15.5" thickBot="1" x14ac:dyDescent="0.9">
      <c r="A7" s="12" t="s">
        <v>547</v>
      </c>
      <c r="B7" s="226">
        <v>156223</v>
      </c>
      <c r="C7" s="226">
        <v>133759</v>
      </c>
      <c r="D7" s="227" t="s">
        <v>922</v>
      </c>
    </row>
    <row r="8" spans="1:8" x14ac:dyDescent="0.75">
      <c r="A8" s="14" t="s">
        <v>852</v>
      </c>
      <c r="B8" s="87">
        <f>B4-SUM(B5:B7)</f>
        <v>319009</v>
      </c>
      <c r="C8" s="87">
        <f>C4-SUM(C5:C7)</f>
        <v>229733</v>
      </c>
      <c r="G8" s="228">
        <v>2006</v>
      </c>
      <c r="H8" s="228">
        <v>2005</v>
      </c>
    </row>
    <row r="9" spans="1:8" ht="15.5" thickBot="1" x14ac:dyDescent="0.9">
      <c r="A9" s="13" t="s">
        <v>853</v>
      </c>
      <c r="B9" s="229">
        <v>20736</v>
      </c>
      <c r="C9" s="229">
        <v>9623</v>
      </c>
      <c r="E9" s="2" t="s">
        <v>513</v>
      </c>
      <c r="F9" s="203" t="s">
        <v>1184</v>
      </c>
      <c r="G9" s="233">
        <f>F2/F3</f>
        <v>0.31270398963091461</v>
      </c>
      <c r="H9" s="233">
        <f>G2/G3</f>
        <v>0.27715085407474532</v>
      </c>
    </row>
    <row r="10" spans="1:8" x14ac:dyDescent="0.75">
      <c r="A10" s="14" t="s">
        <v>854</v>
      </c>
      <c r="B10" s="9">
        <f>SUM(B8:B9)</f>
        <v>339745</v>
      </c>
      <c r="C10" s="9">
        <f>SUM(C8:C9)</f>
        <v>239356</v>
      </c>
      <c r="E10" s="2" t="s">
        <v>1179</v>
      </c>
      <c r="F10" s="203" t="s">
        <v>515</v>
      </c>
      <c r="G10" s="234">
        <f>F2/F4</f>
        <v>0.45497716400679988</v>
      </c>
      <c r="H10" s="234">
        <f>G2/G4</f>
        <v>0.38341451413073085</v>
      </c>
    </row>
    <row r="11" spans="1:8" ht="15.5" thickBot="1" x14ac:dyDescent="0.9">
      <c r="A11" s="13" t="s">
        <v>855</v>
      </c>
      <c r="B11" s="229">
        <v>32</v>
      </c>
      <c r="C11" s="229">
        <v>2223</v>
      </c>
      <c r="E11" s="2" t="s">
        <v>516</v>
      </c>
      <c r="F11" s="203" t="s">
        <v>517</v>
      </c>
      <c r="G11" s="234">
        <f>1+G10</f>
        <v>1.4549771640067999</v>
      </c>
      <c r="H11" s="234">
        <f>1+H10</f>
        <v>1.3834145141307308</v>
      </c>
    </row>
    <row r="12" spans="1:8" x14ac:dyDescent="0.75">
      <c r="A12" s="14" t="s">
        <v>856</v>
      </c>
      <c r="B12" s="230">
        <v>339713</v>
      </c>
      <c r="C12" s="230">
        <v>237133</v>
      </c>
      <c r="E12" s="2" t="s">
        <v>518</v>
      </c>
      <c r="F12" s="203" t="s">
        <v>519</v>
      </c>
      <c r="G12" s="234">
        <f>F5/F6</f>
        <v>10617.03125</v>
      </c>
      <c r="H12" s="234">
        <f>G5/G6</f>
        <v>107.67251461988305</v>
      </c>
    </row>
    <row r="13" spans="1:8" ht="15.5" thickBot="1" x14ac:dyDescent="0.9">
      <c r="A13" s="13" t="s">
        <v>857</v>
      </c>
      <c r="B13" s="229">
        <v>135885</v>
      </c>
      <c r="C13" s="229">
        <v>100782</v>
      </c>
      <c r="E13" s="2" t="s">
        <v>520</v>
      </c>
      <c r="F13" s="203" t="s">
        <v>521</v>
      </c>
      <c r="G13" s="234">
        <f>(F5+B7)/F6</f>
        <v>15499</v>
      </c>
      <c r="H13" s="234">
        <f>(G5+C7)/G6</f>
        <v>167.84300494826812</v>
      </c>
    </row>
    <row r="14" spans="1:8" ht="15.5" thickBot="1" x14ac:dyDescent="0.9">
      <c r="A14" s="15" t="s">
        <v>858</v>
      </c>
      <c r="B14" s="231">
        <v>203828</v>
      </c>
      <c r="C14" s="231">
        <v>136351</v>
      </c>
      <c r="G14" s="235">
        <f>F3/F4</f>
        <v>1.4549771640067999</v>
      </c>
      <c r="H14" s="235">
        <f>G3/G4</f>
        <v>1.3834145141307308</v>
      </c>
    </row>
    <row r="15" spans="1:8" ht="15.5" thickTop="1" x14ac:dyDescent="0.75">
      <c r="E15" t="s">
        <v>273</v>
      </c>
    </row>
    <row r="16" spans="1:8" x14ac:dyDescent="0.75">
      <c r="A16" s="12" t="s">
        <v>495</v>
      </c>
      <c r="B16" s="3">
        <v>358075</v>
      </c>
      <c r="C16" s="232">
        <v>54683</v>
      </c>
      <c r="E16" t="s">
        <v>272</v>
      </c>
      <c r="F16">
        <v>0.2</v>
      </c>
      <c r="G16" s="183">
        <f>2/10</f>
        <v>0.2</v>
      </c>
    </row>
    <row r="17" spans="1:6" x14ac:dyDescent="0.75">
      <c r="A17" s="12" t="s">
        <v>13</v>
      </c>
      <c r="B17" s="83">
        <f>B14-B16</f>
        <v>-154247</v>
      </c>
      <c r="C17" s="83">
        <f>C14-C16</f>
        <v>81668</v>
      </c>
      <c r="E17" t="s">
        <v>274</v>
      </c>
    </row>
    <row r="18" spans="1:6" x14ac:dyDescent="0.75">
      <c r="E18" t="s">
        <v>279</v>
      </c>
      <c r="F18" s="2">
        <v>10</v>
      </c>
    </row>
    <row r="19" spans="1:6" x14ac:dyDescent="0.75">
      <c r="A19" s="11" t="s">
        <v>919</v>
      </c>
      <c r="B19" s="11"/>
      <c r="C19" s="11"/>
      <c r="E19" t="s">
        <v>280</v>
      </c>
      <c r="F19" s="2">
        <v>2</v>
      </c>
    </row>
    <row r="20" spans="1:6" x14ac:dyDescent="0.75">
      <c r="A20" s="11" t="s">
        <v>551</v>
      </c>
      <c r="B20" s="11"/>
      <c r="C20" s="11"/>
      <c r="E20" t="s">
        <v>275</v>
      </c>
      <c r="F20" s="216">
        <f>F18-F19</f>
        <v>8</v>
      </c>
    </row>
    <row r="21" spans="1:6" x14ac:dyDescent="0.75">
      <c r="A21" s="12" t="s">
        <v>850</v>
      </c>
      <c r="B21" s="19">
        <v>38984</v>
      </c>
      <c r="C21" s="19">
        <v>38620</v>
      </c>
      <c r="E21" t="s">
        <v>276</v>
      </c>
      <c r="F21" s="183">
        <f>F19/F20</f>
        <v>0.25</v>
      </c>
    </row>
    <row r="22" spans="1:6" x14ac:dyDescent="0.75">
      <c r="A22" s="72" t="s">
        <v>859</v>
      </c>
      <c r="B22" s="2"/>
      <c r="C22" s="2"/>
      <c r="E22" t="s">
        <v>277</v>
      </c>
      <c r="F22" s="183">
        <f>1+F21</f>
        <v>1.25</v>
      </c>
    </row>
    <row r="23" spans="1:6" x14ac:dyDescent="0.75">
      <c r="A23" s="175" t="s">
        <v>573</v>
      </c>
      <c r="B23" s="3">
        <v>256164</v>
      </c>
      <c r="C23" s="3">
        <v>345446</v>
      </c>
      <c r="E23" t="s">
        <v>278</v>
      </c>
      <c r="F23" s="183"/>
    </row>
    <row r="24" spans="1:6" x14ac:dyDescent="0.75">
      <c r="A24" s="175" t="s">
        <v>282</v>
      </c>
      <c r="B24" s="3">
        <v>82137</v>
      </c>
      <c r="C24" s="3">
        <v>66682</v>
      </c>
    </row>
    <row r="25" spans="1:6" x14ac:dyDescent="0.75">
      <c r="A25" s="175" t="s">
        <v>577</v>
      </c>
      <c r="B25" s="3">
        <v>203727</v>
      </c>
      <c r="C25" s="3">
        <v>174848</v>
      </c>
    </row>
    <row r="26" spans="1:6" ht="15.5" thickBot="1" x14ac:dyDescent="0.9">
      <c r="A26" s="175" t="s">
        <v>214</v>
      </c>
      <c r="B26" s="3">
        <v>81953</v>
      </c>
      <c r="C26" s="3">
        <v>85553</v>
      </c>
    </row>
    <row r="27" spans="1:6" x14ac:dyDescent="0.75">
      <c r="A27" s="52" t="s">
        <v>224</v>
      </c>
      <c r="B27" s="3">
        <f>SUM(B23:B26)</f>
        <v>623981</v>
      </c>
      <c r="C27" s="3">
        <f>SUM(C23:C26)</f>
        <v>672529</v>
      </c>
    </row>
    <row r="28" spans="1:6" ht="15.5" thickBot="1" x14ac:dyDescent="0.9">
      <c r="A28" s="70" t="s">
        <v>544</v>
      </c>
      <c r="B28" s="84">
        <v>1419015</v>
      </c>
      <c r="C28" s="84">
        <v>1216767</v>
      </c>
    </row>
    <row r="29" spans="1:6" ht="15.5" thickBot="1" x14ac:dyDescent="0.9">
      <c r="A29" s="68" t="s">
        <v>861</v>
      </c>
      <c r="B29" s="69">
        <f>SUM(B27:B28)</f>
        <v>2042996</v>
      </c>
      <c r="C29" s="69">
        <f>SUM(C27:C28)</f>
        <v>1889296</v>
      </c>
    </row>
    <row r="30" spans="1:6" ht="15.5" thickTop="1" x14ac:dyDescent="0.75">
      <c r="A30" s="72" t="s">
        <v>862</v>
      </c>
      <c r="B30" s="95"/>
      <c r="C30" s="95"/>
    </row>
    <row r="31" spans="1:6" x14ac:dyDescent="0.75">
      <c r="A31" s="177" t="s">
        <v>226</v>
      </c>
      <c r="B31" s="176">
        <v>121857</v>
      </c>
      <c r="C31" s="176">
        <v>103348</v>
      </c>
    </row>
    <row r="32" spans="1:6" x14ac:dyDescent="0.75">
      <c r="A32" s="177" t="s">
        <v>214</v>
      </c>
      <c r="B32" s="176">
        <v>387913</v>
      </c>
      <c r="C32" s="176">
        <v>315035</v>
      </c>
    </row>
    <row r="33" spans="1:3" x14ac:dyDescent="0.75">
      <c r="A33" s="70" t="s">
        <v>225</v>
      </c>
      <c r="B33" s="3">
        <f>SUM(B31:B32)</f>
        <v>509770</v>
      </c>
      <c r="C33" s="3">
        <f>SUM(C31:C32)</f>
        <v>418383</v>
      </c>
    </row>
    <row r="34" spans="1:3" ht="15.5" thickBot="1" x14ac:dyDescent="0.9">
      <c r="A34" s="70" t="s">
        <v>864</v>
      </c>
      <c r="B34" s="84">
        <v>129083</v>
      </c>
      <c r="C34" s="84">
        <v>105237</v>
      </c>
    </row>
    <row r="35" spans="1:3" ht="15.5" thickBot="1" x14ac:dyDescent="0.9">
      <c r="A35" s="15" t="s">
        <v>865</v>
      </c>
      <c r="B35" s="53">
        <f>SUM(B33:B34)</f>
        <v>638853</v>
      </c>
      <c r="C35" s="53">
        <f>SUM(C33:C34)</f>
        <v>523620</v>
      </c>
    </row>
    <row r="36" spans="1:3" ht="15.5" thickTop="1" x14ac:dyDescent="0.75">
      <c r="A36" s="74" t="s">
        <v>866</v>
      </c>
      <c r="B36" s="75"/>
      <c r="C36" s="75"/>
    </row>
    <row r="37" spans="1:3" x14ac:dyDescent="0.75">
      <c r="A37" s="85" t="s">
        <v>548</v>
      </c>
      <c r="B37" s="3">
        <v>1054883</v>
      </c>
      <c r="C37" s="3">
        <v>879377</v>
      </c>
    </row>
    <row r="38" spans="1:3" ht="15.5" thickBot="1" x14ac:dyDescent="0.9">
      <c r="A38" s="70" t="s">
        <v>867</v>
      </c>
      <c r="B38" s="3">
        <v>349260</v>
      </c>
      <c r="C38" s="3">
        <v>486299</v>
      </c>
    </row>
    <row r="39" spans="1:3" ht="15.5" thickBot="1" x14ac:dyDescent="0.9">
      <c r="A39" s="73" t="s">
        <v>868</v>
      </c>
      <c r="B39" s="71">
        <f>SUM(B37:B38)</f>
        <v>1404143</v>
      </c>
      <c r="C39" s="71">
        <f>SUM(C37:C38)</f>
        <v>1365676</v>
      </c>
    </row>
    <row r="40" spans="1:3" ht="15.5" thickBot="1" x14ac:dyDescent="0.9">
      <c r="A40" s="15" t="str">
        <f>A39&amp;" and "&amp;A35</f>
        <v>Total Stockholder Equity and Total Liabilities</v>
      </c>
      <c r="B40" s="67">
        <f>SUM(B39,B35)</f>
        <v>2042996</v>
      </c>
      <c r="C40" s="67">
        <f>SUM(C39,C35)</f>
        <v>1889296</v>
      </c>
    </row>
    <row r="41" spans="1:3" ht="15.5" thickTop="1" x14ac:dyDescent="0.75">
      <c r="B41" t="b">
        <f>B40=B29</f>
        <v>1</v>
      </c>
      <c r="C41" t="b">
        <f>C40=C29</f>
        <v>1</v>
      </c>
    </row>
  </sheetData>
  <phoneticPr fontId="28" type="noConversion"/>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FC132A-0CFE-4822-A8AB-91626AE73886}">
  <sheetPr codeName="Sheet25">
    <tabColor rgb="FF0000FF"/>
  </sheetPr>
  <dimension ref="A1:L25"/>
  <sheetViews>
    <sheetView workbookViewId="0"/>
  </sheetViews>
  <sheetFormatPr defaultRowHeight="14.75" x14ac:dyDescent="0.75"/>
  <cols>
    <col min="1" max="1" width="22.86328125" bestFit="1" customWidth="1"/>
    <col min="2" max="2" width="13.2265625" bestFit="1" customWidth="1"/>
    <col min="3" max="3" width="14.453125" bestFit="1" customWidth="1"/>
    <col min="4" max="4" width="1.7265625" customWidth="1"/>
    <col min="5" max="5" width="17.31640625" customWidth="1"/>
    <col min="6" max="6" width="12" bestFit="1" customWidth="1"/>
  </cols>
  <sheetData>
    <row r="1" spans="1:12" x14ac:dyDescent="0.75">
      <c r="E1" s="263" t="s">
        <v>522</v>
      </c>
      <c r="F1" s="264"/>
      <c r="G1" s="263" t="s">
        <v>1200</v>
      </c>
      <c r="H1" s="264"/>
      <c r="I1" s="263" t="s">
        <v>516</v>
      </c>
      <c r="J1" s="264"/>
      <c r="K1" s="263" t="s">
        <v>1220</v>
      </c>
      <c r="L1" s="264"/>
    </row>
    <row r="2" spans="1:12" x14ac:dyDescent="0.75">
      <c r="E2" s="263" t="s">
        <v>523</v>
      </c>
      <c r="F2" s="264"/>
      <c r="G2" s="263" t="s">
        <v>1201</v>
      </c>
      <c r="H2" s="264"/>
      <c r="I2" s="263" t="s">
        <v>1202</v>
      </c>
      <c r="J2" s="264"/>
      <c r="K2" s="263" t="s">
        <v>1221</v>
      </c>
      <c r="L2" s="264"/>
    </row>
    <row r="3" spans="1:12" x14ac:dyDescent="0.75">
      <c r="A3" s="2"/>
      <c r="B3" s="223">
        <f>'WFMI LiquidityR'!B21</f>
        <v>38984</v>
      </c>
      <c r="C3" s="223">
        <f>'WFMI LiquidityR'!C21</f>
        <v>38620</v>
      </c>
      <c r="E3" s="236">
        <v>2024</v>
      </c>
      <c r="F3" s="236">
        <v>2025</v>
      </c>
      <c r="G3" s="236">
        <v>2024</v>
      </c>
      <c r="H3" s="236">
        <v>2025</v>
      </c>
      <c r="I3" s="236">
        <v>2024</v>
      </c>
      <c r="J3" s="236">
        <v>2025</v>
      </c>
      <c r="K3" s="236">
        <v>2024</v>
      </c>
      <c r="L3" s="236">
        <v>2025</v>
      </c>
    </row>
    <row r="4" spans="1:12" x14ac:dyDescent="0.75">
      <c r="A4" s="239" t="str">
        <f>'WFMI LiquidityR'!A39</f>
        <v>Total Stockholder Equity</v>
      </c>
      <c r="B4" s="199">
        <f>'WFMI LeverageR'!B39</f>
        <v>1404143</v>
      </c>
      <c r="C4" s="199">
        <f>'WFMI LeverageR'!C39</f>
        <v>1365676</v>
      </c>
      <c r="E4" s="257"/>
      <c r="F4" s="257"/>
      <c r="G4" s="258"/>
      <c r="H4" s="258"/>
      <c r="I4" s="258"/>
      <c r="J4" s="258"/>
      <c r="K4" s="257"/>
      <c r="L4" s="257"/>
    </row>
    <row r="5" spans="1:12" x14ac:dyDescent="0.75">
      <c r="A5" s="239" t="str">
        <f>'WFMI LiquidityR'!A35</f>
        <v>Total Liabilities</v>
      </c>
      <c r="B5" s="199">
        <f>'WFMI LeverageR'!B35</f>
        <v>638853</v>
      </c>
      <c r="C5" s="199">
        <f>'WFMI LeverageR'!C35</f>
        <v>523620</v>
      </c>
      <c r="K5" s="257"/>
      <c r="L5" s="257"/>
    </row>
    <row r="6" spans="1:12" x14ac:dyDescent="0.75">
      <c r="A6" s="239" t="str">
        <f>'WFMI LiquidityR'!A29</f>
        <v>Total Assets</v>
      </c>
      <c r="B6" s="199">
        <f>'WFMI LeverageR'!B29</f>
        <v>2042996</v>
      </c>
      <c r="C6" s="199">
        <f>'WFMI LeverageR'!C29</f>
        <v>1889296</v>
      </c>
    </row>
    <row r="7" spans="1:12" x14ac:dyDescent="0.75">
      <c r="A7" s="239" t="str">
        <f>'WFMI LiquidityR'!A4</f>
        <v>Net Sales</v>
      </c>
      <c r="B7" s="199">
        <f>'WFMI LeverageR'!B4</f>
        <v>5607376</v>
      </c>
      <c r="C7" s="199">
        <f>'WFMI LeverageR'!C4</f>
        <v>4701289</v>
      </c>
    </row>
    <row r="8" spans="1:12" x14ac:dyDescent="0.75">
      <c r="A8" s="239" t="str">
        <f>'WFMI LiquidityR'!A14</f>
        <v>Net Income</v>
      </c>
      <c r="B8" s="199">
        <f>'WFMI LeverageR'!B14</f>
        <v>203828</v>
      </c>
      <c r="C8" s="199">
        <f>'WFMI LeverageR'!C14</f>
        <v>136351</v>
      </c>
    </row>
    <row r="10" spans="1:12" x14ac:dyDescent="0.75">
      <c r="A10" s="2" t="str">
        <f>B14&amp;" = "&amp;B15</f>
        <v>Profit Margin = NI/Sales</v>
      </c>
      <c r="B10" s="216"/>
      <c r="C10" s="216"/>
    </row>
    <row r="11" spans="1:12" x14ac:dyDescent="0.75">
      <c r="A11" s="2" t="s">
        <v>1190</v>
      </c>
      <c r="B11" s="216"/>
      <c r="C11" s="216"/>
    </row>
    <row r="12" spans="1:12" x14ac:dyDescent="0.75">
      <c r="A12" s="2" t="s">
        <v>1191</v>
      </c>
      <c r="B12" s="216"/>
      <c r="C12" s="216"/>
    </row>
    <row r="14" spans="1:12" x14ac:dyDescent="0.75">
      <c r="B14" s="239" t="s">
        <v>522</v>
      </c>
      <c r="C14" s="239" t="s">
        <v>1200</v>
      </c>
      <c r="E14" s="239" t="s">
        <v>516</v>
      </c>
    </row>
    <row r="15" spans="1:12" x14ac:dyDescent="0.75">
      <c r="B15" s="239" t="s">
        <v>523</v>
      </c>
      <c r="C15" s="239" t="s">
        <v>1201</v>
      </c>
      <c r="E15" s="239" t="s">
        <v>1202</v>
      </c>
      <c r="F15" s="239" t="s">
        <v>268</v>
      </c>
      <c r="G15" s="239" t="s">
        <v>528</v>
      </c>
    </row>
    <row r="16" spans="1:12" x14ac:dyDescent="0.75">
      <c r="A16" s="240">
        <f>C3</f>
        <v>38620</v>
      </c>
      <c r="B16" s="183"/>
      <c r="C16" s="183"/>
      <c r="E16" s="183"/>
      <c r="F16" s="183"/>
      <c r="G16" s="183"/>
    </row>
    <row r="17" spans="1:7" x14ac:dyDescent="0.75">
      <c r="A17" s="240">
        <f>B3</f>
        <v>38984</v>
      </c>
      <c r="B17" s="183"/>
      <c r="C17" s="183"/>
      <c r="E17" s="183"/>
      <c r="F17" s="183"/>
      <c r="G17" s="183"/>
    </row>
    <row r="19" spans="1:7" x14ac:dyDescent="0.75">
      <c r="C19" s="239" t="s">
        <v>267</v>
      </c>
      <c r="E19" s="239" t="s">
        <v>526</v>
      </c>
      <c r="F19" s="239" t="s">
        <v>268</v>
      </c>
    </row>
    <row r="20" spans="1:7" x14ac:dyDescent="0.75">
      <c r="B20" s="223">
        <f>A16</f>
        <v>38620</v>
      </c>
      <c r="C20" s="183"/>
      <c r="E20" s="183"/>
      <c r="F20" s="183"/>
    </row>
    <row r="21" spans="1:7" x14ac:dyDescent="0.75">
      <c r="B21" s="223">
        <f>A17</f>
        <v>38984</v>
      </c>
      <c r="C21" s="183"/>
      <c r="E21" s="183"/>
      <c r="F21" s="183"/>
    </row>
    <row r="23" spans="1:7" x14ac:dyDescent="0.75">
      <c r="E23" s="239" t="str">
        <f>E19</f>
        <v>ROA</v>
      </c>
      <c r="F23" s="239" t="s">
        <v>269</v>
      </c>
      <c r="G23" s="239" t="s">
        <v>268</v>
      </c>
    </row>
    <row r="24" spans="1:7" x14ac:dyDescent="0.75">
      <c r="C24" s="223">
        <f>B20</f>
        <v>38620</v>
      </c>
      <c r="E24" s="183"/>
      <c r="F24" s="183"/>
      <c r="G24" s="183"/>
    </row>
    <row r="25" spans="1:7" x14ac:dyDescent="0.75">
      <c r="C25" s="223">
        <f>B21</f>
        <v>38984</v>
      </c>
      <c r="E25" s="183"/>
      <c r="F25" s="183"/>
      <c r="G25" s="183"/>
    </row>
  </sheetData>
  <mergeCells count="8">
    <mergeCell ref="E1:F1"/>
    <mergeCell ref="G1:H1"/>
    <mergeCell ref="I1:J1"/>
    <mergeCell ref="K1:L1"/>
    <mergeCell ref="E2:F2"/>
    <mergeCell ref="G2:H2"/>
    <mergeCell ref="I2:J2"/>
    <mergeCell ref="K2:L2"/>
  </mergeCells>
  <phoneticPr fontId="28" type="noConversion"/>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2E36B-CF75-4893-B95D-F8F35ABA8DF7}">
  <sheetPr codeName="Sheet26">
    <tabColor rgb="FFFF0000"/>
  </sheetPr>
  <dimension ref="A1:L25"/>
  <sheetViews>
    <sheetView workbookViewId="0"/>
  </sheetViews>
  <sheetFormatPr defaultRowHeight="14.75" x14ac:dyDescent="0.75"/>
  <cols>
    <col min="1" max="1" width="22.86328125" bestFit="1" customWidth="1"/>
    <col min="2" max="2" width="13.2265625" bestFit="1" customWidth="1"/>
    <col min="3" max="3" width="14.453125" bestFit="1" customWidth="1"/>
    <col min="4" max="4" width="2.54296875" customWidth="1"/>
    <col min="5" max="5" width="14.7265625" customWidth="1"/>
    <col min="6" max="10" width="11.90625" customWidth="1"/>
    <col min="11" max="11" width="17" customWidth="1"/>
  </cols>
  <sheetData>
    <row r="1" spans="1:12" x14ac:dyDescent="0.75">
      <c r="E1" s="263" t="s">
        <v>522</v>
      </c>
      <c r="F1" s="264"/>
      <c r="G1" s="263" t="s">
        <v>1200</v>
      </c>
      <c r="H1" s="264"/>
      <c r="I1" s="263" t="s">
        <v>516</v>
      </c>
      <c r="J1" s="264"/>
      <c r="K1" s="263" t="s">
        <v>1220</v>
      </c>
      <c r="L1" s="264"/>
    </row>
    <row r="2" spans="1:12" x14ac:dyDescent="0.75">
      <c r="E2" s="263" t="s">
        <v>523</v>
      </c>
      <c r="F2" s="264"/>
      <c r="G2" s="263" t="s">
        <v>1201</v>
      </c>
      <c r="H2" s="264"/>
      <c r="I2" s="263" t="s">
        <v>1202</v>
      </c>
      <c r="J2" s="264"/>
      <c r="K2" s="263" t="s">
        <v>1221</v>
      </c>
      <c r="L2" s="264"/>
    </row>
    <row r="3" spans="1:12" x14ac:dyDescent="0.75">
      <c r="A3" s="2"/>
      <c r="B3" s="223">
        <f>'WFMI LiquidityR'!B21</f>
        <v>38984</v>
      </c>
      <c r="C3" s="223">
        <f>'WFMI LiquidityR'!C21</f>
        <v>38620</v>
      </c>
      <c r="E3" s="236">
        <v>2024</v>
      </c>
      <c r="F3" s="236">
        <v>2025</v>
      </c>
      <c r="G3" s="236">
        <v>2024</v>
      </c>
      <c r="H3" s="236">
        <v>2025</v>
      </c>
      <c r="I3" s="236">
        <v>2024</v>
      </c>
      <c r="J3" s="236">
        <v>2025</v>
      </c>
      <c r="K3" s="236">
        <v>2024</v>
      </c>
      <c r="L3" s="236">
        <v>2025</v>
      </c>
    </row>
    <row r="4" spans="1:12" x14ac:dyDescent="0.75">
      <c r="A4" s="239" t="str">
        <f>'WFMI LiquidityR'!A39</f>
        <v>Total Stockholder Equity</v>
      </c>
      <c r="B4" s="199">
        <f>'WFMI LeverageR'!B39</f>
        <v>1404143</v>
      </c>
      <c r="C4" s="199">
        <f>'WFMI LeverageR'!C39</f>
        <v>1365676</v>
      </c>
      <c r="E4" s="257" cm="1">
        <f t="array" ref="E4:F4">B8:C8/B7:C7</f>
        <v>3.6349979027623616E-2</v>
      </c>
      <c r="F4" s="257">
        <v>2.9002896865093806E-2</v>
      </c>
      <c r="G4" s="258" cm="1">
        <f t="array" ref="G4:H4">B7:C7/B6:C6</f>
        <v>2.7446828089727049</v>
      </c>
      <c r="H4" s="258">
        <v>2.488381386505873</v>
      </c>
      <c r="I4" s="258" cm="1">
        <f t="array" ref="I4:J4">B6:C6/B4:C4</f>
        <v>1.4549771640067999</v>
      </c>
      <c r="J4" s="258">
        <v>1.3834145141307308</v>
      </c>
      <c r="K4" s="257">
        <f>E4*G4*I4</f>
        <v>0.14516185317307426</v>
      </c>
      <c r="L4" s="257">
        <f>F4*H4*J4</f>
        <v>9.9841397227453638E-2</v>
      </c>
    </row>
    <row r="5" spans="1:12" x14ac:dyDescent="0.75">
      <c r="A5" s="239" t="str">
        <f>'WFMI LiquidityR'!A35</f>
        <v>Total Liabilities</v>
      </c>
      <c r="B5" s="199">
        <f>'WFMI LeverageR'!B35</f>
        <v>638853</v>
      </c>
      <c r="C5" s="199">
        <f>'WFMI LeverageR'!C35</f>
        <v>523620</v>
      </c>
      <c r="K5" s="257" cm="1">
        <f t="array" ref="K5:L5">B8:C8/B4:C4</f>
        <v>0.14516185317307426</v>
      </c>
      <c r="L5" s="257">
        <v>9.9841397227453652E-2</v>
      </c>
    </row>
    <row r="6" spans="1:12" x14ac:dyDescent="0.75">
      <c r="A6" s="239" t="str">
        <f>'WFMI LiquidityR'!A29</f>
        <v>Total Assets</v>
      </c>
      <c r="B6" s="199">
        <f>'WFMI LeverageR'!B29</f>
        <v>2042996</v>
      </c>
      <c r="C6" s="199">
        <f>'WFMI LeverageR'!C29</f>
        <v>1889296</v>
      </c>
      <c r="K6" s="259"/>
      <c r="L6" s="259"/>
    </row>
    <row r="7" spans="1:12" x14ac:dyDescent="0.75">
      <c r="A7" s="239" t="str">
        <f>'WFMI LiquidityR'!A4</f>
        <v>Net Sales</v>
      </c>
      <c r="B7" s="199">
        <f>'WFMI LeverageR'!B4</f>
        <v>5607376</v>
      </c>
      <c r="C7" s="199">
        <f>'WFMI LeverageR'!C4</f>
        <v>4701289</v>
      </c>
    </row>
    <row r="8" spans="1:12" x14ac:dyDescent="0.75">
      <c r="A8" s="239" t="str">
        <f>'WFMI LiquidityR'!A14</f>
        <v>Net Income</v>
      </c>
      <c r="B8" s="199">
        <f>'WFMI LeverageR'!B14</f>
        <v>203828</v>
      </c>
      <c r="C8" s="199">
        <f>'WFMI LeverageR'!C14</f>
        <v>136351</v>
      </c>
    </row>
    <row r="10" spans="1:12" x14ac:dyDescent="0.75">
      <c r="A10" s="2" t="str">
        <f>B14&amp;" = "&amp;B15</f>
        <v>Profit Margin = NI/Sales</v>
      </c>
      <c r="B10" s="216">
        <f>B8/B7</f>
        <v>3.6349979027623616E-2</v>
      </c>
      <c r="C10" s="216">
        <f>C8/C7</f>
        <v>2.9002896865093806E-2</v>
      </c>
    </row>
    <row r="11" spans="1:12" x14ac:dyDescent="0.75">
      <c r="A11" s="2" t="s">
        <v>1190</v>
      </c>
      <c r="B11" s="216">
        <f>B8/B6</f>
        <v>9.9769162543636894E-2</v>
      </c>
      <c r="C11" s="216">
        <f>C8/C6</f>
        <v>7.2170268713848962E-2</v>
      </c>
    </row>
    <row r="12" spans="1:12" x14ac:dyDescent="0.75">
      <c r="A12" s="2" t="s">
        <v>1191</v>
      </c>
      <c r="B12" s="216">
        <f>B8/B4</f>
        <v>0.14516185317307426</v>
      </c>
      <c r="C12" s="216">
        <f>C8/C4</f>
        <v>9.9841397227453652E-2</v>
      </c>
    </row>
    <row r="14" spans="1:12" x14ac:dyDescent="0.75">
      <c r="B14" s="239" t="s">
        <v>522</v>
      </c>
      <c r="C14" s="239" t="s">
        <v>1200</v>
      </c>
      <c r="E14" s="239" t="s">
        <v>516</v>
      </c>
    </row>
    <row r="15" spans="1:12" x14ac:dyDescent="0.75">
      <c r="B15" s="239" t="s">
        <v>523</v>
      </c>
      <c r="C15" s="239" t="s">
        <v>1201</v>
      </c>
      <c r="E15" s="239" t="s">
        <v>1202</v>
      </c>
      <c r="F15" s="239" t="s">
        <v>268</v>
      </c>
      <c r="G15" s="239" t="s">
        <v>528</v>
      </c>
    </row>
    <row r="16" spans="1:12" x14ac:dyDescent="0.75">
      <c r="A16" s="240">
        <f>C3</f>
        <v>38620</v>
      </c>
      <c r="B16" s="183">
        <f>C8/C7</f>
        <v>2.9002896865093806E-2</v>
      </c>
      <c r="C16" s="183">
        <f>C7/C6</f>
        <v>2.488381386505873</v>
      </c>
      <c r="E16" s="183">
        <f>C6/C4</f>
        <v>1.3834145141307308</v>
      </c>
      <c r="F16" s="183">
        <f>PRODUCT(B16:E16)</f>
        <v>9.9841397227453638E-2</v>
      </c>
      <c r="G16" s="183"/>
    </row>
    <row r="17" spans="1:7" x14ac:dyDescent="0.75">
      <c r="A17" s="240">
        <f>B3</f>
        <v>38984</v>
      </c>
      <c r="B17" s="183">
        <f>B8/B7</f>
        <v>3.6349979027623616E-2</v>
      </c>
      <c r="C17" s="183">
        <f>B7/B6</f>
        <v>2.7446828089727049</v>
      </c>
      <c r="E17" s="183">
        <f>B6/B4</f>
        <v>1.4549771640067999</v>
      </c>
      <c r="F17" s="183">
        <f>PRODUCT(B17:E17)</f>
        <v>0.14516185317307426</v>
      </c>
      <c r="G17" s="183"/>
    </row>
    <row r="19" spans="1:7" x14ac:dyDescent="0.75">
      <c r="C19" s="239" t="s">
        <v>267</v>
      </c>
      <c r="E19" s="239" t="s">
        <v>526</v>
      </c>
      <c r="F19" s="239" t="s">
        <v>268</v>
      </c>
    </row>
    <row r="20" spans="1:7" x14ac:dyDescent="0.75">
      <c r="B20" s="223">
        <f>A16</f>
        <v>38620</v>
      </c>
      <c r="C20" s="183">
        <f>B16*C16</f>
        <v>7.2170268713848962E-2</v>
      </c>
      <c r="E20" s="183"/>
      <c r="F20" s="183"/>
    </row>
    <row r="21" spans="1:7" x14ac:dyDescent="0.75">
      <c r="B21" s="223">
        <f>A17</f>
        <v>38984</v>
      </c>
      <c r="C21" s="183">
        <f>B17*C17</f>
        <v>9.9769162543636894E-2</v>
      </c>
      <c r="E21" s="183"/>
      <c r="F21" s="183"/>
    </row>
    <row r="23" spans="1:7" x14ac:dyDescent="0.75">
      <c r="E23" s="239" t="str">
        <f>E19</f>
        <v>ROA</v>
      </c>
      <c r="F23" s="239" t="s">
        <v>269</v>
      </c>
      <c r="G23" s="239" t="s">
        <v>268</v>
      </c>
    </row>
    <row r="24" spans="1:7" x14ac:dyDescent="0.75">
      <c r="C24" s="223">
        <f>B20</f>
        <v>38620</v>
      </c>
      <c r="E24" s="183">
        <f>C20</f>
        <v>7.2170268713848962E-2</v>
      </c>
      <c r="F24" s="183">
        <f>1+C5/C4</f>
        <v>1.3834145141307308</v>
      </c>
      <c r="G24" s="183">
        <f>E24*F24</f>
        <v>9.9841397227453638E-2</v>
      </c>
    </row>
    <row r="25" spans="1:7" x14ac:dyDescent="0.75">
      <c r="C25" s="223">
        <f>B21</f>
        <v>38984</v>
      </c>
      <c r="E25" s="183">
        <f>C21</f>
        <v>9.9769162543636894E-2</v>
      </c>
      <c r="F25" s="183">
        <f>1+B5/B4</f>
        <v>1.4549771640067999</v>
      </c>
      <c r="G25" s="183">
        <f>E25*F25</f>
        <v>0.14516185317307426</v>
      </c>
    </row>
  </sheetData>
  <mergeCells count="8">
    <mergeCell ref="K1:L1"/>
    <mergeCell ref="K2:L2"/>
    <mergeCell ref="E1:F1"/>
    <mergeCell ref="E2:F2"/>
    <mergeCell ref="G1:H1"/>
    <mergeCell ref="G2:H2"/>
    <mergeCell ref="I1:J1"/>
    <mergeCell ref="I2:J2"/>
  </mergeCells>
  <phoneticPr fontId="28"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48A09-4E66-49ED-9151-02D986FC9444}">
  <sheetPr codeName="Sheet1">
    <tabColor rgb="FF0000FF"/>
  </sheetPr>
  <dimension ref="A1:A6"/>
  <sheetViews>
    <sheetView tabSelected="1" zoomScale="115" zoomScaleNormal="115" workbookViewId="0">
      <selection activeCell="B13" sqref="B13"/>
    </sheetView>
  </sheetViews>
  <sheetFormatPr defaultRowHeight="14.75" x14ac:dyDescent="0.75"/>
  <cols>
    <col min="1" max="1" width="94.86328125" customWidth="1"/>
  </cols>
  <sheetData>
    <row r="1" spans="1:1" ht="21" x14ac:dyDescent="1">
      <c r="A1" s="116" t="s">
        <v>266</v>
      </c>
    </row>
    <row r="2" spans="1:1" ht="23.5" x14ac:dyDescent="1.1000000000000001">
      <c r="A2" s="198" t="s">
        <v>664</v>
      </c>
    </row>
    <row r="3" spans="1:1" ht="23.5" x14ac:dyDescent="1.1000000000000001">
      <c r="A3" s="198" t="s">
        <v>232</v>
      </c>
    </row>
    <row r="4" spans="1:1" ht="23.5" x14ac:dyDescent="1.1000000000000001">
      <c r="A4" s="198" t="s">
        <v>263</v>
      </c>
    </row>
    <row r="5" spans="1:1" ht="23.5" x14ac:dyDescent="1.1000000000000001">
      <c r="A5" s="198" t="s">
        <v>264</v>
      </c>
    </row>
    <row r="6" spans="1:1" x14ac:dyDescent="0.75">
      <c r="A6" s="180"/>
    </row>
  </sheetData>
  <phoneticPr fontId="28" type="noConversion"/>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0499A-632A-4791-B085-BDFEB88B10F1}">
  <sheetPr>
    <tabColor rgb="FF0000FF"/>
  </sheetPr>
  <dimension ref="A1:E25"/>
  <sheetViews>
    <sheetView zoomScale="85" zoomScaleNormal="85" workbookViewId="0"/>
  </sheetViews>
  <sheetFormatPr defaultRowHeight="14.75" x14ac:dyDescent="0.75"/>
  <cols>
    <col min="1" max="1" width="15.5" customWidth="1"/>
    <col min="2" max="2" width="13.2265625" bestFit="1" customWidth="1"/>
    <col min="3" max="3" width="14.453125" bestFit="1" customWidth="1"/>
    <col min="4" max="4" width="1.7265625" customWidth="1"/>
    <col min="5" max="5" width="0.76953125" customWidth="1"/>
    <col min="6" max="6" width="12" bestFit="1" customWidth="1"/>
  </cols>
  <sheetData>
    <row r="1" spans="1:5" ht="3.9" customHeight="1" x14ac:dyDescent="0.75"/>
    <row r="2" spans="1:5" x14ac:dyDescent="0.75">
      <c r="A2" s="2"/>
      <c r="B2" s="223">
        <f>'WFMI LiquidityR'!B21</f>
        <v>38984</v>
      </c>
      <c r="C2" s="223">
        <f>'WFMI LiquidityR'!C21</f>
        <v>38620</v>
      </c>
    </row>
    <row r="3" spans="1:5" ht="29.5" x14ac:dyDescent="0.75">
      <c r="A3" s="260" t="str">
        <f>'WFMI LiquidityR'!A39</f>
        <v>Total Stockholder Equity</v>
      </c>
      <c r="B3" s="199">
        <f>'WFMI LeverageR'!B39</f>
        <v>1404143</v>
      </c>
      <c r="C3" s="199">
        <f>'WFMI LeverageR'!C39</f>
        <v>1365676</v>
      </c>
    </row>
    <row r="4" spans="1:5" x14ac:dyDescent="0.75">
      <c r="A4" s="239" t="str">
        <f>'WFMI LiquidityR'!A35</f>
        <v>Total Liabilities</v>
      </c>
      <c r="B4" s="199">
        <f>'WFMI LeverageR'!B35</f>
        <v>638853</v>
      </c>
      <c r="C4" s="199">
        <f>'WFMI LeverageR'!C35</f>
        <v>523620</v>
      </c>
    </row>
    <row r="5" spans="1:5" x14ac:dyDescent="0.75">
      <c r="A5" s="239" t="str">
        <f>'WFMI LiquidityR'!A29</f>
        <v>Total Assets</v>
      </c>
      <c r="B5" s="199">
        <f>'WFMI LeverageR'!B29</f>
        <v>2042996</v>
      </c>
      <c r="C5" s="199">
        <f>'WFMI LeverageR'!C29</f>
        <v>1889296</v>
      </c>
    </row>
    <row r="6" spans="1:5" x14ac:dyDescent="0.75">
      <c r="A6" s="239" t="str">
        <f>'WFMI LiquidityR'!A4</f>
        <v>Net Sales</v>
      </c>
      <c r="B6" s="199">
        <f>'WFMI LeverageR'!B4</f>
        <v>5607376</v>
      </c>
      <c r="C6" s="199">
        <f>'WFMI LeverageR'!C4</f>
        <v>4701289</v>
      </c>
    </row>
    <row r="7" spans="1:5" x14ac:dyDescent="0.75">
      <c r="A7" s="239" t="str">
        <f>'WFMI LiquidityR'!A14</f>
        <v>Net Income</v>
      </c>
      <c r="B7" s="199">
        <f>'WFMI LeverageR'!B14</f>
        <v>203828</v>
      </c>
      <c r="C7" s="199">
        <f>'WFMI LeverageR'!C14</f>
        <v>136351</v>
      </c>
    </row>
    <row r="8" spans="1:5" ht="3.9" customHeight="1" x14ac:dyDescent="0.75"/>
    <row r="9" spans="1:5" x14ac:dyDescent="0.75">
      <c r="A9" s="261"/>
      <c r="B9" s="267" t="s">
        <v>522</v>
      </c>
      <c r="C9" s="267"/>
      <c r="D9" s="261"/>
      <c r="E9" s="261"/>
    </row>
    <row r="10" spans="1:5" x14ac:dyDescent="0.75">
      <c r="B10" s="265" t="s">
        <v>523</v>
      </c>
      <c r="C10" s="266"/>
    </row>
    <row r="11" spans="1:5" x14ac:dyDescent="0.75">
      <c r="B11" s="236">
        <v>2024</v>
      </c>
      <c r="C11" s="236">
        <v>2025</v>
      </c>
    </row>
    <row r="12" spans="1:5" x14ac:dyDescent="0.75">
      <c r="B12" s="257"/>
      <c r="C12" s="257"/>
    </row>
    <row r="13" spans="1:5" x14ac:dyDescent="0.75">
      <c r="A13" s="261"/>
      <c r="B13" s="267" t="s">
        <v>1200</v>
      </c>
      <c r="C13" s="267"/>
      <c r="D13" s="261"/>
      <c r="E13" s="261"/>
    </row>
    <row r="14" spans="1:5" x14ac:dyDescent="0.75">
      <c r="B14" s="265" t="s">
        <v>1201</v>
      </c>
      <c r="C14" s="266"/>
    </row>
    <row r="15" spans="1:5" x14ac:dyDescent="0.75">
      <c r="B15" s="236">
        <v>2024</v>
      </c>
      <c r="C15" s="236">
        <v>2025</v>
      </c>
    </row>
    <row r="16" spans="1:5" x14ac:dyDescent="0.75">
      <c r="B16" s="258"/>
      <c r="C16" s="258"/>
    </row>
    <row r="17" spans="1:5" x14ac:dyDescent="0.75">
      <c r="A17" s="261"/>
      <c r="B17" s="267" t="s">
        <v>516</v>
      </c>
      <c r="C17" s="267"/>
      <c r="D17" s="261"/>
      <c r="E17" s="261"/>
    </row>
    <row r="18" spans="1:5" x14ac:dyDescent="0.75">
      <c r="B18" s="265" t="s">
        <v>1202</v>
      </c>
      <c r="C18" s="266"/>
    </row>
    <row r="19" spans="1:5" x14ac:dyDescent="0.75">
      <c r="B19" s="236">
        <v>2024</v>
      </c>
      <c r="C19" s="236">
        <v>2025</v>
      </c>
    </row>
    <row r="20" spans="1:5" x14ac:dyDescent="0.75">
      <c r="B20" s="258"/>
      <c r="C20" s="258"/>
    </row>
    <row r="21" spans="1:5" x14ac:dyDescent="0.75">
      <c r="A21" s="261"/>
      <c r="B21" s="267" t="s">
        <v>1220</v>
      </c>
      <c r="C21" s="267"/>
      <c r="D21" s="261"/>
      <c r="E21" s="261"/>
    </row>
    <row r="22" spans="1:5" x14ac:dyDescent="0.75">
      <c r="B22" s="265" t="s">
        <v>1221</v>
      </c>
      <c r="C22" s="266"/>
    </row>
    <row r="23" spans="1:5" x14ac:dyDescent="0.75">
      <c r="B23" s="236">
        <v>2024</v>
      </c>
      <c r="C23" s="236">
        <v>2025</v>
      </c>
    </row>
    <row r="24" spans="1:5" x14ac:dyDescent="0.75">
      <c r="B24" s="257"/>
      <c r="C24" s="257"/>
    </row>
    <row r="25" spans="1:5" x14ac:dyDescent="0.75">
      <c r="B25" s="257"/>
      <c r="C25" s="257"/>
    </row>
  </sheetData>
  <mergeCells count="8">
    <mergeCell ref="B22:C22"/>
    <mergeCell ref="B9:C9"/>
    <mergeCell ref="B13:C13"/>
    <mergeCell ref="B17:C17"/>
    <mergeCell ref="B21:C21"/>
    <mergeCell ref="B10:C10"/>
    <mergeCell ref="B14:C14"/>
    <mergeCell ref="B18:C18"/>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BF4302-50FE-457E-91B0-60419A3978F7}">
  <sheetPr>
    <tabColor rgb="FFEE0000"/>
  </sheetPr>
  <dimension ref="A1:E25"/>
  <sheetViews>
    <sheetView zoomScale="85" zoomScaleNormal="85" workbookViewId="0"/>
  </sheetViews>
  <sheetFormatPr defaultRowHeight="14.75" x14ac:dyDescent="0.75"/>
  <cols>
    <col min="1" max="1" width="15.5" customWidth="1"/>
    <col min="2" max="2" width="13.2265625" bestFit="1" customWidth="1"/>
    <col min="3" max="3" width="14.453125" bestFit="1" customWidth="1"/>
    <col min="4" max="4" width="1.7265625" customWidth="1"/>
    <col min="5" max="5" width="0.76953125" customWidth="1"/>
    <col min="6" max="6" width="12" bestFit="1" customWidth="1"/>
  </cols>
  <sheetData>
    <row r="1" spans="1:5" ht="3.9" customHeight="1" x14ac:dyDescent="0.75"/>
    <row r="2" spans="1:5" x14ac:dyDescent="0.75">
      <c r="A2" s="2"/>
      <c r="B2" s="223">
        <f>'WFMI LiquidityR'!B21</f>
        <v>38984</v>
      </c>
      <c r="C2" s="223">
        <f>'WFMI LiquidityR'!C21</f>
        <v>38620</v>
      </c>
    </row>
    <row r="3" spans="1:5" ht="29.5" x14ac:dyDescent="0.75">
      <c r="A3" s="260" t="str">
        <f>'WFMI LiquidityR'!A39</f>
        <v>Total Stockholder Equity</v>
      </c>
      <c r="B3" s="199">
        <f>'WFMI LeverageR'!B39</f>
        <v>1404143</v>
      </c>
      <c r="C3" s="199">
        <f>'WFMI LeverageR'!C39</f>
        <v>1365676</v>
      </c>
    </row>
    <row r="4" spans="1:5" x14ac:dyDescent="0.75">
      <c r="A4" s="239" t="str">
        <f>'WFMI LiquidityR'!A35</f>
        <v>Total Liabilities</v>
      </c>
      <c r="B4" s="199">
        <f>'WFMI LeverageR'!B35</f>
        <v>638853</v>
      </c>
      <c r="C4" s="199">
        <f>'WFMI LeverageR'!C35</f>
        <v>523620</v>
      </c>
    </row>
    <row r="5" spans="1:5" x14ac:dyDescent="0.75">
      <c r="A5" s="239" t="str">
        <f>'WFMI LiquidityR'!A29</f>
        <v>Total Assets</v>
      </c>
      <c r="B5" s="199">
        <f>'WFMI LeverageR'!B29</f>
        <v>2042996</v>
      </c>
      <c r="C5" s="199">
        <f>'WFMI LeverageR'!C29</f>
        <v>1889296</v>
      </c>
    </row>
    <row r="6" spans="1:5" x14ac:dyDescent="0.75">
      <c r="A6" s="239" t="str">
        <f>'WFMI LiquidityR'!A4</f>
        <v>Net Sales</v>
      </c>
      <c r="B6" s="199">
        <f>'WFMI LeverageR'!B4</f>
        <v>5607376</v>
      </c>
      <c r="C6" s="199">
        <f>'WFMI LeverageR'!C4</f>
        <v>4701289</v>
      </c>
    </row>
    <row r="7" spans="1:5" x14ac:dyDescent="0.75">
      <c r="A7" s="239" t="str">
        <f>'WFMI LiquidityR'!A14</f>
        <v>Net Income</v>
      </c>
      <c r="B7" s="199">
        <f>'WFMI LeverageR'!B14</f>
        <v>203828</v>
      </c>
      <c r="C7" s="199">
        <f>'WFMI LeverageR'!C14</f>
        <v>136351</v>
      </c>
    </row>
    <row r="8" spans="1:5" ht="3.9" customHeight="1" x14ac:dyDescent="0.75"/>
    <row r="9" spans="1:5" x14ac:dyDescent="0.75">
      <c r="A9" s="261"/>
      <c r="B9" s="267" t="s">
        <v>522</v>
      </c>
      <c r="C9" s="267"/>
      <c r="D9" s="261"/>
      <c r="E9" s="261"/>
    </row>
    <row r="10" spans="1:5" x14ac:dyDescent="0.75">
      <c r="B10" s="265" t="s">
        <v>523</v>
      </c>
      <c r="C10" s="266"/>
    </row>
    <row r="11" spans="1:5" x14ac:dyDescent="0.75">
      <c r="B11" s="236">
        <v>2024</v>
      </c>
      <c r="C11" s="236">
        <v>2025</v>
      </c>
    </row>
    <row r="12" spans="1:5" x14ac:dyDescent="0.75">
      <c r="B12" s="257" cm="1">
        <f t="array" ref="B12:C12">B7:C7/B6:C6</f>
        <v>3.6349979027623616E-2</v>
      </c>
      <c r="C12" s="257">
        <v>2.9002896865093806E-2</v>
      </c>
    </row>
    <row r="13" spans="1:5" x14ac:dyDescent="0.75">
      <c r="A13" s="261"/>
      <c r="B13" s="267" t="s">
        <v>1200</v>
      </c>
      <c r="C13" s="267"/>
      <c r="D13" s="261"/>
      <c r="E13" s="261"/>
    </row>
    <row r="14" spans="1:5" x14ac:dyDescent="0.75">
      <c r="B14" s="265" t="s">
        <v>1201</v>
      </c>
      <c r="C14" s="266"/>
    </row>
    <row r="15" spans="1:5" x14ac:dyDescent="0.75">
      <c r="B15" s="236">
        <v>2024</v>
      </c>
      <c r="C15" s="236">
        <v>2025</v>
      </c>
    </row>
    <row r="16" spans="1:5" x14ac:dyDescent="0.75">
      <c r="B16" s="258" cm="1">
        <f t="array" ref="B16:C16">B6:C6/B5:C5</f>
        <v>2.7446828089727049</v>
      </c>
      <c r="C16" s="258">
        <v>2.488381386505873</v>
      </c>
    </row>
    <row r="17" spans="1:5" x14ac:dyDescent="0.75">
      <c r="A17" s="261"/>
      <c r="B17" s="267" t="s">
        <v>516</v>
      </c>
      <c r="C17" s="267"/>
      <c r="D17" s="261"/>
      <c r="E17" s="261"/>
    </row>
    <row r="18" spans="1:5" x14ac:dyDescent="0.75">
      <c r="B18" s="265" t="s">
        <v>1202</v>
      </c>
      <c r="C18" s="266"/>
    </row>
    <row r="19" spans="1:5" x14ac:dyDescent="0.75">
      <c r="B19" s="236">
        <v>2024</v>
      </c>
      <c r="C19" s="236">
        <v>2025</v>
      </c>
    </row>
    <row r="20" spans="1:5" x14ac:dyDescent="0.75">
      <c r="B20" s="258" cm="1">
        <f t="array" ref="B20:C20">B5:C5/B3:C3</f>
        <v>1.4549771640067999</v>
      </c>
      <c r="C20" s="258">
        <v>1.3834145141307308</v>
      </c>
    </row>
    <row r="21" spans="1:5" x14ac:dyDescent="0.75">
      <c r="A21" s="261"/>
      <c r="B21" s="267" t="s">
        <v>1220</v>
      </c>
      <c r="C21" s="267"/>
      <c r="D21" s="261"/>
      <c r="E21" s="261"/>
    </row>
    <row r="22" spans="1:5" x14ac:dyDescent="0.75">
      <c r="B22" s="265" t="s">
        <v>1221</v>
      </c>
      <c r="C22" s="266"/>
    </row>
    <row r="23" spans="1:5" x14ac:dyDescent="0.75">
      <c r="B23" s="236">
        <v>2024</v>
      </c>
      <c r="C23" s="236">
        <v>2025</v>
      </c>
    </row>
    <row r="24" spans="1:5" x14ac:dyDescent="0.75">
      <c r="B24" s="257" cm="1">
        <f t="array" ref="B24:C24">B7:C7/B3:C3</f>
        <v>0.14516185317307426</v>
      </c>
      <c r="C24" s="257">
        <v>9.9841397227453652E-2</v>
      </c>
    </row>
    <row r="25" spans="1:5" x14ac:dyDescent="0.75">
      <c r="B25" s="257" cm="1">
        <f t="array" ref="B25:C25">_xlfn.ANCHORARRAY(B12)*_xlfn.ANCHORARRAY(B16)*_xlfn.ANCHORARRAY(B20)</f>
        <v>0.14516185317307426</v>
      </c>
      <c r="C25" s="257">
        <v>9.9841397227453638E-2</v>
      </c>
    </row>
  </sheetData>
  <mergeCells count="8">
    <mergeCell ref="B21:C21"/>
    <mergeCell ref="B22:C22"/>
    <mergeCell ref="B9:C9"/>
    <mergeCell ref="B10:C10"/>
    <mergeCell ref="B13:C13"/>
    <mergeCell ref="B14:C14"/>
    <mergeCell ref="B17:C17"/>
    <mergeCell ref="B18:C18"/>
  </mergeCell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FCC05-0B15-4A9A-9163-237A593C28CA}">
  <sheetPr codeName="Sheet12">
    <tabColor rgb="FF0000FF"/>
  </sheetPr>
  <dimension ref="A1:J41"/>
  <sheetViews>
    <sheetView zoomScale="85" zoomScaleNormal="85" workbookViewId="0"/>
  </sheetViews>
  <sheetFormatPr defaultRowHeight="14.75" x14ac:dyDescent="0.75"/>
  <cols>
    <col min="1" max="1" width="41" bestFit="1" customWidth="1"/>
    <col min="2" max="3" width="26.2265625" bestFit="1" customWidth="1"/>
    <col min="4" max="4" width="2.08984375" bestFit="1" customWidth="1"/>
    <col min="5" max="5" width="37.76953125" bestFit="1" customWidth="1"/>
    <col min="6" max="6" width="36.08984375" bestFit="1" customWidth="1"/>
    <col min="7" max="7" width="12.76953125" bestFit="1" customWidth="1"/>
    <col min="8" max="8" width="12" bestFit="1" customWidth="1"/>
    <col min="9" max="9" width="3" customWidth="1"/>
  </cols>
  <sheetData>
    <row r="1" spans="1:10" x14ac:dyDescent="0.75">
      <c r="A1" s="11" t="s">
        <v>919</v>
      </c>
      <c r="B1" s="11"/>
      <c r="C1" s="11"/>
      <c r="E1" s="2" t="s">
        <v>1197</v>
      </c>
      <c r="F1" s="83">
        <f>B14</f>
        <v>203828</v>
      </c>
    </row>
    <row r="2" spans="1:10" x14ac:dyDescent="0.75">
      <c r="A2" s="11" t="s">
        <v>543</v>
      </c>
      <c r="B2" s="11"/>
      <c r="C2" s="11"/>
      <c r="E2" s="2" t="s">
        <v>1198</v>
      </c>
      <c r="F2" s="3">
        <f>B16</f>
        <v>358075</v>
      </c>
    </row>
    <row r="3" spans="1:10" x14ac:dyDescent="0.75">
      <c r="A3" s="10" t="s">
        <v>850</v>
      </c>
      <c r="B3" s="16">
        <v>38984</v>
      </c>
      <c r="C3" s="16">
        <v>38620</v>
      </c>
      <c r="E3" s="2" t="s">
        <v>1199</v>
      </c>
      <c r="F3" s="3">
        <f>B39</f>
        <v>1404143</v>
      </c>
    </row>
    <row r="4" spans="1:10" x14ac:dyDescent="0.75">
      <c r="A4" s="12" t="s">
        <v>545</v>
      </c>
      <c r="B4" s="4">
        <v>5607376</v>
      </c>
      <c r="C4" s="4">
        <v>4701289</v>
      </c>
    </row>
    <row r="5" spans="1:10" ht="15.5" thickBot="1" x14ac:dyDescent="0.9">
      <c r="A5" s="13" t="s">
        <v>546</v>
      </c>
      <c r="B5" s="4">
        <v>3647734</v>
      </c>
      <c r="C5" s="4">
        <v>3052184</v>
      </c>
      <c r="G5" s="224">
        <v>2006</v>
      </c>
      <c r="H5" s="224">
        <v>2005</v>
      </c>
    </row>
    <row r="6" spans="1:10" x14ac:dyDescent="0.75">
      <c r="A6" s="12" t="s">
        <v>851</v>
      </c>
      <c r="B6" s="83">
        <v>1484410</v>
      </c>
      <c r="C6" s="83">
        <v>1285613</v>
      </c>
      <c r="E6" s="2" t="s">
        <v>526</v>
      </c>
      <c r="F6" s="79" t="s">
        <v>537</v>
      </c>
      <c r="G6" s="2"/>
      <c r="H6" s="241">
        <f>C14/C29</f>
        <v>7.2170268713848962E-2</v>
      </c>
    </row>
    <row r="7" spans="1:10" ht="15.5" thickBot="1" x14ac:dyDescent="0.9">
      <c r="A7" s="12" t="s">
        <v>547</v>
      </c>
      <c r="B7" s="86">
        <v>156223</v>
      </c>
      <c r="C7" s="86">
        <v>133759</v>
      </c>
      <c r="D7" s="25" t="s">
        <v>922</v>
      </c>
      <c r="E7" s="2" t="s">
        <v>528</v>
      </c>
      <c r="F7" s="79" t="s">
        <v>538</v>
      </c>
      <c r="G7" s="2"/>
      <c r="H7" s="242">
        <f>C14/C39</f>
        <v>9.9841397227453652E-2</v>
      </c>
    </row>
    <row r="8" spans="1:10" x14ac:dyDescent="0.75">
      <c r="A8" s="14" t="s">
        <v>852</v>
      </c>
      <c r="B8" s="87">
        <f>B4-SUM(B5:B7)</f>
        <v>319009</v>
      </c>
      <c r="C8" s="87">
        <f>C4-SUM(C5:C7)</f>
        <v>229733</v>
      </c>
      <c r="E8" s="2" t="s">
        <v>270</v>
      </c>
      <c r="F8" s="79" t="s">
        <v>539</v>
      </c>
      <c r="G8" s="2"/>
      <c r="H8" s="76">
        <f>C17/C14</f>
        <v>0.59895416975306381</v>
      </c>
    </row>
    <row r="9" spans="1:10" ht="15.5" thickBot="1" x14ac:dyDescent="0.9">
      <c r="A9" s="13" t="s">
        <v>853</v>
      </c>
      <c r="B9" s="5">
        <v>20736</v>
      </c>
      <c r="C9" s="5">
        <v>9623</v>
      </c>
      <c r="E9" s="2" t="s">
        <v>530</v>
      </c>
      <c r="F9" s="79" t="s">
        <v>540</v>
      </c>
      <c r="G9" s="2"/>
      <c r="H9" s="204"/>
      <c r="J9" t="s">
        <v>1195</v>
      </c>
    </row>
    <row r="10" spans="1:10" x14ac:dyDescent="0.75">
      <c r="A10" s="14" t="s">
        <v>854</v>
      </c>
      <c r="B10" s="9">
        <f>SUM(B8:B9)</f>
        <v>339745</v>
      </c>
      <c r="C10" s="9">
        <f>SUM(C8:C9)</f>
        <v>239356</v>
      </c>
      <c r="E10" s="2" t="s">
        <v>531</v>
      </c>
      <c r="F10" s="79" t="s">
        <v>541</v>
      </c>
      <c r="G10" s="2"/>
      <c r="H10" s="205"/>
      <c r="J10" t="s">
        <v>1196</v>
      </c>
    </row>
    <row r="11" spans="1:10" ht="15.5" thickBot="1" x14ac:dyDescent="0.9">
      <c r="A11" s="13" t="s">
        <v>855</v>
      </c>
      <c r="B11" s="5">
        <v>32</v>
      </c>
      <c r="C11" s="5">
        <v>2223</v>
      </c>
      <c r="F11" s="1"/>
    </row>
    <row r="12" spans="1:10" x14ac:dyDescent="0.75">
      <c r="A12" s="14" t="s">
        <v>856</v>
      </c>
      <c r="B12" s="6">
        <v>339713</v>
      </c>
      <c r="C12" s="6">
        <v>237133</v>
      </c>
      <c r="E12" s="2" t="s">
        <v>1192</v>
      </c>
      <c r="F12" s="80">
        <v>139607</v>
      </c>
      <c r="G12" s="3"/>
      <c r="H12" s="2"/>
    </row>
    <row r="13" spans="1:10" ht="15.5" thickBot="1" x14ac:dyDescent="0.9">
      <c r="A13" s="13" t="s">
        <v>857</v>
      </c>
      <c r="B13" s="5">
        <v>135885</v>
      </c>
      <c r="C13" s="5">
        <v>100782</v>
      </c>
      <c r="E13" s="2" t="s">
        <v>1193</v>
      </c>
      <c r="F13" s="82">
        <v>59.29</v>
      </c>
      <c r="G13" s="20"/>
      <c r="H13" s="2"/>
    </row>
    <row r="14" spans="1:10" ht="15.5" thickBot="1" x14ac:dyDescent="0.9">
      <c r="A14" s="15" t="s">
        <v>858</v>
      </c>
      <c r="B14" s="7">
        <v>203828</v>
      </c>
      <c r="C14" s="7">
        <v>136351</v>
      </c>
      <c r="E14" s="2" t="s">
        <v>532</v>
      </c>
      <c r="F14" s="81" t="s">
        <v>1194</v>
      </c>
      <c r="G14" s="202"/>
      <c r="H14" s="78"/>
    </row>
    <row r="15" spans="1:10" ht="15.5" thickTop="1" x14ac:dyDescent="0.75">
      <c r="E15" s="2" t="s">
        <v>271</v>
      </c>
      <c r="F15" s="79" t="s">
        <v>534</v>
      </c>
      <c r="G15" s="183"/>
      <c r="H15" s="78"/>
    </row>
    <row r="16" spans="1:10" x14ac:dyDescent="0.75">
      <c r="A16" s="12" t="s">
        <v>495</v>
      </c>
      <c r="B16" s="3">
        <v>358075</v>
      </c>
      <c r="C16" s="200">
        <v>54683</v>
      </c>
      <c r="E16" s="79" t="s">
        <v>535</v>
      </c>
      <c r="F16" t="s">
        <v>622</v>
      </c>
      <c r="G16" s="183"/>
      <c r="H16" s="78"/>
    </row>
    <row r="17" spans="1:8" x14ac:dyDescent="0.75">
      <c r="A17" s="12" t="s">
        <v>13</v>
      </c>
      <c r="B17" s="83">
        <f>B14-B16</f>
        <v>-154247</v>
      </c>
      <c r="C17" s="83">
        <f>C14-C16</f>
        <v>81668</v>
      </c>
      <c r="E17" s="2" t="s">
        <v>542</v>
      </c>
      <c r="F17" s="79" t="s">
        <v>536</v>
      </c>
      <c r="G17" s="183"/>
      <c r="H17" s="2"/>
    </row>
    <row r="19" spans="1:8" x14ac:dyDescent="0.75">
      <c r="A19" s="11" t="s">
        <v>919</v>
      </c>
      <c r="B19" s="11"/>
      <c r="C19" s="11"/>
    </row>
    <row r="20" spans="1:8" x14ac:dyDescent="0.75">
      <c r="A20" s="11" t="s">
        <v>551</v>
      </c>
      <c r="B20" s="11"/>
      <c r="C20" s="11"/>
    </row>
    <row r="21" spans="1:8" x14ac:dyDescent="0.75">
      <c r="A21" s="12" t="s">
        <v>850</v>
      </c>
      <c r="B21" s="19">
        <v>38984</v>
      </c>
      <c r="C21" s="19">
        <v>38620</v>
      </c>
    </row>
    <row r="22" spans="1:8" x14ac:dyDescent="0.75">
      <c r="A22" s="72" t="s">
        <v>859</v>
      </c>
      <c r="B22" s="2"/>
      <c r="C22" s="2"/>
    </row>
    <row r="23" spans="1:8" x14ac:dyDescent="0.75">
      <c r="A23" s="175" t="s">
        <v>573</v>
      </c>
      <c r="B23" s="3">
        <v>256164</v>
      </c>
      <c r="C23" s="3">
        <v>345446</v>
      </c>
    </row>
    <row r="24" spans="1:8" x14ac:dyDescent="0.75">
      <c r="A24" s="175" t="s">
        <v>282</v>
      </c>
      <c r="B24" s="3">
        <v>82137</v>
      </c>
      <c r="C24" s="3">
        <v>66682</v>
      </c>
    </row>
    <row r="25" spans="1:8" x14ac:dyDescent="0.75">
      <c r="A25" s="175" t="s">
        <v>577</v>
      </c>
      <c r="B25" s="3">
        <v>203727</v>
      </c>
      <c r="C25" s="3">
        <v>174848</v>
      </c>
    </row>
    <row r="26" spans="1:8" ht="15.5" thickBot="1" x14ac:dyDescent="0.9">
      <c r="A26" s="175" t="s">
        <v>214</v>
      </c>
      <c r="B26" s="3">
        <v>81953</v>
      </c>
      <c r="C26" s="3">
        <v>85553</v>
      </c>
    </row>
    <row r="27" spans="1:8" x14ac:dyDescent="0.75">
      <c r="A27" s="52" t="s">
        <v>224</v>
      </c>
      <c r="B27" s="3">
        <f>SUM(B23:B26)</f>
        <v>623981</v>
      </c>
      <c r="C27" s="3">
        <f>SUM(C23:C26)</f>
        <v>672529</v>
      </c>
    </row>
    <row r="28" spans="1:8" ht="15.5" thickBot="1" x14ac:dyDescent="0.9">
      <c r="A28" s="70" t="s">
        <v>544</v>
      </c>
      <c r="B28" s="84">
        <v>1419015</v>
      </c>
      <c r="C28" s="84">
        <v>1216767</v>
      </c>
    </row>
    <row r="29" spans="1:8" ht="15.5" thickBot="1" x14ac:dyDescent="0.9">
      <c r="A29" s="68" t="s">
        <v>861</v>
      </c>
      <c r="B29" s="69">
        <f>SUM(B27:B28)</f>
        <v>2042996</v>
      </c>
      <c r="C29" s="69">
        <f>SUM(C27:C28)</f>
        <v>1889296</v>
      </c>
    </row>
    <row r="30" spans="1:8" ht="15.5" thickTop="1" x14ac:dyDescent="0.75">
      <c r="A30" s="72" t="s">
        <v>862</v>
      </c>
      <c r="B30" s="95"/>
      <c r="C30" s="95"/>
    </row>
    <row r="31" spans="1:8" x14ac:dyDescent="0.75">
      <c r="A31" s="177" t="s">
        <v>226</v>
      </c>
      <c r="B31" s="176">
        <v>121857</v>
      </c>
      <c r="C31" s="176">
        <v>103348</v>
      </c>
    </row>
    <row r="32" spans="1:8" x14ac:dyDescent="0.75">
      <c r="A32" s="177" t="s">
        <v>214</v>
      </c>
      <c r="B32" s="176">
        <v>387913</v>
      </c>
      <c r="C32" s="176">
        <v>315035</v>
      </c>
    </row>
    <row r="33" spans="1:3" x14ac:dyDescent="0.75">
      <c r="A33" s="70" t="s">
        <v>225</v>
      </c>
      <c r="B33" s="3">
        <f>SUM(B31:B32)</f>
        <v>509770</v>
      </c>
      <c r="C33" s="3">
        <f>SUM(C31:C32)</f>
        <v>418383</v>
      </c>
    </row>
    <row r="34" spans="1:3" ht="15.5" thickBot="1" x14ac:dyDescent="0.9">
      <c r="A34" s="70" t="s">
        <v>864</v>
      </c>
      <c r="B34" s="84">
        <v>129083</v>
      </c>
      <c r="C34" s="84">
        <v>105237</v>
      </c>
    </row>
    <row r="35" spans="1:3" ht="15.5" thickBot="1" x14ac:dyDescent="0.9">
      <c r="A35" s="15" t="s">
        <v>865</v>
      </c>
      <c r="B35" s="53">
        <f>SUM(B33:B34)</f>
        <v>638853</v>
      </c>
      <c r="C35" s="53">
        <f>SUM(C33:C34)</f>
        <v>523620</v>
      </c>
    </row>
    <row r="36" spans="1:3" ht="15.5" thickTop="1" x14ac:dyDescent="0.75">
      <c r="A36" s="74" t="s">
        <v>866</v>
      </c>
      <c r="B36" s="75"/>
      <c r="C36" s="75"/>
    </row>
    <row r="37" spans="1:3" x14ac:dyDescent="0.75">
      <c r="A37" s="85" t="s">
        <v>548</v>
      </c>
      <c r="B37" s="3">
        <v>1054883</v>
      </c>
      <c r="C37" s="3">
        <v>879377</v>
      </c>
    </row>
    <row r="38" spans="1:3" ht="15.5" thickBot="1" x14ac:dyDescent="0.9">
      <c r="A38" s="70" t="s">
        <v>867</v>
      </c>
      <c r="B38" s="3">
        <v>349260</v>
      </c>
      <c r="C38" s="3">
        <v>486299</v>
      </c>
    </row>
    <row r="39" spans="1:3" ht="15.5" thickBot="1" x14ac:dyDescent="0.9">
      <c r="A39" s="73" t="s">
        <v>868</v>
      </c>
      <c r="B39" s="71">
        <f>SUM(B37:B38)</f>
        <v>1404143</v>
      </c>
      <c r="C39" s="71">
        <f>SUM(C37:C38)</f>
        <v>1365676</v>
      </c>
    </row>
    <row r="40" spans="1:3" ht="15.5" thickBot="1" x14ac:dyDescent="0.9">
      <c r="A40" s="15" t="str">
        <f>A39&amp;" and "&amp;A35</f>
        <v>Total Stockholder Equity and Total Liabilities</v>
      </c>
      <c r="B40" s="67">
        <f>SUM(B39,B35)</f>
        <v>2042996</v>
      </c>
      <c r="C40" s="67">
        <f>SUM(C39,C35)</f>
        <v>1889296</v>
      </c>
    </row>
    <row r="41" spans="1:3" ht="15.5" thickTop="1" x14ac:dyDescent="0.75">
      <c r="B41" t="b">
        <f>B40=B29</f>
        <v>1</v>
      </c>
      <c r="C41" t="b">
        <f>C40=C29</f>
        <v>1</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3C4214-A477-4EAA-BE4F-00F472F4EEC9}">
  <sheetPr codeName="Sheet13">
    <tabColor rgb="FFFF0000"/>
  </sheetPr>
  <dimension ref="A1:J41"/>
  <sheetViews>
    <sheetView zoomScale="85" zoomScaleNormal="85" workbookViewId="0">
      <selection activeCell="H19" sqref="H19"/>
    </sheetView>
  </sheetViews>
  <sheetFormatPr defaultRowHeight="14.75" x14ac:dyDescent="0.75"/>
  <cols>
    <col min="1" max="1" width="41" bestFit="1" customWidth="1"/>
    <col min="2" max="3" width="26.2265625" bestFit="1" customWidth="1"/>
    <col min="4" max="4" width="2.08984375" bestFit="1" customWidth="1"/>
    <col min="5" max="5" width="37.76953125" bestFit="1" customWidth="1"/>
    <col min="6" max="6" width="36.08984375" bestFit="1" customWidth="1"/>
    <col min="7" max="7" width="12.76953125" bestFit="1" customWidth="1"/>
    <col min="8" max="8" width="12" bestFit="1" customWidth="1"/>
    <col min="9" max="9" width="3" customWidth="1"/>
  </cols>
  <sheetData>
    <row r="1" spans="1:10" x14ac:dyDescent="0.75">
      <c r="A1" s="11" t="s">
        <v>919</v>
      </c>
      <c r="B1" s="11"/>
      <c r="C1" s="11"/>
      <c r="E1" s="2" t="s">
        <v>1197</v>
      </c>
      <c r="F1" s="83">
        <f>B14</f>
        <v>203828</v>
      </c>
    </row>
    <row r="2" spans="1:10" x14ac:dyDescent="0.75">
      <c r="A2" s="11" t="s">
        <v>543</v>
      </c>
      <c r="B2" s="11"/>
      <c r="C2" s="11"/>
      <c r="E2" s="2" t="s">
        <v>1198</v>
      </c>
      <c r="F2" s="3">
        <f>B16</f>
        <v>358075</v>
      </c>
    </row>
    <row r="3" spans="1:10" x14ac:dyDescent="0.75">
      <c r="A3" s="10" t="s">
        <v>850</v>
      </c>
      <c r="B3" s="16">
        <v>38984</v>
      </c>
      <c r="C3" s="16">
        <v>38620</v>
      </c>
      <c r="E3" s="2" t="s">
        <v>1199</v>
      </c>
      <c r="F3" s="3">
        <f>B39</f>
        <v>1404143</v>
      </c>
    </row>
    <row r="4" spans="1:10" x14ac:dyDescent="0.75">
      <c r="A4" s="12" t="s">
        <v>545</v>
      </c>
      <c r="B4" s="4">
        <v>5607376</v>
      </c>
      <c r="C4" s="4">
        <v>4701289</v>
      </c>
    </row>
    <row r="5" spans="1:10" ht="15.5" thickBot="1" x14ac:dyDescent="0.9">
      <c r="A5" s="13" t="s">
        <v>546</v>
      </c>
      <c r="B5" s="4">
        <v>3647734</v>
      </c>
      <c r="C5" s="4">
        <v>3052184</v>
      </c>
      <c r="G5" s="224">
        <v>2006</v>
      </c>
      <c r="H5" s="224">
        <v>2005</v>
      </c>
    </row>
    <row r="6" spans="1:10" x14ac:dyDescent="0.75">
      <c r="A6" s="12" t="s">
        <v>851</v>
      </c>
      <c r="B6" s="83">
        <v>1484410</v>
      </c>
      <c r="C6" s="83">
        <v>1285613</v>
      </c>
      <c r="E6" s="2" t="s">
        <v>526</v>
      </c>
      <c r="F6" s="79" t="s">
        <v>537</v>
      </c>
      <c r="G6" s="2"/>
      <c r="H6" s="241">
        <f>C14/C29</f>
        <v>7.2170268713848962E-2</v>
      </c>
    </row>
    <row r="7" spans="1:10" ht="15.5" thickBot="1" x14ac:dyDescent="0.9">
      <c r="A7" s="12" t="s">
        <v>547</v>
      </c>
      <c r="B7" s="86">
        <v>156223</v>
      </c>
      <c r="C7" s="86">
        <v>133759</v>
      </c>
      <c r="D7" s="25" t="s">
        <v>922</v>
      </c>
      <c r="E7" s="2" t="s">
        <v>528</v>
      </c>
      <c r="F7" s="79" t="s">
        <v>538</v>
      </c>
      <c r="G7" s="2"/>
      <c r="H7" s="242">
        <f>C14/C39</f>
        <v>9.9841397227453652E-2</v>
      </c>
    </row>
    <row r="8" spans="1:10" x14ac:dyDescent="0.75">
      <c r="A8" s="14" t="s">
        <v>852</v>
      </c>
      <c r="B8" s="87">
        <f>B4-SUM(B5:B7)</f>
        <v>319009</v>
      </c>
      <c r="C8" s="87">
        <f>C4-SUM(C5:C7)</f>
        <v>229733</v>
      </c>
      <c r="E8" s="2" t="s">
        <v>270</v>
      </c>
      <c r="F8" s="79" t="s">
        <v>539</v>
      </c>
      <c r="G8" s="2"/>
      <c r="H8" s="76">
        <f>C17/C14</f>
        <v>0.59895416975306381</v>
      </c>
    </row>
    <row r="9" spans="1:10" ht="15.5" thickBot="1" x14ac:dyDescent="0.9">
      <c r="A9" s="13" t="s">
        <v>853</v>
      </c>
      <c r="B9" s="5">
        <v>20736</v>
      </c>
      <c r="C9" s="5">
        <v>9623</v>
      </c>
      <c r="E9" s="2" t="s">
        <v>530</v>
      </c>
      <c r="F9" s="79" t="s">
        <v>540</v>
      </c>
      <c r="G9" s="2"/>
      <c r="H9" s="204">
        <f>(H6*H8)/(1-H8*H6)</f>
        <v>4.517964979520122E-2</v>
      </c>
      <c r="J9" t="s">
        <v>1195</v>
      </c>
    </row>
    <row r="10" spans="1:10" x14ac:dyDescent="0.75">
      <c r="A10" s="14" t="s">
        <v>854</v>
      </c>
      <c r="B10" s="9">
        <f>SUM(B8:B9)</f>
        <v>339745</v>
      </c>
      <c r="C10" s="9">
        <f>SUM(C8:C9)</f>
        <v>239356</v>
      </c>
      <c r="E10" s="2" t="s">
        <v>531</v>
      </c>
      <c r="F10" s="79" t="s">
        <v>541</v>
      </c>
      <c r="G10" s="2"/>
      <c r="H10" s="205">
        <f>(H7*H8)/(1-H7*H8)</f>
        <v>6.3603965084329694E-2</v>
      </c>
      <c r="J10" t="s">
        <v>1196</v>
      </c>
    </row>
    <row r="11" spans="1:10" ht="15.5" thickBot="1" x14ac:dyDescent="0.9">
      <c r="A11" s="13" t="s">
        <v>855</v>
      </c>
      <c r="B11" s="5">
        <v>32</v>
      </c>
      <c r="C11" s="5">
        <v>2223</v>
      </c>
      <c r="F11" s="1"/>
    </row>
    <row r="12" spans="1:10" x14ac:dyDescent="0.75">
      <c r="A12" s="14" t="s">
        <v>856</v>
      </c>
      <c r="B12" s="6">
        <v>339713</v>
      </c>
      <c r="C12" s="6">
        <v>237133</v>
      </c>
      <c r="E12" s="2" t="s">
        <v>1192</v>
      </c>
      <c r="F12" s="80">
        <v>139607</v>
      </c>
      <c r="G12" s="3"/>
      <c r="H12" s="2"/>
    </row>
    <row r="13" spans="1:10" ht="15.5" thickBot="1" x14ac:dyDescent="0.9">
      <c r="A13" s="13" t="s">
        <v>857</v>
      </c>
      <c r="B13" s="5">
        <v>135885</v>
      </c>
      <c r="C13" s="5">
        <v>100782</v>
      </c>
      <c r="E13" s="2" t="s">
        <v>1193</v>
      </c>
      <c r="F13" s="82">
        <v>59.29</v>
      </c>
      <c r="G13" s="20"/>
      <c r="H13" s="2"/>
    </row>
    <row r="14" spans="1:10" ht="15.5" thickBot="1" x14ac:dyDescent="0.9">
      <c r="A14" s="15" t="s">
        <v>858</v>
      </c>
      <c r="B14" s="7">
        <v>203828</v>
      </c>
      <c r="C14" s="7">
        <v>136351</v>
      </c>
      <c r="E14" s="2" t="s">
        <v>532</v>
      </c>
      <c r="F14" s="81" t="s">
        <v>1194</v>
      </c>
      <c r="G14" s="202">
        <f>F1/F12</f>
        <v>1.4600127500770019</v>
      </c>
      <c r="H14" s="78"/>
    </row>
    <row r="15" spans="1:10" ht="15.5" thickTop="1" x14ac:dyDescent="0.75">
      <c r="E15" s="2" t="s">
        <v>271</v>
      </c>
      <c r="F15" s="79" t="s">
        <v>534</v>
      </c>
      <c r="G15" s="183">
        <f>F13/G14</f>
        <v>40.609234403516687</v>
      </c>
      <c r="H15" s="78"/>
    </row>
    <row r="16" spans="1:10" x14ac:dyDescent="0.75">
      <c r="A16" s="12" t="s">
        <v>495</v>
      </c>
      <c r="B16" s="3">
        <v>358075</v>
      </c>
      <c r="C16" s="200">
        <v>54683</v>
      </c>
      <c r="E16" s="79" t="s">
        <v>535</v>
      </c>
      <c r="F16" t="s">
        <v>622</v>
      </c>
      <c r="G16" s="183">
        <f>F2/F12</f>
        <v>2.5648785519350747</v>
      </c>
      <c r="H16" s="78"/>
    </row>
    <row r="17" spans="1:8" x14ac:dyDescent="0.75">
      <c r="A17" s="12" t="s">
        <v>13</v>
      </c>
      <c r="B17" s="83">
        <f>B14-B16</f>
        <v>-154247</v>
      </c>
      <c r="C17" s="83">
        <f>C14-C16</f>
        <v>81668</v>
      </c>
      <c r="E17" s="2" t="s">
        <v>542</v>
      </c>
      <c r="F17" s="79" t="s">
        <v>536</v>
      </c>
      <c r="G17" s="183">
        <f>F13/(F3/F12)</f>
        <v>5.8949117219542444</v>
      </c>
      <c r="H17" s="2"/>
    </row>
    <row r="19" spans="1:8" x14ac:dyDescent="0.75">
      <c r="A19" s="11" t="s">
        <v>919</v>
      </c>
      <c r="B19" s="11"/>
      <c r="C19" s="11"/>
    </row>
    <row r="20" spans="1:8" x14ac:dyDescent="0.75">
      <c r="A20" s="11" t="s">
        <v>551</v>
      </c>
      <c r="B20" s="11"/>
      <c r="C20" s="11"/>
    </row>
    <row r="21" spans="1:8" x14ac:dyDescent="0.75">
      <c r="A21" s="12" t="s">
        <v>850</v>
      </c>
      <c r="B21" s="19">
        <v>38984</v>
      </c>
      <c r="C21" s="19">
        <v>38620</v>
      </c>
    </row>
    <row r="22" spans="1:8" x14ac:dyDescent="0.75">
      <c r="A22" s="72" t="s">
        <v>859</v>
      </c>
      <c r="B22" s="2"/>
      <c r="C22" s="2"/>
    </row>
    <row r="23" spans="1:8" x14ac:dyDescent="0.75">
      <c r="A23" s="175" t="s">
        <v>573</v>
      </c>
      <c r="B23" s="3">
        <v>256164</v>
      </c>
      <c r="C23" s="3">
        <v>345446</v>
      </c>
    </row>
    <row r="24" spans="1:8" x14ac:dyDescent="0.75">
      <c r="A24" s="175" t="s">
        <v>282</v>
      </c>
      <c r="B24" s="3">
        <v>82137</v>
      </c>
      <c r="C24" s="3">
        <v>66682</v>
      </c>
    </row>
    <row r="25" spans="1:8" x14ac:dyDescent="0.75">
      <c r="A25" s="175" t="s">
        <v>577</v>
      </c>
      <c r="B25" s="3">
        <v>203727</v>
      </c>
      <c r="C25" s="3">
        <v>174848</v>
      </c>
    </row>
    <row r="26" spans="1:8" ht="15.5" thickBot="1" x14ac:dyDescent="0.9">
      <c r="A26" s="175" t="s">
        <v>214</v>
      </c>
      <c r="B26" s="3">
        <v>81953</v>
      </c>
      <c r="C26" s="3">
        <v>85553</v>
      </c>
    </row>
    <row r="27" spans="1:8" x14ac:dyDescent="0.75">
      <c r="A27" s="52" t="s">
        <v>224</v>
      </c>
      <c r="B27" s="3">
        <f>SUM(B23:B26)</f>
        <v>623981</v>
      </c>
      <c r="C27" s="3">
        <f>SUM(C23:C26)</f>
        <v>672529</v>
      </c>
    </row>
    <row r="28" spans="1:8" ht="15.5" thickBot="1" x14ac:dyDescent="0.9">
      <c r="A28" s="70" t="s">
        <v>544</v>
      </c>
      <c r="B28" s="84">
        <v>1419015</v>
      </c>
      <c r="C28" s="84">
        <v>1216767</v>
      </c>
    </row>
    <row r="29" spans="1:8" ht="15.5" thickBot="1" x14ac:dyDescent="0.9">
      <c r="A29" s="68" t="s">
        <v>861</v>
      </c>
      <c r="B29" s="69">
        <f>SUM(B27:B28)</f>
        <v>2042996</v>
      </c>
      <c r="C29" s="69">
        <f>SUM(C27:C28)</f>
        <v>1889296</v>
      </c>
    </row>
    <row r="30" spans="1:8" ht="15.5" thickTop="1" x14ac:dyDescent="0.75">
      <c r="A30" s="72" t="s">
        <v>862</v>
      </c>
      <c r="B30" s="95"/>
      <c r="C30" s="95"/>
    </row>
    <row r="31" spans="1:8" x14ac:dyDescent="0.75">
      <c r="A31" s="177" t="s">
        <v>226</v>
      </c>
      <c r="B31" s="176">
        <v>121857</v>
      </c>
      <c r="C31" s="176">
        <v>103348</v>
      </c>
    </row>
    <row r="32" spans="1:8" x14ac:dyDescent="0.75">
      <c r="A32" s="177" t="s">
        <v>214</v>
      </c>
      <c r="B32" s="176">
        <v>387913</v>
      </c>
      <c r="C32" s="176">
        <v>315035</v>
      </c>
    </row>
    <row r="33" spans="1:3" x14ac:dyDescent="0.75">
      <c r="A33" s="70" t="s">
        <v>225</v>
      </c>
      <c r="B33" s="3">
        <f>SUM(B31:B32)</f>
        <v>509770</v>
      </c>
      <c r="C33" s="3">
        <f>SUM(C31:C32)</f>
        <v>418383</v>
      </c>
    </row>
    <row r="34" spans="1:3" ht="15.5" thickBot="1" x14ac:dyDescent="0.9">
      <c r="A34" s="70" t="s">
        <v>864</v>
      </c>
      <c r="B34" s="84">
        <v>129083</v>
      </c>
      <c r="C34" s="84">
        <v>105237</v>
      </c>
    </row>
    <row r="35" spans="1:3" ht="15.5" thickBot="1" x14ac:dyDescent="0.9">
      <c r="A35" s="15" t="s">
        <v>865</v>
      </c>
      <c r="B35" s="53">
        <f>SUM(B33:B34)</f>
        <v>638853</v>
      </c>
      <c r="C35" s="53">
        <f>SUM(C33:C34)</f>
        <v>523620</v>
      </c>
    </row>
    <row r="36" spans="1:3" ht="15.5" thickTop="1" x14ac:dyDescent="0.75">
      <c r="A36" s="74" t="s">
        <v>866</v>
      </c>
      <c r="B36" s="75"/>
      <c r="C36" s="75"/>
    </row>
    <row r="37" spans="1:3" x14ac:dyDescent="0.75">
      <c r="A37" s="85" t="s">
        <v>548</v>
      </c>
      <c r="B37" s="3">
        <v>1054883</v>
      </c>
      <c r="C37" s="3">
        <v>879377</v>
      </c>
    </row>
    <row r="38" spans="1:3" ht="15.5" thickBot="1" x14ac:dyDescent="0.9">
      <c r="A38" s="70" t="s">
        <v>867</v>
      </c>
      <c r="B38" s="3">
        <v>349260</v>
      </c>
      <c r="C38" s="3">
        <v>486299</v>
      </c>
    </row>
    <row r="39" spans="1:3" ht="15.5" thickBot="1" x14ac:dyDescent="0.9">
      <c r="A39" s="73" t="s">
        <v>868</v>
      </c>
      <c r="B39" s="71">
        <f>SUM(B37:B38)</f>
        <v>1404143</v>
      </c>
      <c r="C39" s="71">
        <f>SUM(C37:C38)</f>
        <v>1365676</v>
      </c>
    </row>
    <row r="40" spans="1:3" ht="15.5" thickBot="1" x14ac:dyDescent="0.9">
      <c r="A40" s="15" t="str">
        <f>A39&amp;" and "&amp;A35</f>
        <v>Total Stockholder Equity and Total Liabilities</v>
      </c>
      <c r="B40" s="67">
        <f>SUM(B39,B35)</f>
        <v>2042996</v>
      </c>
      <c r="C40" s="67">
        <f>SUM(C39,C35)</f>
        <v>1889296</v>
      </c>
    </row>
    <row r="41" spans="1:3" ht="15.5" thickTop="1" x14ac:dyDescent="0.75">
      <c r="B41" t="b">
        <f>B40=B29</f>
        <v>1</v>
      </c>
      <c r="C41" t="b">
        <f>C40=C29</f>
        <v>1</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654F0-984E-4EAC-9253-7AACD97E852F}">
  <sheetPr codeName="Sheet27">
    <tabColor rgb="FFFF0000"/>
  </sheetPr>
  <dimension ref="A1:E6"/>
  <sheetViews>
    <sheetView zoomScale="130" zoomScaleNormal="130" workbookViewId="0">
      <selection activeCell="B2" sqref="B2"/>
    </sheetView>
  </sheetViews>
  <sheetFormatPr defaultRowHeight="14.75" x14ac:dyDescent="0.75"/>
  <cols>
    <col min="1" max="1" width="28.2265625" bestFit="1" customWidth="1"/>
    <col min="2" max="2" width="7.08984375" bestFit="1" customWidth="1"/>
    <col min="3" max="3" width="16.08984375" bestFit="1" customWidth="1"/>
  </cols>
  <sheetData>
    <row r="1" spans="1:5" x14ac:dyDescent="0.75">
      <c r="A1" s="11" t="s">
        <v>482</v>
      </c>
      <c r="B1" s="11"/>
      <c r="C1" s="2" t="s">
        <v>1203</v>
      </c>
      <c r="E1" t="s">
        <v>484</v>
      </c>
    </row>
    <row r="2" spans="1:5" x14ac:dyDescent="0.75">
      <c r="A2" s="2" t="s">
        <v>869</v>
      </c>
      <c r="B2" s="2">
        <v>17.5</v>
      </c>
      <c r="C2" s="2">
        <f>'GrowthMarketR (an)'!G15</f>
        <v>40.609234403516687</v>
      </c>
    </row>
    <row r="3" spans="1:5" x14ac:dyDescent="0.75">
      <c r="A3" s="2" t="s">
        <v>870</v>
      </c>
      <c r="B3" s="2">
        <v>6</v>
      </c>
      <c r="C3" s="2">
        <f>'GrowthMarketR (an)'!G17</f>
        <v>5.8949117219542444</v>
      </c>
    </row>
    <row r="4" spans="1:5" x14ac:dyDescent="0.75">
      <c r="A4" s="2" t="s">
        <v>871</v>
      </c>
      <c r="B4" s="76">
        <v>1.7999999999999999E-2</v>
      </c>
      <c r="C4" s="244">
        <f>'WFMI Du Pont (an)'!B10</f>
        <v>3.6349979027623616E-2</v>
      </c>
    </row>
    <row r="5" spans="1:5" x14ac:dyDescent="0.75">
      <c r="A5" s="2" t="s">
        <v>872</v>
      </c>
      <c r="B5" s="76">
        <v>0.13100000000000001</v>
      </c>
      <c r="C5" s="2">
        <f>'WFMI Du Pont (an)'!B12</f>
        <v>0.14516185317307426</v>
      </c>
    </row>
    <row r="6" spans="1:5" x14ac:dyDescent="0.75">
      <c r="A6" s="2" t="s">
        <v>873</v>
      </c>
      <c r="B6" s="2">
        <v>1</v>
      </c>
      <c r="C6" s="2">
        <f>'WFMI Du Pont'!B5/'WFMI Du Pont'!B4</f>
        <v>0.45497716400679988</v>
      </c>
    </row>
  </sheetData>
  <phoneticPr fontId="28"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B739F-F5E5-45EC-A3CA-9715DFCD13C9}">
  <sheetPr codeName="Sheet30">
    <tabColor theme="1"/>
  </sheetPr>
  <dimension ref="A1"/>
  <sheetViews>
    <sheetView workbookViewId="0"/>
  </sheetViews>
  <sheetFormatPr defaultRowHeight="14.75" x14ac:dyDescent="0.75"/>
  <sheetData/>
  <phoneticPr fontId="28"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1F705-A920-4837-B7C0-11C7C97AA492}">
  <sheetPr codeName="Sheet31">
    <tabColor rgb="FF00FF00"/>
    <pageSetUpPr fitToPage="1"/>
  </sheetPr>
  <dimension ref="A1:A17"/>
  <sheetViews>
    <sheetView zoomScale="115" zoomScaleNormal="115" workbookViewId="0">
      <selection activeCell="L12" sqref="L12"/>
    </sheetView>
  </sheetViews>
  <sheetFormatPr defaultRowHeight="14.75" x14ac:dyDescent="0.75"/>
  <cols>
    <col min="1" max="1" width="91.76953125" style="1" customWidth="1"/>
  </cols>
  <sheetData>
    <row r="1" spans="1:1" ht="21" x14ac:dyDescent="1">
      <c r="A1" s="96" t="s">
        <v>664</v>
      </c>
    </row>
    <row r="2" spans="1:1" ht="29.5" x14ac:dyDescent="0.75">
      <c r="A2" s="79" t="s">
        <v>552</v>
      </c>
    </row>
    <row r="3" spans="1:1" x14ac:dyDescent="0.75">
      <c r="A3" s="79" t="s">
        <v>553</v>
      </c>
    </row>
    <row r="4" spans="1:1" ht="29.5" x14ac:dyDescent="0.75">
      <c r="A4" s="79" t="s">
        <v>554</v>
      </c>
    </row>
    <row r="5" spans="1:1" ht="29.5" x14ac:dyDescent="0.75">
      <c r="A5" s="79" t="s">
        <v>555</v>
      </c>
    </row>
    <row r="6" spans="1:1" x14ac:dyDescent="0.75">
      <c r="A6" s="79"/>
    </row>
    <row r="7" spans="1:1" x14ac:dyDescent="0.75">
      <c r="A7" s="79" t="s">
        <v>665</v>
      </c>
    </row>
    <row r="8" spans="1:1" x14ac:dyDescent="0.75">
      <c r="A8" s="117" t="s">
        <v>666</v>
      </c>
    </row>
    <row r="9" spans="1:1" x14ac:dyDescent="0.75">
      <c r="A9" s="117" t="s">
        <v>667</v>
      </c>
    </row>
    <row r="10" spans="1:1" x14ac:dyDescent="0.75">
      <c r="A10" s="79" t="s">
        <v>668</v>
      </c>
    </row>
    <row r="11" spans="1:1" x14ac:dyDescent="0.75">
      <c r="A11" s="117" t="s">
        <v>669</v>
      </c>
    </row>
    <row r="12" spans="1:1" x14ac:dyDescent="0.75">
      <c r="A12" s="117" t="s">
        <v>670</v>
      </c>
    </row>
    <row r="13" spans="1:1" x14ac:dyDescent="0.75">
      <c r="A13" s="117" t="s">
        <v>671</v>
      </c>
    </row>
    <row r="14" spans="1:1" x14ac:dyDescent="0.75">
      <c r="A14" s="117" t="s">
        <v>672</v>
      </c>
    </row>
    <row r="15" spans="1:1" x14ac:dyDescent="0.75">
      <c r="A15" s="117" t="s">
        <v>262</v>
      </c>
    </row>
    <row r="16" spans="1:1" x14ac:dyDescent="0.75">
      <c r="A16" s="117" t="s">
        <v>260</v>
      </c>
    </row>
    <row r="17" spans="1:1" x14ac:dyDescent="0.75">
      <c r="A17" s="117" t="s">
        <v>261</v>
      </c>
    </row>
  </sheetData>
  <phoneticPr fontId="28" type="noConversion"/>
  <conditionalFormatting sqref="A2:A17">
    <cfRule type="expression" dxfId="20" priority="1" stopIfTrue="1">
      <formula>MOD(ROW(),2)</formula>
    </cfRule>
    <cfRule type="expression" dxfId="19" priority="2" stopIfTrue="1">
      <formula>MOD(ROW(),2)</formula>
    </cfRule>
  </conditionalFormatting>
  <printOptions horizontalCentered="1"/>
  <pageMargins left="0.7" right="0.7" top="0.75" bottom="0.75" header="0.3" footer="0.3"/>
  <pageSetup fitToHeight="0" orientation="landscape" r:id="rId1"/>
  <headerFooter>
    <oddHeader>&amp;L&amp;F&amp;C&amp;A&amp;RPage &amp;P of &amp;N</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AC3508-7797-4022-B4C9-7D7D53686980}">
  <sheetPr codeName="Sheet32">
    <tabColor rgb="FF00FF00"/>
    <pageSetUpPr fitToPage="1"/>
  </sheetPr>
  <dimension ref="A1:A7"/>
  <sheetViews>
    <sheetView zoomScale="130" zoomScaleNormal="130" workbookViewId="0">
      <selection activeCell="L12" sqref="L12"/>
    </sheetView>
  </sheetViews>
  <sheetFormatPr defaultRowHeight="14.75" x14ac:dyDescent="0.75"/>
  <cols>
    <col min="1" max="1" width="92" bestFit="1" customWidth="1"/>
  </cols>
  <sheetData>
    <row r="1" spans="1:1" ht="21" x14ac:dyDescent="1">
      <c r="A1" s="116" t="s">
        <v>161</v>
      </c>
    </row>
    <row r="2" spans="1:1" x14ac:dyDescent="0.75">
      <c r="A2" s="2" t="s">
        <v>162</v>
      </c>
    </row>
    <row r="3" spans="1:1" x14ac:dyDescent="0.75">
      <c r="A3" s="98" t="s">
        <v>163</v>
      </c>
    </row>
    <row r="4" spans="1:1" x14ac:dyDescent="0.75">
      <c r="A4" s="2" t="s">
        <v>164</v>
      </c>
    </row>
    <row r="5" spans="1:1" x14ac:dyDescent="0.75">
      <c r="A5" s="2" t="s">
        <v>218</v>
      </c>
    </row>
    <row r="6" spans="1:1" x14ac:dyDescent="0.75">
      <c r="A6" s="98" t="s">
        <v>165</v>
      </c>
    </row>
    <row r="7" spans="1:1" x14ac:dyDescent="0.75">
      <c r="A7" s="2" t="s">
        <v>166</v>
      </c>
    </row>
  </sheetData>
  <phoneticPr fontId="28" type="noConversion"/>
  <conditionalFormatting sqref="A2:A7">
    <cfRule type="expression" dxfId="18" priority="1" stopIfTrue="1">
      <formula>MOD(ROW(),2)</formula>
    </cfRule>
  </conditionalFormatting>
  <printOptions horizontalCentered="1"/>
  <pageMargins left="0.7" right="0.7" top="0.75" bottom="0.75" header="0.3" footer="0.3"/>
  <pageSetup fitToHeight="0" orientation="landscape" r:id="rId1"/>
  <headerFooter>
    <oddHeader>&amp;L&amp;F&amp;C&amp;A&amp;RPage &amp;P of &amp;N</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350DB-411C-4ECE-99AD-2CBED22BAC56}">
  <sheetPr codeName="Sheet33">
    <tabColor rgb="FF00FF00"/>
    <pageSetUpPr fitToPage="1"/>
  </sheetPr>
  <dimension ref="A1:A6"/>
  <sheetViews>
    <sheetView zoomScale="145" zoomScaleNormal="145" workbookViewId="0">
      <selection activeCell="L12" sqref="L12"/>
    </sheetView>
  </sheetViews>
  <sheetFormatPr defaultRowHeight="14.75" x14ac:dyDescent="0.75"/>
  <cols>
    <col min="1" max="1" width="83.2265625" bestFit="1" customWidth="1"/>
  </cols>
  <sheetData>
    <row r="1" spans="1:1" ht="21" x14ac:dyDescent="1">
      <c r="A1" s="116" t="s">
        <v>640</v>
      </c>
    </row>
    <row r="2" spans="1:1" x14ac:dyDescent="0.75">
      <c r="A2" s="2" t="s">
        <v>556</v>
      </c>
    </row>
    <row r="3" spans="1:1" x14ac:dyDescent="0.75">
      <c r="A3" s="98" t="s">
        <v>557</v>
      </c>
    </row>
    <row r="4" spans="1:1" x14ac:dyDescent="0.75">
      <c r="A4" s="98" t="s">
        <v>558</v>
      </c>
    </row>
    <row r="5" spans="1:1" x14ac:dyDescent="0.75">
      <c r="A5" s="98" t="s">
        <v>559</v>
      </c>
    </row>
    <row r="6" spans="1:1" x14ac:dyDescent="0.75">
      <c r="A6" s="2" t="s">
        <v>560</v>
      </c>
    </row>
  </sheetData>
  <phoneticPr fontId="28" type="noConversion"/>
  <conditionalFormatting sqref="A2:A6">
    <cfRule type="expression" dxfId="17" priority="1" stopIfTrue="1">
      <formula>MOD(ROW(),2)</formula>
    </cfRule>
  </conditionalFormatting>
  <printOptions horizontalCentered="1"/>
  <pageMargins left="0.7" right="0.7" top="0.75" bottom="0.75" header="0.3" footer="0.3"/>
  <pageSetup fitToHeight="0" orientation="landscape" r:id="rId1"/>
  <headerFooter>
    <oddHeader>&amp;L&amp;F&amp;C&amp;A&amp;RPage &amp;P of &amp;N</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0C4E2-B348-4763-A09E-863A5060264D}">
  <sheetPr codeName="Sheet34">
    <tabColor rgb="FF00FF00"/>
    <pageSetUpPr fitToPage="1"/>
  </sheetPr>
  <dimension ref="A1:Y42"/>
  <sheetViews>
    <sheetView zoomScale="70" zoomScaleNormal="70" workbookViewId="0">
      <selection activeCell="L12" sqref="L12"/>
    </sheetView>
  </sheetViews>
  <sheetFormatPr defaultRowHeight="14.75" x14ac:dyDescent="0.75"/>
  <cols>
    <col min="1" max="1" width="19.2265625" customWidth="1"/>
    <col min="2" max="2" width="17.54296875" bestFit="1" customWidth="1"/>
    <col min="4" max="4" width="18.08984375" bestFit="1" customWidth="1"/>
    <col min="7" max="7" width="20" bestFit="1" customWidth="1"/>
    <col min="11" max="11" width="20" bestFit="1" customWidth="1"/>
    <col min="24" max="24" width="18.453125" bestFit="1" customWidth="1"/>
    <col min="25" max="25" width="17.54296875" bestFit="1" customWidth="1"/>
  </cols>
  <sheetData>
    <row r="1" spans="1:25" x14ac:dyDescent="0.75">
      <c r="A1" s="112" t="s">
        <v>561</v>
      </c>
      <c r="B1" s="112"/>
      <c r="C1" s="112"/>
      <c r="D1" s="112"/>
      <c r="E1" s="112"/>
      <c r="G1" s="112" t="s">
        <v>562</v>
      </c>
      <c r="H1" s="112"/>
      <c r="I1" s="112"/>
      <c r="J1" s="112"/>
      <c r="K1" s="112"/>
      <c r="L1" s="112"/>
      <c r="M1" s="112"/>
      <c r="X1" s="99" t="s">
        <v>563</v>
      </c>
      <c r="Y1" s="99"/>
    </row>
    <row r="2" spans="1:25" x14ac:dyDescent="0.75">
      <c r="X2" t="s">
        <v>564</v>
      </c>
      <c r="Y2" t="s">
        <v>565</v>
      </c>
    </row>
    <row r="3" spans="1:25" x14ac:dyDescent="0.75">
      <c r="A3" s="110" t="str">
        <f>$Y$2</f>
        <v>RAD Corp</v>
      </c>
      <c r="B3" s="110"/>
      <c r="C3" s="110"/>
      <c r="D3" s="110"/>
      <c r="E3" s="110"/>
      <c r="G3" s="110" t="str">
        <f>$Y$2</f>
        <v>RAD Corp</v>
      </c>
      <c r="H3" s="110"/>
      <c r="I3" s="110"/>
      <c r="K3" s="110" t="str">
        <f>$Y$2</f>
        <v>RAD Corp</v>
      </c>
      <c r="L3" s="110"/>
      <c r="M3" s="110"/>
      <c r="O3" s="17"/>
      <c r="X3" t="s">
        <v>566</v>
      </c>
      <c r="Y3" s="100">
        <v>38352</v>
      </c>
    </row>
    <row r="4" spans="1:25" x14ac:dyDescent="0.75">
      <c r="A4" s="111" t="str">
        <f>$Y$5</f>
        <v>Balance Sheet</v>
      </c>
      <c r="B4" s="110"/>
      <c r="C4" s="110"/>
      <c r="D4" s="110"/>
      <c r="E4" s="110"/>
      <c r="G4" s="111" t="str">
        <f>$Y$6</f>
        <v>Income Statement</v>
      </c>
      <c r="H4" s="110"/>
      <c r="I4" s="110"/>
      <c r="K4" s="111" t="str">
        <f>$Y$6</f>
        <v>Income Statement</v>
      </c>
      <c r="L4" s="110"/>
      <c r="M4" s="110"/>
      <c r="X4" t="s">
        <v>567</v>
      </c>
      <c r="Y4" s="100">
        <f>Y3+365</f>
        <v>38717</v>
      </c>
    </row>
    <row r="5" spans="1:25" x14ac:dyDescent="0.75">
      <c r="A5" s="110" t="str">
        <f>"As of "&amp;TEXT($Y$4,"m/d/yyy")</f>
        <v>As of 12/31/2005</v>
      </c>
      <c r="B5" s="110"/>
      <c r="C5" s="110"/>
      <c r="D5" s="110"/>
      <c r="E5" s="110"/>
      <c r="G5" s="110" t="str">
        <f>"For The Year Ended "&amp;TEXT($Y$4,"m/d/yyy")</f>
        <v>For The Year Ended 12/31/2005</v>
      </c>
      <c r="H5" s="110"/>
      <c r="I5" s="110"/>
      <c r="K5" s="110" t="str">
        <f>"For The Year Ended "&amp;TEXT($Y$4,"m/d/yyy")</f>
        <v>For The Year Ended 12/31/2005</v>
      </c>
      <c r="L5" s="110"/>
      <c r="M5" s="110"/>
      <c r="O5" s="17"/>
      <c r="X5" t="s">
        <v>568</v>
      </c>
      <c r="Y5" s="100" t="s">
        <v>569</v>
      </c>
    </row>
    <row r="6" spans="1:25" x14ac:dyDescent="0.75">
      <c r="A6" t="s">
        <v>573</v>
      </c>
      <c r="B6" s="17">
        <v>6489</v>
      </c>
      <c r="C6" s="17"/>
      <c r="D6" t="s">
        <v>574</v>
      </c>
      <c r="E6" s="17">
        <v>340220</v>
      </c>
      <c r="G6" t="s">
        <v>587</v>
      </c>
      <c r="I6" s="17">
        <v>3991997</v>
      </c>
      <c r="K6" t="s">
        <v>587</v>
      </c>
      <c r="M6" s="101">
        <f t="shared" ref="M6:M14" si="0">I6/$I$6</f>
        <v>1</v>
      </c>
      <c r="Y6" s="100" t="s">
        <v>570</v>
      </c>
    </row>
    <row r="7" spans="1:25" x14ac:dyDescent="0.75">
      <c r="A7" t="s">
        <v>575</v>
      </c>
      <c r="B7" s="17">
        <v>1052606</v>
      </c>
      <c r="C7" s="17"/>
      <c r="D7" t="s">
        <v>576</v>
      </c>
      <c r="E7" s="17">
        <v>86631</v>
      </c>
      <c r="G7" t="s">
        <v>588</v>
      </c>
      <c r="I7" s="17">
        <v>1738125</v>
      </c>
      <c r="K7" t="s">
        <v>588</v>
      </c>
      <c r="M7" s="101">
        <f t="shared" si="0"/>
        <v>0.43540238131441483</v>
      </c>
      <c r="X7" t="s">
        <v>571</v>
      </c>
      <c r="Y7">
        <v>166735</v>
      </c>
    </row>
    <row r="8" spans="1:25" x14ac:dyDescent="0.75">
      <c r="A8" t="s">
        <v>577</v>
      </c>
      <c r="B8" s="17">
        <v>295255</v>
      </c>
      <c r="C8" s="17"/>
      <c r="D8" t="s">
        <v>578</v>
      </c>
      <c r="E8" s="102">
        <v>1098602</v>
      </c>
      <c r="G8" t="s">
        <v>589</v>
      </c>
      <c r="I8" s="17">
        <v>1269479</v>
      </c>
      <c r="K8" t="s">
        <v>589</v>
      </c>
      <c r="M8" s="101">
        <f t="shared" si="0"/>
        <v>0.31800600050551142</v>
      </c>
      <c r="X8" t="s">
        <v>572</v>
      </c>
      <c r="Y8">
        <v>143392</v>
      </c>
    </row>
    <row r="9" spans="1:25" x14ac:dyDescent="0.75">
      <c r="A9" t="s">
        <v>579</v>
      </c>
      <c r="B9" s="102">
        <v>199375</v>
      </c>
      <c r="C9" s="17"/>
      <c r="D9" t="s">
        <v>580</v>
      </c>
      <c r="E9" s="17">
        <f>SUM(E6:E8)</f>
        <v>1525453</v>
      </c>
      <c r="G9" t="s">
        <v>493</v>
      </c>
      <c r="I9" s="102">
        <v>308355</v>
      </c>
      <c r="K9" t="s">
        <v>493</v>
      </c>
      <c r="M9" s="103">
        <f t="shared" si="0"/>
        <v>7.7243294521513919E-2</v>
      </c>
    </row>
    <row r="10" spans="1:25" x14ac:dyDescent="0.75">
      <c r="A10" t="s">
        <v>581</v>
      </c>
      <c r="B10" s="17">
        <f>SUM(B6:B9)</f>
        <v>1553725</v>
      </c>
      <c r="C10" s="17"/>
      <c r="D10" t="s">
        <v>582</v>
      </c>
      <c r="E10" s="102">
        <v>871851</v>
      </c>
      <c r="G10" t="s">
        <v>492</v>
      </c>
      <c r="I10" s="17">
        <f>I6-SUM(I7:I9)</f>
        <v>676038</v>
      </c>
      <c r="K10" t="s">
        <v>492</v>
      </c>
      <c r="M10" s="101">
        <f t="shared" si="0"/>
        <v>0.16934832365855987</v>
      </c>
    </row>
    <row r="11" spans="1:25" x14ac:dyDescent="0.75">
      <c r="A11" t="s">
        <v>583</v>
      </c>
      <c r="B11" s="102">
        <v>2535072</v>
      </c>
      <c r="C11" s="17"/>
      <c r="D11" t="s">
        <v>584</v>
      </c>
      <c r="E11" s="17">
        <f>SUM(E9:E10)</f>
        <v>2397304</v>
      </c>
      <c r="G11" t="s">
        <v>855</v>
      </c>
      <c r="I11" s="102">
        <v>42013</v>
      </c>
      <c r="K11" t="s">
        <v>855</v>
      </c>
      <c r="M11" s="103">
        <f t="shared" si="0"/>
        <v>1.0524306506242365E-2</v>
      </c>
    </row>
    <row r="12" spans="1:25" x14ac:dyDescent="0.75">
      <c r="D12" t="s">
        <v>585</v>
      </c>
      <c r="E12" s="102">
        <v>1691493</v>
      </c>
      <c r="G12" t="s">
        <v>590</v>
      </c>
      <c r="I12" s="17">
        <f>I10-I11</f>
        <v>634025</v>
      </c>
      <c r="K12" t="s">
        <v>590</v>
      </c>
      <c r="M12" s="101">
        <f t="shared" si="0"/>
        <v>0.1588240171523175</v>
      </c>
    </row>
    <row r="13" spans="1:25" ht="15.5" thickBot="1" x14ac:dyDescent="0.9">
      <c r="A13" t="s">
        <v>861</v>
      </c>
      <c r="B13" s="105">
        <f>SUM(B10:B11)</f>
        <v>4088797</v>
      </c>
      <c r="C13" s="17"/>
      <c r="D13" t="s">
        <v>586</v>
      </c>
      <c r="E13" s="106">
        <f>SUM(E11:E12)</f>
        <v>4088797</v>
      </c>
      <c r="G13" t="s">
        <v>494</v>
      </c>
      <c r="I13" s="102">
        <v>272210</v>
      </c>
      <c r="K13" t="s">
        <v>494</v>
      </c>
      <c r="M13" s="103">
        <f t="shared" si="0"/>
        <v>6.8188928999696141E-2</v>
      </c>
    </row>
    <row r="14" spans="1:25" ht="16.25" thickTop="1" thickBot="1" x14ac:dyDescent="0.9">
      <c r="A14" s="108"/>
      <c r="B14" s="108"/>
      <c r="C14" s="108"/>
      <c r="D14" s="108"/>
      <c r="E14" s="108"/>
      <c r="G14" t="s">
        <v>858</v>
      </c>
      <c r="I14" s="106">
        <f>I12-I13</f>
        <v>361815</v>
      </c>
      <c r="K14" t="s">
        <v>858</v>
      </c>
      <c r="M14" s="107">
        <f t="shared" si="0"/>
        <v>9.0635088152621363E-2</v>
      </c>
    </row>
    <row r="15" spans="1:25" ht="15.5" thickTop="1" x14ac:dyDescent="0.75">
      <c r="I15" s="17"/>
      <c r="M15" s="17"/>
    </row>
    <row r="16" spans="1:25" x14ac:dyDescent="0.75">
      <c r="A16" s="110" t="str">
        <f>$Y$2</f>
        <v>RAD Corp</v>
      </c>
      <c r="B16" s="110"/>
      <c r="C16" s="110"/>
      <c r="D16" s="110"/>
      <c r="E16" s="110"/>
      <c r="G16" t="s">
        <v>591</v>
      </c>
      <c r="I16" s="109">
        <f>I14/$Y$7</f>
        <v>2.1700002998770502</v>
      </c>
      <c r="K16" t="s">
        <v>591</v>
      </c>
      <c r="M16" s="109">
        <f>$I$14/$Y$7</f>
        <v>2.1700002998770502</v>
      </c>
    </row>
    <row r="17" spans="1:13" x14ac:dyDescent="0.75">
      <c r="A17" s="111" t="str">
        <f>$Y$5</f>
        <v>Balance Sheet</v>
      </c>
      <c r="B17" s="110"/>
      <c r="C17" s="110"/>
      <c r="D17" s="110"/>
      <c r="E17" s="110"/>
      <c r="G17" t="s">
        <v>592</v>
      </c>
      <c r="I17" s="109">
        <f>$Y$8/$Y$7</f>
        <v>0.85999940024589916</v>
      </c>
      <c r="K17" t="s">
        <v>592</v>
      </c>
      <c r="M17" s="109">
        <f>$Y$8/$Y$7</f>
        <v>0.85999940024589916</v>
      </c>
    </row>
    <row r="18" spans="1:13" ht="15.5" thickBot="1" x14ac:dyDescent="0.9">
      <c r="A18" s="110" t="str">
        <f>"As of "&amp;TEXT($Y$4,"m/d/yyy")</f>
        <v>As of 12/31/2005</v>
      </c>
      <c r="B18" s="110"/>
      <c r="C18" s="110"/>
      <c r="D18" s="110"/>
      <c r="E18" s="110"/>
      <c r="G18" s="108"/>
      <c r="H18" s="108"/>
      <c r="I18" s="108"/>
      <c r="K18" s="108"/>
      <c r="L18" s="108"/>
      <c r="M18" s="108"/>
    </row>
    <row r="19" spans="1:13" ht="15.5" thickTop="1" x14ac:dyDescent="0.75">
      <c r="A19" t="s">
        <v>573</v>
      </c>
      <c r="B19" s="101">
        <f t="shared" ref="B19:B24" si="1">B6/$B$13</f>
        <v>1.5870193604622582E-3</v>
      </c>
      <c r="C19" s="17"/>
      <c r="D19" t="s">
        <v>574</v>
      </c>
      <c r="E19" s="101">
        <f t="shared" ref="E19:E26" si="2">E6/$B$13</f>
        <v>8.3207848176370697E-2</v>
      </c>
    </row>
    <row r="20" spans="1:13" x14ac:dyDescent="0.75">
      <c r="A20" t="s">
        <v>575</v>
      </c>
      <c r="B20" s="101">
        <f t="shared" si="1"/>
        <v>0.25743660054534379</v>
      </c>
      <c r="C20" s="17"/>
      <c r="D20" t="s">
        <v>576</v>
      </c>
      <c r="E20" s="101">
        <f t="shared" si="2"/>
        <v>2.1187405488704868E-2</v>
      </c>
    </row>
    <row r="21" spans="1:13" x14ac:dyDescent="0.75">
      <c r="A21" t="s">
        <v>577</v>
      </c>
      <c r="B21" s="101">
        <f t="shared" si="1"/>
        <v>7.2210726039957471E-2</v>
      </c>
      <c r="C21" s="17"/>
      <c r="D21" t="s">
        <v>578</v>
      </c>
      <c r="E21" s="103">
        <f t="shared" si="2"/>
        <v>0.26868587508746461</v>
      </c>
    </row>
    <row r="22" spans="1:13" x14ac:dyDescent="0.75">
      <c r="A22" t="s">
        <v>579</v>
      </c>
      <c r="B22" s="103">
        <f t="shared" si="1"/>
        <v>4.8761286021291837E-2</v>
      </c>
      <c r="C22" s="17"/>
      <c r="D22" t="s">
        <v>580</v>
      </c>
      <c r="E22" s="101">
        <f t="shared" si="2"/>
        <v>0.37308112875254018</v>
      </c>
    </row>
    <row r="23" spans="1:13" x14ac:dyDescent="0.75">
      <c r="A23" t="s">
        <v>581</v>
      </c>
      <c r="B23" s="101">
        <f t="shared" si="1"/>
        <v>0.37999563196705533</v>
      </c>
      <c r="C23" s="17"/>
      <c r="D23" t="s">
        <v>582</v>
      </c>
      <c r="E23" s="103">
        <f t="shared" si="2"/>
        <v>0.21322922121103102</v>
      </c>
    </row>
    <row r="24" spans="1:13" x14ac:dyDescent="0.75">
      <c r="A24" t="s">
        <v>583</v>
      </c>
      <c r="B24" s="103">
        <f t="shared" si="1"/>
        <v>0.62000436803294467</v>
      </c>
      <c r="C24" s="17"/>
      <c r="D24" t="s">
        <v>584</v>
      </c>
      <c r="E24" s="101">
        <f t="shared" si="2"/>
        <v>0.58631034996357123</v>
      </c>
    </row>
    <row r="25" spans="1:13" x14ac:dyDescent="0.75">
      <c r="D25" t="s">
        <v>585</v>
      </c>
      <c r="E25" s="104">
        <f t="shared" si="2"/>
        <v>0.41368965003642882</v>
      </c>
    </row>
    <row r="26" spans="1:13" ht="15.5" thickBot="1" x14ac:dyDescent="0.9">
      <c r="A26" t="s">
        <v>861</v>
      </c>
      <c r="B26" s="107">
        <f>B13/$B$13</f>
        <v>1</v>
      </c>
      <c r="C26" s="17"/>
      <c r="D26" t="s">
        <v>586</v>
      </c>
      <c r="E26" s="107">
        <f t="shared" si="2"/>
        <v>1</v>
      </c>
    </row>
    <row r="27" spans="1:13" ht="16.25" thickTop="1" thickBot="1" x14ac:dyDescent="0.9">
      <c r="A27" s="108"/>
      <c r="B27" s="108"/>
      <c r="C27" s="108"/>
      <c r="D27" s="108"/>
      <c r="E27" s="108"/>
    </row>
    <row r="28" spans="1:13" ht="15.5" thickTop="1" x14ac:dyDescent="0.75"/>
    <row r="40" spans="4:5" x14ac:dyDescent="0.75">
      <c r="D40" s="17"/>
      <c r="E40" s="17"/>
    </row>
    <row r="42" spans="4:5" x14ac:dyDescent="0.75">
      <c r="D42" s="17"/>
      <c r="E42" s="17"/>
    </row>
  </sheetData>
  <phoneticPr fontId="28" type="noConversion"/>
  <printOptions horizontalCentered="1"/>
  <pageMargins left="0.7" right="0.7" top="0.75" bottom="0.75" header="0.3" footer="0.3"/>
  <pageSetup scale="41" fitToHeight="0" orientation="landscape" r:id="rId1"/>
  <headerFooter>
    <oddHeader>&amp;L&amp;F&amp;C&amp;A&amp;RPage &amp;P of &amp;N</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DE686D-7773-445D-835C-CE460245B5AD}">
  <sheetPr codeName="Sheet2">
    <tabColor rgb="FF0000FF"/>
  </sheetPr>
  <dimension ref="A1:J47"/>
  <sheetViews>
    <sheetView zoomScaleNormal="100" workbookViewId="0"/>
  </sheetViews>
  <sheetFormatPr defaultRowHeight="14.75" x14ac:dyDescent="0.75"/>
  <cols>
    <col min="1" max="1" width="18.86328125" bestFit="1" customWidth="1"/>
    <col min="2" max="2" width="19.08984375" bestFit="1" customWidth="1"/>
    <col min="3" max="3" width="9.76953125" bestFit="1" customWidth="1"/>
    <col min="4" max="4" width="9.86328125" bestFit="1" customWidth="1"/>
  </cols>
  <sheetData>
    <row r="1" spans="1:10" x14ac:dyDescent="0.75">
      <c r="A1" s="191" t="s">
        <v>252</v>
      </c>
      <c r="B1" s="191"/>
    </row>
    <row r="2" spans="1:10" x14ac:dyDescent="0.75">
      <c r="A2" s="2" t="s">
        <v>231</v>
      </c>
      <c r="B2" s="181">
        <v>200</v>
      </c>
    </row>
    <row r="3" spans="1:10" x14ac:dyDescent="0.75">
      <c r="A3" s="2" t="s">
        <v>242</v>
      </c>
      <c r="B3" s="181">
        <v>100</v>
      </c>
    </row>
    <row r="4" spans="1:10" x14ac:dyDescent="0.75">
      <c r="A4" s="2" t="s">
        <v>233</v>
      </c>
      <c r="B4" s="182"/>
      <c r="C4" t="s">
        <v>236</v>
      </c>
      <c r="D4" s="262"/>
      <c r="E4" s="262"/>
      <c r="F4" s="262"/>
      <c r="G4" s="262"/>
      <c r="H4" s="262"/>
      <c r="I4" s="262"/>
      <c r="J4" s="262"/>
    </row>
    <row r="5" spans="1:10" x14ac:dyDescent="0.75">
      <c r="A5" s="2" t="s">
        <v>233</v>
      </c>
      <c r="B5" s="183"/>
    </row>
    <row r="7" spans="1:10" x14ac:dyDescent="0.75">
      <c r="A7" s="191" t="s">
        <v>251</v>
      </c>
      <c r="B7" s="191"/>
      <c r="C7" s="191"/>
      <c r="D7" s="191"/>
      <c r="E7" s="191"/>
    </row>
    <row r="8" spans="1:10" x14ac:dyDescent="0.75">
      <c r="A8" s="190" t="s">
        <v>227</v>
      </c>
      <c r="B8" s="190"/>
      <c r="D8" s="190" t="s">
        <v>227</v>
      </c>
      <c r="E8" s="190"/>
    </row>
    <row r="9" spans="1:10" x14ac:dyDescent="0.75">
      <c r="A9" s="2" t="s">
        <v>545</v>
      </c>
      <c r="B9" s="2">
        <v>100</v>
      </c>
      <c r="D9" s="2" t="s">
        <v>545</v>
      </c>
      <c r="E9" s="184"/>
      <c r="G9" s="109"/>
    </row>
    <row r="10" spans="1:10" x14ac:dyDescent="0.75">
      <c r="A10" s="2" t="s">
        <v>546</v>
      </c>
      <c r="B10" s="2">
        <v>25</v>
      </c>
      <c r="D10" s="2" t="s">
        <v>546</v>
      </c>
      <c r="E10" s="184"/>
      <c r="G10" s="109"/>
    </row>
    <row r="11" spans="1:10" ht="15.5" thickBot="1" x14ac:dyDescent="0.9">
      <c r="A11" s="2" t="s">
        <v>228</v>
      </c>
      <c r="B11" s="95">
        <v>15</v>
      </c>
      <c r="D11" s="2" t="s">
        <v>228</v>
      </c>
      <c r="E11" s="185"/>
      <c r="G11" s="109"/>
    </row>
    <row r="12" spans="1:10" x14ac:dyDescent="0.75">
      <c r="A12" s="2" t="s">
        <v>492</v>
      </c>
      <c r="B12" s="178">
        <f>B9-SUM(B10:B11)</f>
        <v>60</v>
      </c>
      <c r="D12" s="2" t="s">
        <v>492</v>
      </c>
      <c r="E12" s="186"/>
      <c r="G12" s="109"/>
    </row>
    <row r="13" spans="1:10" x14ac:dyDescent="0.75">
      <c r="A13" s="2" t="s">
        <v>229</v>
      </c>
      <c r="B13" s="2">
        <v>10</v>
      </c>
      <c r="D13" s="2" t="s">
        <v>229</v>
      </c>
      <c r="E13" s="184"/>
      <c r="G13" s="109"/>
    </row>
    <row r="14" spans="1:10" ht="15.5" thickBot="1" x14ac:dyDescent="0.9">
      <c r="A14" s="2" t="s">
        <v>230</v>
      </c>
      <c r="B14" s="95">
        <v>17</v>
      </c>
      <c r="D14" s="2" t="s">
        <v>230</v>
      </c>
      <c r="E14" s="185"/>
      <c r="G14" s="109"/>
    </row>
    <row r="15" spans="1:10" ht="15.5" thickBot="1" x14ac:dyDescent="0.9">
      <c r="A15" s="2" t="s">
        <v>120</v>
      </c>
      <c r="B15" s="179">
        <f>B12-SUM(B13:B14)</f>
        <v>33</v>
      </c>
      <c r="D15" s="2" t="s">
        <v>120</v>
      </c>
      <c r="E15" s="187"/>
      <c r="G15" s="109"/>
      <c r="H15" s="109"/>
    </row>
    <row r="16" spans="1:10" ht="15.5" thickTop="1" x14ac:dyDescent="0.75"/>
    <row r="17" spans="1:10" x14ac:dyDescent="0.75">
      <c r="A17" s="191" t="s">
        <v>250</v>
      </c>
      <c r="B17" s="191"/>
      <c r="C17" s="191"/>
      <c r="D17" s="191"/>
      <c r="E17" s="191"/>
      <c r="F17" s="191"/>
    </row>
    <row r="18" spans="1:10" x14ac:dyDescent="0.75">
      <c r="A18" s="2" t="s">
        <v>234</v>
      </c>
      <c r="B18" s="181">
        <v>5000</v>
      </c>
    </row>
    <row r="19" spans="1:10" x14ac:dyDescent="0.75">
      <c r="A19" s="2" t="s">
        <v>235</v>
      </c>
      <c r="B19" s="181">
        <v>200</v>
      </c>
    </row>
    <row r="20" spans="1:10" x14ac:dyDescent="0.75">
      <c r="A20" s="2" t="s">
        <v>237</v>
      </c>
      <c r="B20" s="188"/>
      <c r="C20" t="s">
        <v>236</v>
      </c>
      <c r="D20" s="262"/>
      <c r="E20" s="262"/>
      <c r="F20" s="262"/>
      <c r="G20" s="262"/>
      <c r="H20" s="262"/>
      <c r="I20" s="262"/>
      <c r="J20" s="262"/>
    </row>
    <row r="21" spans="1:10" x14ac:dyDescent="0.75">
      <c r="A21" s="2" t="s">
        <v>237</v>
      </c>
      <c r="B21" s="183"/>
    </row>
    <row r="23" spans="1:10" x14ac:dyDescent="0.75">
      <c r="A23" s="191" t="s">
        <v>249</v>
      </c>
      <c r="B23" s="191"/>
      <c r="C23" s="191"/>
      <c r="D23" s="191"/>
      <c r="E23" s="191"/>
      <c r="F23" s="191"/>
      <c r="G23" s="191"/>
      <c r="H23" s="191"/>
    </row>
    <row r="24" spans="1:10" x14ac:dyDescent="0.75">
      <c r="A24" s="2" t="s">
        <v>238</v>
      </c>
      <c r="B24" s="181">
        <v>200</v>
      </c>
    </row>
    <row r="25" spans="1:10" x14ac:dyDescent="0.75">
      <c r="A25" s="2" t="s">
        <v>239</v>
      </c>
      <c r="B25" s="181">
        <v>2000</v>
      </c>
    </row>
    <row r="26" spans="1:10" x14ac:dyDescent="0.75">
      <c r="A26" s="2" t="s">
        <v>240</v>
      </c>
      <c r="B26" s="181">
        <v>600</v>
      </c>
    </row>
    <row r="27" spans="1:10" x14ac:dyDescent="0.75">
      <c r="A27" s="2" t="s">
        <v>241</v>
      </c>
      <c r="B27" s="181">
        <v>5000</v>
      </c>
    </row>
    <row r="28" spans="1:10" x14ac:dyDescent="0.75">
      <c r="A28" s="2" t="s">
        <v>243</v>
      </c>
      <c r="B28" s="189"/>
    </row>
    <row r="29" spans="1:10" ht="30" customHeight="1" x14ac:dyDescent="0.75">
      <c r="A29" s="2" t="s">
        <v>244</v>
      </c>
      <c r="B29" s="189"/>
      <c r="C29" t="s">
        <v>236</v>
      </c>
      <c r="D29" s="262"/>
      <c r="E29" s="262"/>
      <c r="F29" s="262"/>
      <c r="G29" s="262"/>
      <c r="H29" s="262"/>
      <c r="I29" s="262"/>
      <c r="J29" s="262"/>
    </row>
    <row r="30" spans="1:10" x14ac:dyDescent="0.75">
      <c r="B30" s="101"/>
    </row>
    <row r="31" spans="1:10" x14ac:dyDescent="0.75">
      <c r="A31" s="191" t="s">
        <v>283</v>
      </c>
      <c r="B31" s="191"/>
      <c r="C31" s="191"/>
      <c r="D31" s="191"/>
      <c r="E31" s="191"/>
      <c r="F31" s="191"/>
      <c r="G31" s="191"/>
      <c r="H31" s="191"/>
      <c r="I31" s="191"/>
      <c r="J31" s="191"/>
    </row>
    <row r="32" spans="1:10" x14ac:dyDescent="0.75">
      <c r="A32" s="2" t="s">
        <v>246</v>
      </c>
      <c r="B32" s="192">
        <v>23</v>
      </c>
    </row>
    <row r="33" spans="1:10" x14ac:dyDescent="0.75">
      <c r="A33" s="2" t="s">
        <v>245</v>
      </c>
      <c r="B33" s="192">
        <v>63</v>
      </c>
    </row>
    <row r="34" spans="1:10" x14ac:dyDescent="0.75">
      <c r="A34" s="2" t="s">
        <v>247</v>
      </c>
      <c r="B34" s="192">
        <v>11</v>
      </c>
    </row>
    <row r="35" spans="1:10" x14ac:dyDescent="0.75">
      <c r="A35" s="2" t="s">
        <v>248</v>
      </c>
      <c r="B35" s="192">
        <v>19</v>
      </c>
    </row>
    <row r="36" spans="1:10" x14ac:dyDescent="0.75">
      <c r="A36" s="2" t="s">
        <v>253</v>
      </c>
      <c r="B36" s="184"/>
    </row>
    <row r="37" spans="1:10" ht="29.25" customHeight="1" x14ac:dyDescent="0.75">
      <c r="A37" s="2" t="s">
        <v>254</v>
      </c>
      <c r="B37" s="184"/>
      <c r="C37" t="s">
        <v>236</v>
      </c>
      <c r="D37" s="262"/>
      <c r="E37" s="262"/>
      <c r="F37" s="262"/>
      <c r="G37" s="262"/>
      <c r="H37" s="262"/>
      <c r="I37" s="262"/>
      <c r="J37" s="262"/>
    </row>
    <row r="39" spans="1:10" x14ac:dyDescent="0.75">
      <c r="A39" s="193" t="s">
        <v>255</v>
      </c>
    </row>
    <row r="40" spans="1:10" x14ac:dyDescent="0.75">
      <c r="A40" s="2" t="s">
        <v>256</v>
      </c>
      <c r="B40" s="195">
        <f>B42/0.4908</f>
        <v>1018.7449062754686</v>
      </c>
    </row>
    <row r="41" spans="1:10" x14ac:dyDescent="0.75">
      <c r="A41" s="2" t="s">
        <v>257</v>
      </c>
      <c r="B41" s="195">
        <f>B43/0.4908</f>
        <v>2037.4898125509371</v>
      </c>
      <c r="E41" s="194"/>
    </row>
    <row r="42" spans="1:10" x14ac:dyDescent="0.75">
      <c r="A42" s="2" t="s">
        <v>258</v>
      </c>
      <c r="B42" s="196">
        <v>500</v>
      </c>
    </row>
    <row r="43" spans="1:10" x14ac:dyDescent="0.75">
      <c r="A43" s="2" t="s">
        <v>259</v>
      </c>
      <c r="B43" s="196">
        <v>1000</v>
      </c>
    </row>
    <row r="44" spans="1:10" x14ac:dyDescent="0.75">
      <c r="A44" s="2" t="s">
        <v>335</v>
      </c>
      <c r="B44" s="197"/>
    </row>
    <row r="45" spans="1:10" x14ac:dyDescent="0.75">
      <c r="A45" s="2" t="s">
        <v>336</v>
      </c>
      <c r="B45" s="197"/>
      <c r="C45" t="s">
        <v>236</v>
      </c>
      <c r="D45" s="262"/>
      <c r="E45" s="262"/>
      <c r="F45" s="262"/>
      <c r="G45" s="262"/>
      <c r="H45" s="262"/>
      <c r="I45" s="262"/>
      <c r="J45" s="262"/>
    </row>
    <row r="46" spans="1:10" x14ac:dyDescent="0.75">
      <c r="A46" s="2" t="s">
        <v>335</v>
      </c>
      <c r="B46" s="251"/>
    </row>
    <row r="47" spans="1:10" x14ac:dyDescent="0.75">
      <c r="A47" s="2" t="s">
        <v>336</v>
      </c>
      <c r="B47" s="251"/>
    </row>
  </sheetData>
  <mergeCells count="5">
    <mergeCell ref="D45:J45"/>
    <mergeCell ref="D4:J4"/>
    <mergeCell ref="D20:J20"/>
    <mergeCell ref="D29:J29"/>
    <mergeCell ref="D37:J37"/>
  </mergeCells>
  <phoneticPr fontId="28" type="noConversion"/>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2666A-2244-4A69-B122-4F02345BFF2D}">
  <sheetPr codeName="Sheet35">
    <tabColor rgb="FF00FF00"/>
    <pageSetUpPr fitToPage="1"/>
  </sheetPr>
  <dimension ref="A1:Y42"/>
  <sheetViews>
    <sheetView zoomScale="70" zoomScaleNormal="70" workbookViewId="0">
      <selection activeCell="L12" sqref="L12"/>
    </sheetView>
  </sheetViews>
  <sheetFormatPr defaultRowHeight="14.75" x14ac:dyDescent="0.75"/>
  <cols>
    <col min="1" max="1" width="24.76953125" customWidth="1"/>
    <col min="2" max="2" width="9.2265625" bestFit="1" customWidth="1"/>
    <col min="3" max="3" width="3" customWidth="1"/>
    <col min="4" max="4" width="24.76953125" customWidth="1"/>
    <col min="5" max="5" width="9.2265625" bestFit="1" customWidth="1"/>
    <col min="7" max="7" width="35.54296875" customWidth="1"/>
    <col min="8" max="8" width="3" customWidth="1"/>
    <col min="11" max="11" width="35.54296875" customWidth="1"/>
    <col min="12" max="12" width="3" customWidth="1"/>
    <col min="13" max="13" width="6.76953125" bestFit="1" customWidth="1"/>
    <col min="24" max="24" width="18.453125" bestFit="1" customWidth="1"/>
    <col min="25" max="25" width="17.54296875" bestFit="1" customWidth="1"/>
  </cols>
  <sheetData>
    <row r="1" spans="1:25" x14ac:dyDescent="0.75">
      <c r="A1" s="112" t="s">
        <v>561</v>
      </c>
      <c r="B1" s="112"/>
      <c r="C1" s="112"/>
      <c r="D1" s="112"/>
      <c r="E1" s="112"/>
      <c r="G1" s="112" t="s">
        <v>562</v>
      </c>
      <c r="H1" s="112"/>
      <c r="I1" s="112"/>
      <c r="J1" s="112"/>
      <c r="K1" s="112"/>
      <c r="L1" s="112"/>
      <c r="M1" s="112"/>
      <c r="X1" s="99" t="s">
        <v>563</v>
      </c>
      <c r="Y1" s="99"/>
    </row>
    <row r="2" spans="1:25" x14ac:dyDescent="0.75">
      <c r="X2" t="s">
        <v>564</v>
      </c>
      <c r="Y2" t="s">
        <v>565</v>
      </c>
    </row>
    <row r="3" spans="1:25" x14ac:dyDescent="0.75">
      <c r="A3" s="110" t="str">
        <f>$Y$2</f>
        <v>RAD Corp</v>
      </c>
      <c r="B3" s="110"/>
      <c r="C3" s="110"/>
      <c r="D3" s="110"/>
      <c r="E3" s="110"/>
      <c r="G3" s="110" t="str">
        <f>$Y$2</f>
        <v>RAD Corp</v>
      </c>
      <c r="H3" s="110"/>
      <c r="I3" s="110"/>
      <c r="K3" s="110" t="str">
        <f>$Y$2</f>
        <v>RAD Corp</v>
      </c>
      <c r="L3" s="110"/>
      <c r="M3" s="110"/>
      <c r="O3" s="17"/>
      <c r="X3" t="s">
        <v>566</v>
      </c>
      <c r="Y3" s="100">
        <v>38352</v>
      </c>
    </row>
    <row r="4" spans="1:25" x14ac:dyDescent="0.75">
      <c r="A4" s="111" t="str">
        <f>$Y$5</f>
        <v>Balance Sheet</v>
      </c>
      <c r="B4" s="110"/>
      <c r="C4" s="110"/>
      <c r="D4" s="110"/>
      <c r="E4" s="110"/>
      <c r="G4" s="111" t="str">
        <f>$Y$6</f>
        <v>Income Statement</v>
      </c>
      <c r="H4" s="110"/>
      <c r="I4" s="110"/>
      <c r="K4" s="111" t="str">
        <f>$Y$6</f>
        <v>Income Statement</v>
      </c>
      <c r="L4" s="110"/>
      <c r="M4" s="110"/>
      <c r="X4" t="s">
        <v>567</v>
      </c>
      <c r="Y4" s="100">
        <f>Y3+365</f>
        <v>38717</v>
      </c>
    </row>
    <row r="5" spans="1:25" x14ac:dyDescent="0.75">
      <c r="A5" s="110" t="str">
        <f>"As of "&amp;TEXT($Y$4,"m/d/yyy")</f>
        <v>As of 12/31/2005</v>
      </c>
      <c r="B5" s="110"/>
      <c r="C5" s="110"/>
      <c r="D5" s="110"/>
      <c r="E5" s="110"/>
      <c r="G5" s="110" t="str">
        <f>"For The Year Ended "&amp;TEXT($Y$4,"m/d/yyy")</f>
        <v>For The Year Ended 12/31/2005</v>
      </c>
      <c r="H5" s="110"/>
      <c r="I5" s="110"/>
      <c r="K5" s="110" t="str">
        <f>"For The Year Ended "&amp;TEXT($Y$4,"m/d/yyy")</f>
        <v>For The Year Ended 12/31/2005</v>
      </c>
      <c r="L5" s="110"/>
      <c r="M5" s="110"/>
      <c r="O5" s="17"/>
      <c r="X5" t="s">
        <v>568</v>
      </c>
      <c r="Y5" s="100" t="s">
        <v>569</v>
      </c>
    </row>
    <row r="6" spans="1:25" x14ac:dyDescent="0.75">
      <c r="A6" t="s">
        <v>573</v>
      </c>
      <c r="B6" s="17">
        <v>6489</v>
      </c>
      <c r="C6" s="17"/>
      <c r="D6" t="s">
        <v>574</v>
      </c>
      <c r="E6" s="17">
        <v>340220</v>
      </c>
      <c r="G6" t="s">
        <v>587</v>
      </c>
      <c r="I6" s="17">
        <v>3991997</v>
      </c>
      <c r="K6" t="s">
        <v>587</v>
      </c>
      <c r="M6" s="101"/>
      <c r="Y6" s="100" t="s">
        <v>570</v>
      </c>
    </row>
    <row r="7" spans="1:25" x14ac:dyDescent="0.75">
      <c r="A7" t="s">
        <v>575</v>
      </c>
      <c r="B7" s="17">
        <v>1052606</v>
      </c>
      <c r="C7" s="17"/>
      <c r="D7" t="s">
        <v>576</v>
      </c>
      <c r="E7" s="17">
        <v>86631</v>
      </c>
      <c r="G7" t="s">
        <v>588</v>
      </c>
      <c r="I7" s="17">
        <v>1738125</v>
      </c>
      <c r="K7" t="s">
        <v>588</v>
      </c>
      <c r="M7" s="101"/>
      <c r="X7" t="s">
        <v>571</v>
      </c>
      <c r="Y7">
        <v>166735</v>
      </c>
    </row>
    <row r="8" spans="1:25" x14ac:dyDescent="0.75">
      <c r="A8" t="s">
        <v>577</v>
      </c>
      <c r="B8" s="17">
        <v>295255</v>
      </c>
      <c r="C8" s="17"/>
      <c r="D8" t="s">
        <v>578</v>
      </c>
      <c r="E8" s="102">
        <v>1098602</v>
      </c>
      <c r="G8" t="s">
        <v>589</v>
      </c>
      <c r="I8" s="17">
        <v>1269479</v>
      </c>
      <c r="K8" t="s">
        <v>589</v>
      </c>
      <c r="M8" s="101"/>
      <c r="X8" t="s">
        <v>572</v>
      </c>
      <c r="Y8">
        <v>143392</v>
      </c>
    </row>
    <row r="9" spans="1:25" x14ac:dyDescent="0.75">
      <c r="A9" t="s">
        <v>579</v>
      </c>
      <c r="B9" s="102">
        <v>199375</v>
      </c>
      <c r="C9" s="17"/>
      <c r="D9" t="s">
        <v>580</v>
      </c>
      <c r="E9" s="17">
        <f>SUM(E6:E8)</f>
        <v>1525453</v>
      </c>
      <c r="G9" t="s">
        <v>493</v>
      </c>
      <c r="I9" s="102">
        <v>308355</v>
      </c>
      <c r="K9" t="s">
        <v>493</v>
      </c>
      <c r="M9" s="103"/>
    </row>
    <row r="10" spans="1:25" x14ac:dyDescent="0.75">
      <c r="A10" t="s">
        <v>581</v>
      </c>
      <c r="B10" s="17">
        <f>SUM(B6:B9)</f>
        <v>1553725</v>
      </c>
      <c r="C10" s="17"/>
      <c r="D10" t="s">
        <v>582</v>
      </c>
      <c r="E10" s="102">
        <v>871851</v>
      </c>
      <c r="G10" t="s">
        <v>492</v>
      </c>
      <c r="I10" s="17">
        <f>I6-SUM(I7:I9)</f>
        <v>676038</v>
      </c>
      <c r="K10" t="s">
        <v>492</v>
      </c>
      <c r="M10" s="101"/>
    </row>
    <row r="11" spans="1:25" x14ac:dyDescent="0.75">
      <c r="A11" t="s">
        <v>583</v>
      </c>
      <c r="B11" s="102">
        <v>2535072</v>
      </c>
      <c r="C11" s="17"/>
      <c r="D11" t="s">
        <v>584</v>
      </c>
      <c r="E11" s="17">
        <f>SUM(E9:E10)</f>
        <v>2397304</v>
      </c>
      <c r="G11" t="s">
        <v>855</v>
      </c>
      <c r="I11" s="102">
        <v>42013</v>
      </c>
      <c r="K11" t="s">
        <v>855</v>
      </c>
      <c r="M11" s="103"/>
    </row>
    <row r="12" spans="1:25" x14ac:dyDescent="0.75">
      <c r="D12" t="s">
        <v>585</v>
      </c>
      <c r="E12" s="102">
        <v>1691493</v>
      </c>
      <c r="G12" t="s">
        <v>590</v>
      </c>
      <c r="I12" s="17">
        <f>I10-I11</f>
        <v>634025</v>
      </c>
      <c r="K12" t="s">
        <v>590</v>
      </c>
      <c r="M12" s="101"/>
    </row>
    <row r="13" spans="1:25" ht="15.5" thickBot="1" x14ac:dyDescent="0.9">
      <c r="A13" t="s">
        <v>861</v>
      </c>
      <c r="B13" s="105">
        <f>SUM(B10:B11)</f>
        <v>4088797</v>
      </c>
      <c r="C13" s="17"/>
      <c r="D13" t="s">
        <v>586</v>
      </c>
      <c r="E13" s="106">
        <f>SUM(E11:E12)</f>
        <v>4088797</v>
      </c>
      <c r="G13" t="s">
        <v>494</v>
      </c>
      <c r="I13" s="102">
        <v>272210</v>
      </c>
      <c r="K13" t="s">
        <v>494</v>
      </c>
      <c r="M13" s="103"/>
    </row>
    <row r="14" spans="1:25" ht="16.25" thickTop="1" thickBot="1" x14ac:dyDescent="0.9">
      <c r="A14" s="108"/>
      <c r="B14" s="108"/>
      <c r="C14" s="108"/>
      <c r="D14" s="108"/>
      <c r="E14" s="108"/>
      <c r="G14" t="s">
        <v>858</v>
      </c>
      <c r="I14" s="106">
        <f>I12-I13</f>
        <v>361815</v>
      </c>
      <c r="K14" t="s">
        <v>858</v>
      </c>
      <c r="M14" s="107"/>
    </row>
    <row r="15" spans="1:25" ht="15.5" thickTop="1" x14ac:dyDescent="0.75">
      <c r="I15" s="17"/>
      <c r="M15" s="17"/>
    </row>
    <row r="16" spans="1:25" x14ac:dyDescent="0.75">
      <c r="A16" s="110" t="str">
        <f>$Y$2</f>
        <v>RAD Corp</v>
      </c>
      <c r="B16" s="110"/>
      <c r="C16" s="110"/>
      <c r="D16" s="110"/>
      <c r="E16" s="110"/>
      <c r="G16" t="s">
        <v>591</v>
      </c>
      <c r="I16" s="109">
        <f>I14/$Y$7</f>
        <v>2.1700002998770502</v>
      </c>
      <c r="K16" t="s">
        <v>591</v>
      </c>
      <c r="M16" s="109">
        <f>$I$14/$Y$7</f>
        <v>2.1700002998770502</v>
      </c>
    </row>
    <row r="17" spans="1:13" x14ac:dyDescent="0.75">
      <c r="A17" s="111" t="str">
        <f>$Y$5</f>
        <v>Balance Sheet</v>
      </c>
      <c r="B17" s="110"/>
      <c r="C17" s="110"/>
      <c r="D17" s="110"/>
      <c r="E17" s="110"/>
      <c r="G17" t="s">
        <v>592</v>
      </c>
      <c r="I17" s="109">
        <f>$Y$8/$Y$7</f>
        <v>0.85999940024589916</v>
      </c>
      <c r="K17" t="s">
        <v>592</v>
      </c>
      <c r="M17" s="109">
        <f>$Y$8/$Y$7</f>
        <v>0.85999940024589916</v>
      </c>
    </row>
    <row r="18" spans="1:13" ht="15.5" thickBot="1" x14ac:dyDescent="0.9">
      <c r="A18" s="110" t="str">
        <f>"As of "&amp;TEXT($Y$4,"m/d/yyy")</f>
        <v>As of 12/31/2005</v>
      </c>
      <c r="B18" s="110"/>
      <c r="C18" s="110"/>
      <c r="D18" s="110"/>
      <c r="E18" s="110"/>
      <c r="G18" s="108"/>
      <c r="H18" s="108"/>
      <c r="I18" s="108"/>
      <c r="K18" s="108"/>
      <c r="L18" s="108"/>
      <c r="M18" s="108"/>
    </row>
    <row r="19" spans="1:13" ht="15.5" thickTop="1" x14ac:dyDescent="0.75">
      <c r="A19" t="s">
        <v>573</v>
      </c>
      <c r="B19" s="101"/>
      <c r="C19" s="17"/>
      <c r="D19" t="s">
        <v>574</v>
      </c>
      <c r="E19" s="101"/>
    </row>
    <row r="20" spans="1:13" x14ac:dyDescent="0.75">
      <c r="A20" t="s">
        <v>575</v>
      </c>
      <c r="B20" s="101"/>
      <c r="C20" s="17"/>
      <c r="D20" t="s">
        <v>576</v>
      </c>
      <c r="E20" s="101"/>
    </row>
    <row r="21" spans="1:13" x14ac:dyDescent="0.75">
      <c r="A21" t="s">
        <v>577</v>
      </c>
      <c r="B21" s="101"/>
      <c r="C21" s="17"/>
      <c r="D21" t="s">
        <v>578</v>
      </c>
      <c r="E21" s="103"/>
    </row>
    <row r="22" spans="1:13" x14ac:dyDescent="0.75">
      <c r="A22" t="s">
        <v>579</v>
      </c>
      <c r="B22" s="103"/>
      <c r="C22" s="17"/>
      <c r="D22" t="s">
        <v>580</v>
      </c>
      <c r="E22" s="101"/>
    </row>
    <row r="23" spans="1:13" x14ac:dyDescent="0.75">
      <c r="A23" t="s">
        <v>581</v>
      </c>
      <c r="B23" s="101"/>
      <c r="C23" s="17"/>
      <c r="D23" t="s">
        <v>582</v>
      </c>
      <c r="E23" s="103"/>
    </row>
    <row r="24" spans="1:13" x14ac:dyDescent="0.75">
      <c r="A24" t="s">
        <v>583</v>
      </c>
      <c r="B24" s="103"/>
      <c r="C24" s="17"/>
      <c r="D24" t="s">
        <v>584</v>
      </c>
      <c r="E24" s="101"/>
    </row>
    <row r="25" spans="1:13" x14ac:dyDescent="0.75">
      <c r="D25" t="s">
        <v>585</v>
      </c>
      <c r="E25" s="104"/>
    </row>
    <row r="26" spans="1:13" ht="15.5" thickBot="1" x14ac:dyDescent="0.9">
      <c r="A26" t="s">
        <v>861</v>
      </c>
      <c r="B26" s="107"/>
      <c r="C26" s="17"/>
      <c r="D26" t="s">
        <v>586</v>
      </c>
      <c r="E26" s="107"/>
    </row>
    <row r="27" spans="1:13" ht="16.25" thickTop="1" thickBot="1" x14ac:dyDescent="0.9">
      <c r="A27" s="108"/>
      <c r="B27" s="108"/>
      <c r="C27" s="108"/>
      <c r="D27" s="108"/>
      <c r="E27" s="108"/>
    </row>
    <row r="28" spans="1:13" ht="15.5" thickTop="1" x14ac:dyDescent="0.75"/>
    <row r="40" spans="4:5" x14ac:dyDescent="0.75">
      <c r="D40" s="17"/>
      <c r="E40" s="17"/>
    </row>
    <row r="42" spans="4:5" x14ac:dyDescent="0.75">
      <c r="D42" s="17"/>
      <c r="E42" s="17"/>
    </row>
  </sheetData>
  <phoneticPr fontId="28" type="noConversion"/>
  <printOptions horizontalCentered="1"/>
  <pageMargins left="0.7" right="0.7" top="0.75" bottom="0.75" header="0.3" footer="0.3"/>
  <pageSetup scale="39" fitToHeight="0" orientation="landscape" r:id="rId1"/>
  <headerFooter>
    <oddHeader>&amp;L&amp;F&amp;C&amp;A&amp;RPage &amp;P of &amp;N</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E9EEBD-18C6-4B0F-88B4-C735CD7241D0}">
  <sheetPr codeName="Sheet36">
    <tabColor rgb="FF00FF00"/>
    <pageSetUpPr fitToPage="1"/>
  </sheetPr>
  <dimension ref="A1:W820"/>
  <sheetViews>
    <sheetView topLeftCell="A22" zoomScale="70" zoomScaleNormal="70" workbookViewId="0">
      <selection activeCell="L12" sqref="L12"/>
    </sheetView>
  </sheetViews>
  <sheetFormatPr defaultRowHeight="14.75" x14ac:dyDescent="0.75"/>
  <cols>
    <col min="1" max="1" width="72.54296875" bestFit="1" customWidth="1"/>
    <col min="8" max="8" width="16.2265625" bestFit="1" customWidth="1"/>
  </cols>
  <sheetData>
    <row r="1" spans="1:8" x14ac:dyDescent="0.75">
      <c r="A1" s="77" t="s">
        <v>923</v>
      </c>
      <c r="B1" s="77" t="s">
        <v>483</v>
      </c>
    </row>
    <row r="3" spans="1:8" x14ac:dyDescent="0.75">
      <c r="A3" s="26" t="s">
        <v>924</v>
      </c>
    </row>
    <row r="4" spans="1:8" x14ac:dyDescent="0.75">
      <c r="A4" s="26" t="s">
        <v>925</v>
      </c>
    </row>
    <row r="5" spans="1:8" x14ac:dyDescent="0.75">
      <c r="A5" s="25" t="s">
        <v>926</v>
      </c>
    </row>
    <row r="6" spans="1:8" x14ac:dyDescent="0.75">
      <c r="A6" s="25" t="s">
        <v>927</v>
      </c>
    </row>
    <row r="7" spans="1:8" x14ac:dyDescent="0.75">
      <c r="A7" s="27"/>
    </row>
    <row r="8" spans="1:8" x14ac:dyDescent="0.75">
      <c r="A8" s="28"/>
      <c r="B8" s="28"/>
      <c r="C8" s="28"/>
      <c r="D8" s="28"/>
      <c r="E8" s="28"/>
      <c r="F8" s="28"/>
      <c r="G8" s="28"/>
      <c r="H8" s="28"/>
    </row>
    <row r="9" spans="1:8" ht="15.5" thickBot="1" x14ac:dyDescent="0.9">
      <c r="A9" s="22" t="s">
        <v>922</v>
      </c>
      <c r="B9" s="22" t="s">
        <v>921</v>
      </c>
      <c r="C9" s="268">
        <v>2006</v>
      </c>
      <c r="D9" s="268"/>
      <c r="E9" s="22" t="s">
        <v>922</v>
      </c>
      <c r="F9" s="22" t="s">
        <v>922</v>
      </c>
      <c r="G9" s="268">
        <v>2005</v>
      </c>
      <c r="H9" s="268"/>
    </row>
    <row r="10" spans="1:8" x14ac:dyDescent="0.75">
      <c r="A10" s="31" t="s">
        <v>928</v>
      </c>
      <c r="B10" s="32" t="s">
        <v>921</v>
      </c>
      <c r="C10" s="33"/>
      <c r="D10" s="33"/>
      <c r="E10" s="33"/>
      <c r="F10" s="32" t="s">
        <v>922</v>
      </c>
      <c r="G10" s="33"/>
      <c r="H10" s="33"/>
    </row>
    <row r="11" spans="1:8" x14ac:dyDescent="0.75">
      <c r="A11" s="34" t="s">
        <v>929</v>
      </c>
      <c r="B11" s="22" t="s">
        <v>921</v>
      </c>
      <c r="C11" s="28"/>
      <c r="D11" s="28"/>
      <c r="E11" s="28"/>
      <c r="F11" s="22" t="s">
        <v>922</v>
      </c>
      <c r="G11" s="28"/>
      <c r="H11" s="28"/>
    </row>
    <row r="12" spans="1:8" x14ac:dyDescent="0.75">
      <c r="A12" s="35" t="s">
        <v>930</v>
      </c>
      <c r="B12" s="32" t="s">
        <v>921</v>
      </c>
      <c r="C12" s="36" t="s">
        <v>931</v>
      </c>
      <c r="D12" s="37">
        <v>2252</v>
      </c>
      <c r="E12" s="38" t="s">
        <v>922</v>
      </c>
      <c r="F12" s="32" t="s">
        <v>922</v>
      </c>
      <c r="G12" s="36" t="s">
        <v>931</v>
      </c>
      <c r="H12" s="37">
        <v>308524</v>
      </c>
    </row>
    <row r="13" spans="1:8" x14ac:dyDescent="0.75">
      <c r="A13" s="34" t="s">
        <v>932</v>
      </c>
      <c r="B13" s="22" t="s">
        <v>921</v>
      </c>
      <c r="C13" s="23" t="s">
        <v>922</v>
      </c>
      <c r="D13" s="24">
        <v>193847</v>
      </c>
      <c r="E13" s="25" t="s">
        <v>922</v>
      </c>
      <c r="F13" s="22" t="s">
        <v>922</v>
      </c>
      <c r="G13" s="23" t="s">
        <v>922</v>
      </c>
      <c r="H13" s="39" t="s">
        <v>933</v>
      </c>
    </row>
    <row r="14" spans="1:8" x14ac:dyDescent="0.75">
      <c r="A14" s="35" t="s">
        <v>934</v>
      </c>
      <c r="B14" s="32" t="s">
        <v>921</v>
      </c>
      <c r="C14" s="36" t="s">
        <v>922</v>
      </c>
      <c r="D14" s="37">
        <v>60065</v>
      </c>
      <c r="E14" s="38" t="s">
        <v>922</v>
      </c>
      <c r="F14" s="32" t="s">
        <v>922</v>
      </c>
      <c r="G14" s="36" t="s">
        <v>922</v>
      </c>
      <c r="H14" s="37">
        <v>36922</v>
      </c>
    </row>
    <row r="15" spans="1:8" x14ac:dyDescent="0.75">
      <c r="A15" s="34" t="s">
        <v>935</v>
      </c>
      <c r="B15" s="22" t="s">
        <v>921</v>
      </c>
      <c r="C15" s="23" t="s">
        <v>922</v>
      </c>
      <c r="D15" s="24">
        <v>82137</v>
      </c>
      <c r="E15" s="25" t="s">
        <v>922</v>
      </c>
      <c r="F15" s="22" t="s">
        <v>922</v>
      </c>
      <c r="G15" s="23" t="s">
        <v>922</v>
      </c>
      <c r="H15" s="24">
        <v>66682</v>
      </c>
    </row>
    <row r="16" spans="1:8" x14ac:dyDescent="0.75">
      <c r="A16" s="35" t="s">
        <v>936</v>
      </c>
      <c r="B16" s="32" t="s">
        <v>921</v>
      </c>
      <c r="C16" s="36" t="s">
        <v>922</v>
      </c>
      <c r="D16" s="37">
        <v>203727</v>
      </c>
      <c r="E16" s="38" t="s">
        <v>922</v>
      </c>
      <c r="F16" s="32" t="s">
        <v>922</v>
      </c>
      <c r="G16" s="36" t="s">
        <v>922</v>
      </c>
      <c r="H16" s="37">
        <v>174848</v>
      </c>
    </row>
    <row r="17" spans="1:8" x14ac:dyDescent="0.75">
      <c r="A17" s="34" t="s">
        <v>937</v>
      </c>
      <c r="B17" s="22" t="s">
        <v>921</v>
      </c>
      <c r="C17" s="23" t="s">
        <v>922</v>
      </c>
      <c r="D17" s="24">
        <v>33804</v>
      </c>
      <c r="E17" s="25" t="s">
        <v>922</v>
      </c>
      <c r="F17" s="22" t="s">
        <v>922</v>
      </c>
      <c r="G17" s="23" t="s">
        <v>922</v>
      </c>
      <c r="H17" s="24">
        <v>45965</v>
      </c>
    </row>
    <row r="18" spans="1:8" ht="15.5" thickBot="1" x14ac:dyDescent="0.9">
      <c r="A18" s="35" t="s">
        <v>938</v>
      </c>
      <c r="B18" s="32" t="s">
        <v>921</v>
      </c>
      <c r="C18" s="36" t="s">
        <v>922</v>
      </c>
      <c r="D18" s="37">
        <v>48149</v>
      </c>
      <c r="E18" s="38" t="s">
        <v>922</v>
      </c>
      <c r="F18" s="32" t="s">
        <v>922</v>
      </c>
      <c r="G18" s="36" t="s">
        <v>922</v>
      </c>
      <c r="H18" s="37">
        <v>39588</v>
      </c>
    </row>
    <row r="19" spans="1:8" x14ac:dyDescent="0.75">
      <c r="A19" s="40"/>
      <c r="B19" s="40" t="s">
        <v>939</v>
      </c>
      <c r="C19" s="41"/>
      <c r="D19" s="41"/>
      <c r="E19" s="40"/>
      <c r="F19" s="40"/>
      <c r="G19" s="41"/>
      <c r="H19" s="41"/>
    </row>
    <row r="20" spans="1:8" x14ac:dyDescent="0.75">
      <c r="A20" s="21" t="s">
        <v>940</v>
      </c>
      <c r="B20" s="22" t="s">
        <v>921</v>
      </c>
      <c r="C20" s="23" t="s">
        <v>922</v>
      </c>
      <c r="D20" s="24">
        <v>623981</v>
      </c>
      <c r="E20" s="25" t="s">
        <v>922</v>
      </c>
      <c r="F20" s="22" t="s">
        <v>922</v>
      </c>
      <c r="G20" s="23" t="s">
        <v>922</v>
      </c>
      <c r="H20" s="24">
        <v>672529</v>
      </c>
    </row>
    <row r="21" spans="1:8" x14ac:dyDescent="0.75">
      <c r="A21" s="35" t="s">
        <v>941</v>
      </c>
      <c r="B21" s="32" t="s">
        <v>921</v>
      </c>
      <c r="C21" s="36" t="s">
        <v>922</v>
      </c>
      <c r="D21" s="37">
        <v>1236133</v>
      </c>
      <c r="E21" s="38" t="s">
        <v>922</v>
      </c>
      <c r="F21" s="32" t="s">
        <v>922</v>
      </c>
      <c r="G21" s="36" t="s">
        <v>922</v>
      </c>
      <c r="H21" s="37">
        <v>1054605</v>
      </c>
    </row>
    <row r="22" spans="1:8" x14ac:dyDescent="0.75">
      <c r="A22" s="34" t="s">
        <v>942</v>
      </c>
      <c r="B22" s="22" t="s">
        <v>921</v>
      </c>
      <c r="C22" s="23" t="s">
        <v>922</v>
      </c>
      <c r="D22" s="24">
        <v>113494</v>
      </c>
      <c r="E22" s="25" t="s">
        <v>922</v>
      </c>
      <c r="F22" s="22" t="s">
        <v>922</v>
      </c>
      <c r="G22" s="23" t="s">
        <v>922</v>
      </c>
      <c r="H22" s="24">
        <v>112476</v>
      </c>
    </row>
    <row r="23" spans="1:8" x14ac:dyDescent="0.75">
      <c r="A23" s="35" t="s">
        <v>943</v>
      </c>
      <c r="B23" s="32" t="s">
        <v>921</v>
      </c>
      <c r="C23" s="36" t="s">
        <v>922</v>
      </c>
      <c r="D23" s="37">
        <v>34767</v>
      </c>
      <c r="E23" s="38" t="s">
        <v>922</v>
      </c>
      <c r="F23" s="32" t="s">
        <v>922</v>
      </c>
      <c r="G23" s="36" t="s">
        <v>922</v>
      </c>
      <c r="H23" s="37">
        <v>21990</v>
      </c>
    </row>
    <row r="24" spans="1:8" x14ac:dyDescent="0.75">
      <c r="A24" s="34" t="s">
        <v>938</v>
      </c>
      <c r="B24" s="22" t="s">
        <v>921</v>
      </c>
      <c r="C24" s="23" t="s">
        <v>922</v>
      </c>
      <c r="D24" s="24">
        <v>29412</v>
      </c>
      <c r="E24" s="25" t="s">
        <v>922</v>
      </c>
      <c r="F24" s="22" t="s">
        <v>922</v>
      </c>
      <c r="G24" s="23" t="s">
        <v>922</v>
      </c>
      <c r="H24" s="24">
        <v>22452</v>
      </c>
    </row>
    <row r="25" spans="1:8" ht="15.5" thickBot="1" x14ac:dyDescent="0.9">
      <c r="A25" s="35" t="s">
        <v>944</v>
      </c>
      <c r="B25" s="32" t="s">
        <v>921</v>
      </c>
      <c r="C25" s="36" t="s">
        <v>922</v>
      </c>
      <c r="D25" s="37">
        <v>5209</v>
      </c>
      <c r="E25" s="38" t="s">
        <v>922</v>
      </c>
      <c r="F25" s="32" t="s">
        <v>922</v>
      </c>
      <c r="G25" s="36" t="s">
        <v>922</v>
      </c>
      <c r="H25" s="37">
        <v>5244</v>
      </c>
    </row>
    <row r="26" spans="1:8" x14ac:dyDescent="0.75">
      <c r="A26" s="40"/>
      <c r="B26" s="40" t="s">
        <v>939</v>
      </c>
      <c r="C26" s="41"/>
      <c r="D26" s="41"/>
      <c r="E26" s="40"/>
      <c r="F26" s="40"/>
      <c r="G26" s="41"/>
      <c r="H26" s="41"/>
    </row>
    <row r="27" spans="1:8" ht="15.5" thickBot="1" x14ac:dyDescent="0.9">
      <c r="A27" s="21" t="s">
        <v>945</v>
      </c>
      <c r="B27" s="22" t="s">
        <v>921</v>
      </c>
      <c r="C27" s="23" t="s">
        <v>931</v>
      </c>
      <c r="D27" s="24">
        <v>2042996</v>
      </c>
      <c r="E27" s="25" t="s">
        <v>922</v>
      </c>
      <c r="F27" s="22" t="s">
        <v>922</v>
      </c>
      <c r="G27" s="23" t="s">
        <v>931</v>
      </c>
      <c r="H27" s="24">
        <v>1889296</v>
      </c>
    </row>
    <row r="28" spans="1:8" ht="15.5" thickTop="1" x14ac:dyDescent="0.75">
      <c r="A28" s="40"/>
      <c r="B28" s="40" t="s">
        <v>939</v>
      </c>
      <c r="C28" s="42"/>
      <c r="D28" s="42"/>
      <c r="E28" s="40"/>
      <c r="F28" s="40"/>
      <c r="G28" s="42"/>
      <c r="H28" s="42"/>
    </row>
    <row r="29" spans="1:8" x14ac:dyDescent="0.75">
      <c r="A29" s="28"/>
      <c r="B29" s="271"/>
      <c r="C29" s="271"/>
      <c r="D29" s="271"/>
      <c r="E29" s="271"/>
      <c r="F29" s="271"/>
      <c r="G29" s="271"/>
      <c r="H29" s="271"/>
    </row>
    <row r="30" spans="1:8" ht="15.5" thickBot="1" x14ac:dyDescent="0.9">
      <c r="A30" s="22" t="s">
        <v>922</v>
      </c>
      <c r="B30" s="22" t="s">
        <v>921</v>
      </c>
      <c r="C30" s="268">
        <v>2006</v>
      </c>
      <c r="D30" s="268"/>
      <c r="E30" s="22" t="s">
        <v>922</v>
      </c>
      <c r="F30" s="22" t="s">
        <v>922</v>
      </c>
      <c r="G30" s="268">
        <v>2005</v>
      </c>
      <c r="H30" s="268"/>
    </row>
    <row r="31" spans="1:8" x14ac:dyDescent="0.75">
      <c r="A31" s="43" t="s">
        <v>946</v>
      </c>
      <c r="B31" s="32" t="s">
        <v>921</v>
      </c>
      <c r="C31" s="33"/>
      <c r="D31" s="33"/>
      <c r="E31" s="33"/>
      <c r="F31" s="32" t="s">
        <v>922</v>
      </c>
      <c r="G31" s="33"/>
      <c r="H31" s="33"/>
    </row>
    <row r="32" spans="1:8" x14ac:dyDescent="0.75">
      <c r="A32" s="34" t="s">
        <v>947</v>
      </c>
      <c r="B32" s="22" t="s">
        <v>921</v>
      </c>
      <c r="C32" s="28"/>
      <c r="D32" s="28"/>
      <c r="E32" s="28"/>
      <c r="F32" s="22" t="s">
        <v>922</v>
      </c>
      <c r="G32" s="28"/>
      <c r="H32" s="28"/>
    </row>
    <row r="33" spans="1:8" x14ac:dyDescent="0.75">
      <c r="A33" s="35" t="s">
        <v>948</v>
      </c>
      <c r="B33" s="32" t="s">
        <v>921</v>
      </c>
      <c r="C33" s="36" t="s">
        <v>931</v>
      </c>
      <c r="D33" s="44">
        <v>49</v>
      </c>
      <c r="E33" s="38" t="s">
        <v>922</v>
      </c>
      <c r="F33" s="32" t="s">
        <v>922</v>
      </c>
      <c r="G33" s="36" t="s">
        <v>931</v>
      </c>
      <c r="H33" s="37">
        <v>5932</v>
      </c>
    </row>
    <row r="34" spans="1:8" x14ac:dyDescent="0.75">
      <c r="A34" s="34" t="s">
        <v>949</v>
      </c>
      <c r="B34" s="22" t="s">
        <v>921</v>
      </c>
      <c r="C34" s="23" t="s">
        <v>922</v>
      </c>
      <c r="D34" s="24">
        <v>121857</v>
      </c>
      <c r="E34" s="25" t="s">
        <v>922</v>
      </c>
      <c r="F34" s="22" t="s">
        <v>922</v>
      </c>
      <c r="G34" s="23" t="s">
        <v>922</v>
      </c>
      <c r="H34" s="24">
        <v>103348</v>
      </c>
    </row>
    <row r="35" spans="1:8" x14ac:dyDescent="0.75">
      <c r="A35" s="35" t="s">
        <v>950</v>
      </c>
      <c r="B35" s="32" t="s">
        <v>921</v>
      </c>
      <c r="C35" s="36" t="s">
        <v>922</v>
      </c>
      <c r="D35" s="37">
        <v>153014</v>
      </c>
      <c r="E35" s="38" t="s">
        <v>922</v>
      </c>
      <c r="F35" s="32" t="s">
        <v>922</v>
      </c>
      <c r="G35" s="36" t="s">
        <v>922</v>
      </c>
      <c r="H35" s="37">
        <v>126981</v>
      </c>
    </row>
    <row r="36" spans="1:8" x14ac:dyDescent="0.75">
      <c r="A36" s="34" t="s">
        <v>951</v>
      </c>
      <c r="B36" s="22" t="s">
        <v>921</v>
      </c>
      <c r="C36" s="23" t="s">
        <v>922</v>
      </c>
      <c r="D36" s="39" t="s">
        <v>933</v>
      </c>
      <c r="E36" s="25" t="s">
        <v>922</v>
      </c>
      <c r="F36" s="22" t="s">
        <v>922</v>
      </c>
      <c r="G36" s="23" t="s">
        <v>922</v>
      </c>
      <c r="H36" s="24">
        <v>17208</v>
      </c>
    </row>
    <row r="37" spans="1:8" ht="15.5" thickBot="1" x14ac:dyDescent="0.9">
      <c r="A37" s="35" t="s">
        <v>952</v>
      </c>
      <c r="B37" s="32" t="s">
        <v>921</v>
      </c>
      <c r="C37" s="36" t="s">
        <v>922</v>
      </c>
      <c r="D37" s="37">
        <v>234850</v>
      </c>
      <c r="E37" s="38" t="s">
        <v>922</v>
      </c>
      <c r="F37" s="32" t="s">
        <v>922</v>
      </c>
      <c r="G37" s="36" t="s">
        <v>922</v>
      </c>
      <c r="H37" s="37">
        <v>164914</v>
      </c>
    </row>
    <row r="38" spans="1:8" x14ac:dyDescent="0.75">
      <c r="A38" s="40"/>
      <c r="B38" s="40" t="s">
        <v>939</v>
      </c>
      <c r="C38" s="41"/>
      <c r="D38" s="41"/>
      <c r="E38" s="40"/>
      <c r="F38" s="40"/>
      <c r="G38" s="41"/>
      <c r="H38" s="41"/>
    </row>
    <row r="39" spans="1:8" x14ac:dyDescent="0.75">
      <c r="A39" s="21" t="s">
        <v>953</v>
      </c>
      <c r="B39" s="22" t="s">
        <v>921</v>
      </c>
      <c r="C39" s="23" t="s">
        <v>922</v>
      </c>
      <c r="D39" s="24">
        <v>509770</v>
      </c>
      <c r="E39" s="25" t="s">
        <v>922</v>
      </c>
      <c r="F39" s="22" t="s">
        <v>922</v>
      </c>
      <c r="G39" s="23" t="s">
        <v>922</v>
      </c>
      <c r="H39" s="24">
        <v>418383</v>
      </c>
    </row>
    <row r="40" spans="1:8" x14ac:dyDescent="0.75">
      <c r="A40" s="35" t="s">
        <v>954</v>
      </c>
      <c r="B40" s="32" t="s">
        <v>921</v>
      </c>
      <c r="C40" s="36" t="s">
        <v>922</v>
      </c>
      <c r="D40" s="37">
        <v>8606</v>
      </c>
      <c r="E40" s="38" t="s">
        <v>922</v>
      </c>
      <c r="F40" s="32" t="s">
        <v>922</v>
      </c>
      <c r="G40" s="36" t="s">
        <v>922</v>
      </c>
      <c r="H40" s="37">
        <v>12932</v>
      </c>
    </row>
    <row r="41" spans="1:8" x14ac:dyDescent="0.75">
      <c r="A41" s="34" t="s">
        <v>955</v>
      </c>
      <c r="B41" s="22" t="s">
        <v>921</v>
      </c>
      <c r="C41" s="23" t="s">
        <v>922</v>
      </c>
      <c r="D41" s="24">
        <v>120421</v>
      </c>
      <c r="E41" s="25" t="s">
        <v>922</v>
      </c>
      <c r="F41" s="22" t="s">
        <v>922</v>
      </c>
      <c r="G41" s="23" t="s">
        <v>922</v>
      </c>
      <c r="H41" s="24">
        <v>91775</v>
      </c>
    </row>
    <row r="42" spans="1:8" ht="15.5" thickBot="1" x14ac:dyDescent="0.9">
      <c r="A42" s="35" t="s">
        <v>956</v>
      </c>
      <c r="B42" s="32" t="s">
        <v>921</v>
      </c>
      <c r="C42" s="36" t="s">
        <v>922</v>
      </c>
      <c r="D42" s="44">
        <v>56</v>
      </c>
      <c r="E42" s="38" t="s">
        <v>922</v>
      </c>
      <c r="F42" s="32" t="s">
        <v>922</v>
      </c>
      <c r="G42" s="36" t="s">
        <v>922</v>
      </c>
      <c r="H42" s="44">
        <v>530</v>
      </c>
    </row>
    <row r="43" spans="1:8" x14ac:dyDescent="0.75">
      <c r="A43" s="40"/>
      <c r="B43" s="40" t="s">
        <v>939</v>
      </c>
      <c r="C43" s="41"/>
      <c r="D43" s="41"/>
      <c r="E43" s="40"/>
      <c r="F43" s="40"/>
      <c r="G43" s="41"/>
      <c r="H43" s="41"/>
    </row>
    <row r="44" spans="1:8" ht="15.5" thickBot="1" x14ac:dyDescent="0.9">
      <c r="A44" s="21" t="s">
        <v>957</v>
      </c>
      <c r="B44" s="22" t="s">
        <v>921</v>
      </c>
      <c r="C44" s="23" t="s">
        <v>922</v>
      </c>
      <c r="D44" s="24">
        <v>638853</v>
      </c>
      <c r="E44" s="25" t="s">
        <v>922</v>
      </c>
      <c r="F44" s="22" t="s">
        <v>922</v>
      </c>
      <c r="G44" s="23" t="s">
        <v>922</v>
      </c>
      <c r="H44" s="24">
        <v>523620</v>
      </c>
    </row>
    <row r="45" spans="1:8" x14ac:dyDescent="0.75">
      <c r="A45" s="40"/>
      <c r="B45" s="40" t="s">
        <v>939</v>
      </c>
      <c r="C45" s="41"/>
      <c r="D45" s="41"/>
      <c r="E45" s="40"/>
      <c r="F45" s="40"/>
      <c r="G45" s="41"/>
      <c r="H45" s="41"/>
    </row>
    <row r="46" spans="1:8" x14ac:dyDescent="0.75">
      <c r="A46" s="35" t="s">
        <v>958</v>
      </c>
      <c r="B46" s="32" t="s">
        <v>921</v>
      </c>
      <c r="C46" s="33"/>
      <c r="D46" s="33"/>
      <c r="E46" s="33"/>
      <c r="F46" s="32" t="s">
        <v>922</v>
      </c>
      <c r="G46" s="33"/>
      <c r="H46" s="33"/>
    </row>
    <row r="47" spans="1:8" x14ac:dyDescent="0.75">
      <c r="A47" s="34" t="s">
        <v>959</v>
      </c>
      <c r="B47" s="269" t="s">
        <v>921</v>
      </c>
      <c r="C47" s="278" t="s">
        <v>922</v>
      </c>
      <c r="D47" s="279">
        <v>1147872</v>
      </c>
      <c r="E47" s="277" t="s">
        <v>922</v>
      </c>
      <c r="F47" s="269" t="s">
        <v>922</v>
      </c>
      <c r="G47" s="278" t="s">
        <v>922</v>
      </c>
      <c r="H47" s="279">
        <v>874972</v>
      </c>
    </row>
    <row r="48" spans="1:8" x14ac:dyDescent="0.75">
      <c r="A48" s="34" t="s">
        <v>960</v>
      </c>
      <c r="B48" s="269"/>
      <c r="C48" s="278"/>
      <c r="D48" s="279"/>
      <c r="E48" s="277"/>
      <c r="F48" s="269"/>
      <c r="G48" s="278"/>
      <c r="H48" s="279"/>
    </row>
    <row r="49" spans="1:8" x14ac:dyDescent="0.75">
      <c r="A49" s="34" t="s">
        <v>961</v>
      </c>
      <c r="B49" s="269"/>
      <c r="C49" s="278"/>
      <c r="D49" s="279"/>
      <c r="E49" s="277"/>
      <c r="F49" s="269"/>
      <c r="G49" s="278"/>
      <c r="H49" s="279"/>
    </row>
    <row r="50" spans="1:8" x14ac:dyDescent="0.75">
      <c r="A50" s="35" t="s">
        <v>962</v>
      </c>
      <c r="B50" s="32" t="s">
        <v>921</v>
      </c>
      <c r="C50" s="36" t="s">
        <v>922</v>
      </c>
      <c r="D50" s="44" t="s">
        <v>963</v>
      </c>
      <c r="E50" s="38" t="s">
        <v>964</v>
      </c>
      <c r="F50" s="32" t="s">
        <v>922</v>
      </c>
      <c r="G50" s="36" t="s">
        <v>922</v>
      </c>
      <c r="H50" s="44" t="s">
        <v>933</v>
      </c>
    </row>
    <row r="51" spans="1:8" x14ac:dyDescent="0.75">
      <c r="A51" s="34" t="s">
        <v>965</v>
      </c>
      <c r="B51" s="22" t="s">
        <v>921</v>
      </c>
      <c r="C51" s="23" t="s">
        <v>922</v>
      </c>
      <c r="D51" s="24">
        <v>6975</v>
      </c>
      <c r="E51" s="25" t="s">
        <v>922</v>
      </c>
      <c r="F51" s="22" t="s">
        <v>922</v>
      </c>
      <c r="G51" s="23" t="s">
        <v>922</v>
      </c>
      <c r="H51" s="24">
        <v>4405</v>
      </c>
    </row>
    <row r="52" spans="1:8" ht="15.5" thickBot="1" x14ac:dyDescent="0.9">
      <c r="A52" s="35" t="s">
        <v>966</v>
      </c>
      <c r="B52" s="32" t="s">
        <v>921</v>
      </c>
      <c r="C52" s="36" t="s">
        <v>922</v>
      </c>
      <c r="D52" s="37">
        <v>349260</v>
      </c>
      <c r="E52" s="38" t="s">
        <v>922</v>
      </c>
      <c r="F52" s="32" t="s">
        <v>922</v>
      </c>
      <c r="G52" s="36" t="s">
        <v>922</v>
      </c>
      <c r="H52" s="37">
        <v>486299</v>
      </c>
    </row>
    <row r="53" spans="1:8" x14ac:dyDescent="0.75">
      <c r="A53" s="40"/>
      <c r="B53" s="40" t="s">
        <v>939</v>
      </c>
      <c r="C53" s="41"/>
      <c r="D53" s="41"/>
      <c r="E53" s="40"/>
      <c r="F53" s="40"/>
      <c r="G53" s="41"/>
      <c r="H53" s="41"/>
    </row>
    <row r="54" spans="1:8" ht="15.5" thickBot="1" x14ac:dyDescent="0.9">
      <c r="A54" s="34" t="s">
        <v>967</v>
      </c>
      <c r="B54" s="22" t="s">
        <v>921</v>
      </c>
      <c r="C54" s="23" t="s">
        <v>922</v>
      </c>
      <c r="D54" s="24">
        <v>1404143</v>
      </c>
      <c r="E54" s="25" t="s">
        <v>922</v>
      </c>
      <c r="F54" s="22" t="s">
        <v>922</v>
      </c>
      <c r="G54" s="23" t="s">
        <v>922</v>
      </c>
      <c r="H54" s="24">
        <v>1365676</v>
      </c>
    </row>
    <row r="55" spans="1:8" x14ac:dyDescent="0.75">
      <c r="A55" s="40"/>
      <c r="B55" s="40" t="s">
        <v>939</v>
      </c>
      <c r="C55" s="41"/>
      <c r="D55" s="41"/>
      <c r="E55" s="40"/>
      <c r="F55" s="40"/>
      <c r="G55" s="41"/>
      <c r="H55" s="41"/>
    </row>
    <row r="56" spans="1:8" ht="15.5" thickBot="1" x14ac:dyDescent="0.9">
      <c r="A56" s="35" t="s">
        <v>968</v>
      </c>
      <c r="B56" s="32" t="s">
        <v>921</v>
      </c>
      <c r="C56" s="33"/>
      <c r="D56" s="33"/>
      <c r="E56" s="33"/>
      <c r="F56" s="32" t="s">
        <v>922</v>
      </c>
      <c r="G56" s="33"/>
      <c r="H56" s="33"/>
    </row>
    <row r="57" spans="1:8" x14ac:dyDescent="0.75">
      <c r="A57" s="40"/>
      <c r="B57" s="40" t="s">
        <v>939</v>
      </c>
      <c r="C57" s="41"/>
      <c r="D57" s="41"/>
      <c r="E57" s="40"/>
      <c r="F57" s="40"/>
      <c r="G57" s="41"/>
      <c r="H57" s="41"/>
    </row>
    <row r="58" spans="1:8" ht="15.5" thickBot="1" x14ac:dyDescent="0.9">
      <c r="A58" s="21" t="s">
        <v>969</v>
      </c>
      <c r="B58" s="22" t="s">
        <v>921</v>
      </c>
      <c r="C58" s="23" t="s">
        <v>931</v>
      </c>
      <c r="D58" s="24">
        <v>2042996</v>
      </c>
      <c r="E58" s="25" t="s">
        <v>922</v>
      </c>
      <c r="F58" s="22" t="s">
        <v>922</v>
      </c>
      <c r="G58" s="23" t="s">
        <v>931</v>
      </c>
      <c r="H58" s="24">
        <v>1889296</v>
      </c>
    </row>
    <row r="59" spans="1:8" ht="15.5" thickTop="1" x14ac:dyDescent="0.75">
      <c r="A59" s="40"/>
      <c r="B59" s="40" t="s">
        <v>939</v>
      </c>
      <c r="C59" s="42"/>
      <c r="D59" s="42"/>
      <c r="E59" s="40"/>
      <c r="F59" s="40"/>
      <c r="G59" s="42"/>
      <c r="H59" s="42"/>
    </row>
    <row r="60" spans="1:8" x14ac:dyDescent="0.75">
      <c r="A60" s="45" t="s">
        <v>970</v>
      </c>
    </row>
    <row r="61" spans="1:8" x14ac:dyDescent="0.75">
      <c r="A61" s="46" t="s">
        <v>922</v>
      </c>
    </row>
    <row r="62" spans="1:8" x14ac:dyDescent="0.75">
      <c r="A62" s="47">
        <v>37</v>
      </c>
    </row>
    <row r="66" spans="1:13" x14ac:dyDescent="0.75">
      <c r="A66" s="48" t="s">
        <v>971</v>
      </c>
    </row>
    <row r="68" spans="1:13" x14ac:dyDescent="0.75">
      <c r="A68" s="26" t="s">
        <v>924</v>
      </c>
    </row>
    <row r="69" spans="1:13" x14ac:dyDescent="0.75">
      <c r="A69" s="26" t="s">
        <v>972</v>
      </c>
    </row>
    <row r="70" spans="1:13" x14ac:dyDescent="0.75">
      <c r="A70" s="25" t="s">
        <v>973</v>
      </c>
    </row>
    <row r="71" spans="1:13" x14ac:dyDescent="0.75">
      <c r="A71" s="25" t="s">
        <v>974</v>
      </c>
    </row>
    <row r="72" spans="1:13" x14ac:dyDescent="0.75">
      <c r="A72" s="27"/>
    </row>
    <row r="73" spans="1:13" x14ac:dyDescent="0.75">
      <c r="A73" s="28"/>
      <c r="B73" s="28"/>
      <c r="C73" s="28"/>
      <c r="D73" s="28"/>
      <c r="E73" s="28"/>
      <c r="F73" s="28"/>
      <c r="G73" s="28"/>
      <c r="H73" s="28"/>
      <c r="I73" s="28"/>
      <c r="J73" s="28"/>
      <c r="K73" s="28"/>
      <c r="L73" s="28"/>
      <c r="M73" s="28"/>
    </row>
    <row r="74" spans="1:13" ht="15.5" thickBot="1" x14ac:dyDescent="0.9">
      <c r="A74" s="22" t="s">
        <v>922</v>
      </c>
      <c r="B74" s="22" t="s">
        <v>921</v>
      </c>
      <c r="C74" s="268">
        <v>2006</v>
      </c>
      <c r="D74" s="268"/>
      <c r="E74" s="22" t="s">
        <v>922</v>
      </c>
      <c r="F74" s="22" t="s">
        <v>922</v>
      </c>
      <c r="G74" s="268">
        <v>2005</v>
      </c>
      <c r="H74" s="268"/>
      <c r="I74" s="22" t="s">
        <v>922</v>
      </c>
      <c r="J74" s="22" t="s">
        <v>922</v>
      </c>
      <c r="K74" s="268">
        <v>2004</v>
      </c>
      <c r="L74" s="268"/>
      <c r="M74" s="22" t="s">
        <v>922</v>
      </c>
    </row>
    <row r="75" spans="1:13" x14ac:dyDescent="0.75">
      <c r="A75" s="35" t="s">
        <v>975</v>
      </c>
      <c r="B75" s="32" t="s">
        <v>921</v>
      </c>
      <c r="C75" s="36" t="s">
        <v>931</v>
      </c>
      <c r="D75" s="37">
        <v>5607376</v>
      </c>
      <c r="E75" s="38" t="s">
        <v>922</v>
      </c>
      <c r="F75" s="32" t="s">
        <v>922</v>
      </c>
      <c r="G75" s="36" t="s">
        <v>931</v>
      </c>
      <c r="H75" s="37">
        <v>4701289</v>
      </c>
      <c r="I75" s="38" t="s">
        <v>922</v>
      </c>
      <c r="J75" s="32" t="s">
        <v>922</v>
      </c>
      <c r="K75" s="36" t="s">
        <v>931</v>
      </c>
      <c r="L75" s="37">
        <v>3864950</v>
      </c>
      <c r="M75" s="38" t="s">
        <v>922</v>
      </c>
    </row>
    <row r="76" spans="1:13" ht="15.5" thickBot="1" x14ac:dyDescent="0.9">
      <c r="A76" s="34" t="s">
        <v>976</v>
      </c>
      <c r="B76" s="22" t="s">
        <v>921</v>
      </c>
      <c r="C76" s="23" t="s">
        <v>922</v>
      </c>
      <c r="D76" s="24">
        <v>3647734</v>
      </c>
      <c r="E76" s="25" t="s">
        <v>922</v>
      </c>
      <c r="F76" s="22" t="s">
        <v>922</v>
      </c>
      <c r="G76" s="23" t="s">
        <v>922</v>
      </c>
      <c r="H76" s="24">
        <v>3052184</v>
      </c>
      <c r="I76" s="25" t="s">
        <v>922</v>
      </c>
      <c r="J76" s="22" t="s">
        <v>922</v>
      </c>
      <c r="K76" s="23" t="s">
        <v>922</v>
      </c>
      <c r="L76" s="24">
        <v>2523816</v>
      </c>
      <c r="M76" s="25" t="s">
        <v>922</v>
      </c>
    </row>
    <row r="77" spans="1:13" x14ac:dyDescent="0.75">
      <c r="A77" s="40"/>
      <c r="B77" s="40" t="s">
        <v>939</v>
      </c>
      <c r="C77" s="41"/>
      <c r="D77" s="41"/>
      <c r="E77" s="40"/>
      <c r="F77" s="40"/>
      <c r="G77" s="41"/>
      <c r="H77" s="41"/>
      <c r="I77" s="40"/>
      <c r="J77" s="40"/>
      <c r="K77" s="41"/>
      <c r="L77" s="41"/>
      <c r="M77" s="40"/>
    </row>
    <row r="78" spans="1:13" x14ac:dyDescent="0.75">
      <c r="A78" s="49" t="s">
        <v>977</v>
      </c>
      <c r="B78" s="32" t="s">
        <v>921</v>
      </c>
      <c r="C78" s="36" t="s">
        <v>922</v>
      </c>
      <c r="D78" s="37">
        <v>1959642</v>
      </c>
      <c r="E78" s="38" t="s">
        <v>922</v>
      </c>
      <c r="F78" s="32" t="s">
        <v>922</v>
      </c>
      <c r="G78" s="36" t="s">
        <v>922</v>
      </c>
      <c r="H78" s="37">
        <v>1649105</v>
      </c>
      <c r="I78" s="38" t="s">
        <v>922</v>
      </c>
      <c r="J78" s="32" t="s">
        <v>922</v>
      </c>
      <c r="K78" s="36" t="s">
        <v>922</v>
      </c>
      <c r="L78" s="37">
        <v>1341134</v>
      </c>
      <c r="M78" s="38" t="s">
        <v>922</v>
      </c>
    </row>
    <row r="79" spans="1:13" x14ac:dyDescent="0.75">
      <c r="A79" s="34" t="s">
        <v>978</v>
      </c>
      <c r="B79" s="22" t="s">
        <v>921</v>
      </c>
      <c r="C79" s="23" t="s">
        <v>922</v>
      </c>
      <c r="D79" s="24">
        <v>1421968</v>
      </c>
      <c r="E79" s="25" t="s">
        <v>922</v>
      </c>
      <c r="F79" s="22" t="s">
        <v>922</v>
      </c>
      <c r="G79" s="23" t="s">
        <v>922</v>
      </c>
      <c r="H79" s="24">
        <v>1223473</v>
      </c>
      <c r="I79" s="25" t="s">
        <v>922</v>
      </c>
      <c r="J79" s="22" t="s">
        <v>922</v>
      </c>
      <c r="K79" s="23" t="s">
        <v>922</v>
      </c>
      <c r="L79" s="24">
        <v>986040</v>
      </c>
      <c r="M79" s="25" t="s">
        <v>922</v>
      </c>
    </row>
    <row r="80" spans="1:13" x14ac:dyDescent="0.75">
      <c r="A80" s="35" t="s">
        <v>979</v>
      </c>
      <c r="B80" s="32" t="s">
        <v>921</v>
      </c>
      <c r="C80" s="36" t="s">
        <v>922</v>
      </c>
      <c r="D80" s="37">
        <v>181244</v>
      </c>
      <c r="E80" s="38" t="s">
        <v>922</v>
      </c>
      <c r="F80" s="32" t="s">
        <v>922</v>
      </c>
      <c r="G80" s="36" t="s">
        <v>922</v>
      </c>
      <c r="H80" s="37">
        <v>158864</v>
      </c>
      <c r="I80" s="38" t="s">
        <v>922</v>
      </c>
      <c r="J80" s="32" t="s">
        <v>922</v>
      </c>
      <c r="K80" s="36" t="s">
        <v>922</v>
      </c>
      <c r="L80" s="37">
        <v>119800</v>
      </c>
      <c r="M80" s="38" t="s">
        <v>922</v>
      </c>
    </row>
    <row r="81" spans="1:13" ht="15.5" thickBot="1" x14ac:dyDescent="0.9">
      <c r="A81" s="34" t="s">
        <v>980</v>
      </c>
      <c r="B81" s="22" t="s">
        <v>921</v>
      </c>
      <c r="C81" s="23" t="s">
        <v>922</v>
      </c>
      <c r="D81" s="24">
        <v>37421</v>
      </c>
      <c r="E81" s="25" t="s">
        <v>922</v>
      </c>
      <c r="F81" s="22" t="s">
        <v>922</v>
      </c>
      <c r="G81" s="23" t="s">
        <v>922</v>
      </c>
      <c r="H81" s="24">
        <v>37035</v>
      </c>
      <c r="I81" s="25" t="s">
        <v>922</v>
      </c>
      <c r="J81" s="22" t="s">
        <v>922</v>
      </c>
      <c r="K81" s="23" t="s">
        <v>922</v>
      </c>
      <c r="L81" s="24">
        <v>18648</v>
      </c>
      <c r="M81" s="25" t="s">
        <v>922</v>
      </c>
    </row>
    <row r="82" spans="1:13" x14ac:dyDescent="0.75">
      <c r="A82" s="40"/>
      <c r="B82" s="40" t="s">
        <v>939</v>
      </c>
      <c r="C82" s="41"/>
      <c r="D82" s="41"/>
      <c r="E82" s="40"/>
      <c r="F82" s="40"/>
      <c r="G82" s="41"/>
      <c r="H82" s="41"/>
      <c r="I82" s="40"/>
      <c r="J82" s="40"/>
      <c r="K82" s="41"/>
      <c r="L82" s="41"/>
      <c r="M82" s="40"/>
    </row>
    <row r="83" spans="1:13" x14ac:dyDescent="0.75">
      <c r="A83" s="49" t="s">
        <v>981</v>
      </c>
      <c r="B83" s="32" t="s">
        <v>921</v>
      </c>
      <c r="C83" s="36" t="s">
        <v>922</v>
      </c>
      <c r="D83" s="37">
        <v>319009</v>
      </c>
      <c r="E83" s="38" t="s">
        <v>922</v>
      </c>
      <c r="F83" s="32" t="s">
        <v>922</v>
      </c>
      <c r="G83" s="36" t="s">
        <v>922</v>
      </c>
      <c r="H83" s="37">
        <v>229733</v>
      </c>
      <c r="I83" s="38" t="s">
        <v>922</v>
      </c>
      <c r="J83" s="32" t="s">
        <v>922</v>
      </c>
      <c r="K83" s="36" t="s">
        <v>922</v>
      </c>
      <c r="L83" s="37">
        <v>216646</v>
      </c>
      <c r="M83" s="38" t="s">
        <v>922</v>
      </c>
    </row>
    <row r="84" spans="1:13" x14ac:dyDescent="0.75">
      <c r="A84" s="34" t="s">
        <v>982</v>
      </c>
      <c r="B84" s="22" t="s">
        <v>921</v>
      </c>
      <c r="C84" s="28"/>
      <c r="D84" s="28"/>
      <c r="E84" s="28"/>
      <c r="F84" s="22" t="s">
        <v>922</v>
      </c>
      <c r="G84" s="28"/>
      <c r="H84" s="28"/>
      <c r="I84" s="28"/>
      <c r="J84" s="22" t="s">
        <v>922</v>
      </c>
      <c r="K84" s="28"/>
      <c r="L84" s="28"/>
      <c r="M84" s="28"/>
    </row>
    <row r="85" spans="1:13" x14ac:dyDescent="0.75">
      <c r="A85" s="35" t="s">
        <v>983</v>
      </c>
      <c r="B85" s="32" t="s">
        <v>921</v>
      </c>
      <c r="C85" s="36" t="s">
        <v>922</v>
      </c>
      <c r="D85" s="44" t="s">
        <v>984</v>
      </c>
      <c r="E85" s="38" t="s">
        <v>964</v>
      </c>
      <c r="F85" s="32" t="s">
        <v>922</v>
      </c>
      <c r="G85" s="36" t="s">
        <v>922</v>
      </c>
      <c r="H85" s="44" t="s">
        <v>985</v>
      </c>
      <c r="I85" s="38" t="s">
        <v>964</v>
      </c>
      <c r="J85" s="32" t="s">
        <v>922</v>
      </c>
      <c r="K85" s="36" t="s">
        <v>922</v>
      </c>
      <c r="L85" s="44" t="s">
        <v>986</v>
      </c>
      <c r="M85" s="38" t="s">
        <v>964</v>
      </c>
    </row>
    <row r="86" spans="1:13" ht="15.5" thickBot="1" x14ac:dyDescent="0.9">
      <c r="A86" s="34" t="s">
        <v>987</v>
      </c>
      <c r="B86" s="22" t="s">
        <v>921</v>
      </c>
      <c r="C86" s="23" t="s">
        <v>922</v>
      </c>
      <c r="D86" s="24">
        <v>20736</v>
      </c>
      <c r="E86" s="25" t="s">
        <v>922</v>
      </c>
      <c r="F86" s="22" t="s">
        <v>922</v>
      </c>
      <c r="G86" s="23" t="s">
        <v>922</v>
      </c>
      <c r="H86" s="24">
        <v>9623</v>
      </c>
      <c r="I86" s="25" t="s">
        <v>922</v>
      </c>
      <c r="J86" s="22" t="s">
        <v>922</v>
      </c>
      <c r="K86" s="23" t="s">
        <v>922</v>
      </c>
      <c r="L86" s="24">
        <v>6456</v>
      </c>
      <c r="M86" s="25" t="s">
        <v>922</v>
      </c>
    </row>
    <row r="87" spans="1:13" x14ac:dyDescent="0.75">
      <c r="A87" s="40"/>
      <c r="B87" s="40" t="s">
        <v>939</v>
      </c>
      <c r="C87" s="41"/>
      <c r="D87" s="41"/>
      <c r="E87" s="40"/>
      <c r="F87" s="40"/>
      <c r="G87" s="41"/>
      <c r="H87" s="41"/>
      <c r="I87" s="40"/>
      <c r="J87" s="40"/>
      <c r="K87" s="41"/>
      <c r="L87" s="41"/>
      <c r="M87" s="40"/>
    </row>
    <row r="88" spans="1:13" x14ac:dyDescent="0.75">
      <c r="A88" s="49" t="s">
        <v>988</v>
      </c>
      <c r="B88" s="32" t="s">
        <v>921</v>
      </c>
      <c r="C88" s="36" t="s">
        <v>922</v>
      </c>
      <c r="D88" s="37">
        <v>339713</v>
      </c>
      <c r="E88" s="38" t="s">
        <v>922</v>
      </c>
      <c r="F88" s="32" t="s">
        <v>922</v>
      </c>
      <c r="G88" s="36" t="s">
        <v>922</v>
      </c>
      <c r="H88" s="37">
        <v>237133</v>
      </c>
      <c r="I88" s="38" t="s">
        <v>922</v>
      </c>
      <c r="J88" s="32" t="s">
        <v>922</v>
      </c>
      <c r="K88" s="36" t="s">
        <v>922</v>
      </c>
      <c r="L88" s="37">
        <v>215853</v>
      </c>
      <c r="M88" s="38" t="s">
        <v>922</v>
      </c>
    </row>
    <row r="89" spans="1:13" ht="15.5" thickBot="1" x14ac:dyDescent="0.9">
      <c r="A89" s="34" t="s">
        <v>989</v>
      </c>
      <c r="B89" s="22" t="s">
        <v>921</v>
      </c>
      <c r="C89" s="23" t="s">
        <v>922</v>
      </c>
      <c r="D89" s="24">
        <v>135885</v>
      </c>
      <c r="E89" s="25" t="s">
        <v>922</v>
      </c>
      <c r="F89" s="22" t="s">
        <v>922</v>
      </c>
      <c r="G89" s="23" t="s">
        <v>922</v>
      </c>
      <c r="H89" s="24">
        <v>100782</v>
      </c>
      <c r="I89" s="25" t="s">
        <v>922</v>
      </c>
      <c r="J89" s="22" t="s">
        <v>922</v>
      </c>
      <c r="K89" s="23" t="s">
        <v>922</v>
      </c>
      <c r="L89" s="24">
        <v>86341</v>
      </c>
      <c r="M89" s="25" t="s">
        <v>922</v>
      </c>
    </row>
    <row r="90" spans="1:13" x14ac:dyDescent="0.75">
      <c r="A90" s="40"/>
      <c r="B90" s="40" t="s">
        <v>939</v>
      </c>
      <c r="C90" s="41"/>
      <c r="D90" s="41"/>
      <c r="E90" s="40"/>
      <c r="F90" s="40"/>
      <c r="G90" s="41"/>
      <c r="H90" s="41"/>
      <c r="I90" s="40"/>
      <c r="J90" s="40"/>
      <c r="K90" s="41"/>
      <c r="L90" s="41"/>
      <c r="M90" s="40"/>
    </row>
    <row r="91" spans="1:13" ht="15.5" thickBot="1" x14ac:dyDescent="0.9">
      <c r="A91" s="49" t="s">
        <v>990</v>
      </c>
      <c r="B91" s="32" t="s">
        <v>921</v>
      </c>
      <c r="C91" s="36" t="s">
        <v>931</v>
      </c>
      <c r="D91" s="37">
        <v>203828</v>
      </c>
      <c r="E91" s="38" t="s">
        <v>922</v>
      </c>
      <c r="F91" s="32" t="s">
        <v>922</v>
      </c>
      <c r="G91" s="36" t="s">
        <v>931</v>
      </c>
      <c r="H91" s="37">
        <v>136351</v>
      </c>
      <c r="I91" s="38" t="s">
        <v>922</v>
      </c>
      <c r="J91" s="32" t="s">
        <v>922</v>
      </c>
      <c r="K91" s="36" t="s">
        <v>931</v>
      </c>
      <c r="L91" s="37">
        <v>129512</v>
      </c>
      <c r="M91" s="38" t="s">
        <v>922</v>
      </c>
    </row>
    <row r="92" spans="1:13" ht="15.5" thickTop="1" x14ac:dyDescent="0.75">
      <c r="A92" s="40"/>
      <c r="B92" s="40" t="s">
        <v>939</v>
      </c>
      <c r="C92" s="42"/>
      <c r="D92" s="42"/>
      <c r="E92" s="40"/>
      <c r="F92" s="40"/>
      <c r="G92" s="42"/>
      <c r="H92" s="42"/>
      <c r="I92" s="40"/>
      <c r="J92" s="40"/>
      <c r="K92" s="42"/>
      <c r="L92" s="42"/>
      <c r="M92" s="40"/>
    </row>
    <row r="93" spans="1:13" x14ac:dyDescent="0.75">
      <c r="A93" s="28"/>
      <c r="B93" s="271"/>
      <c r="C93" s="271"/>
      <c r="D93" s="271"/>
      <c r="E93" s="271"/>
      <c r="F93" s="271"/>
      <c r="G93" s="271"/>
      <c r="H93" s="271"/>
      <c r="I93" s="271"/>
      <c r="J93" s="271"/>
      <c r="K93" s="271"/>
      <c r="L93" s="271"/>
      <c r="M93" s="271"/>
    </row>
    <row r="94" spans="1:13" ht="15.5" thickBot="1" x14ac:dyDescent="0.9">
      <c r="A94" s="34" t="s">
        <v>991</v>
      </c>
      <c r="B94" s="22" t="s">
        <v>921</v>
      </c>
      <c r="C94" s="23" t="s">
        <v>931</v>
      </c>
      <c r="D94" s="39">
        <v>1.46</v>
      </c>
      <c r="E94" s="25" t="s">
        <v>922</v>
      </c>
      <c r="F94" s="22" t="s">
        <v>922</v>
      </c>
      <c r="G94" s="23" t="s">
        <v>931</v>
      </c>
      <c r="H94" s="39">
        <v>1.05</v>
      </c>
      <c r="I94" s="25" t="s">
        <v>922</v>
      </c>
      <c r="J94" s="22" t="s">
        <v>922</v>
      </c>
      <c r="K94" s="23" t="s">
        <v>931</v>
      </c>
      <c r="L94" s="39">
        <v>1.06</v>
      </c>
      <c r="M94" s="25" t="s">
        <v>922</v>
      </c>
    </row>
    <row r="95" spans="1:13" ht="15.5" thickTop="1" x14ac:dyDescent="0.75">
      <c r="A95" s="40"/>
      <c r="B95" s="40" t="s">
        <v>939</v>
      </c>
      <c r="C95" s="42"/>
      <c r="D95" s="42"/>
      <c r="E95" s="40"/>
      <c r="F95" s="40"/>
      <c r="G95" s="42"/>
      <c r="H95" s="42"/>
      <c r="I95" s="40"/>
      <c r="J95" s="40"/>
      <c r="K95" s="42"/>
      <c r="L95" s="42"/>
      <c r="M95" s="40"/>
    </row>
    <row r="96" spans="1:13" ht="15.5" thickBot="1" x14ac:dyDescent="0.9">
      <c r="A96" s="35" t="s">
        <v>992</v>
      </c>
      <c r="B96" s="32" t="s">
        <v>921</v>
      </c>
      <c r="C96" s="36" t="s">
        <v>922</v>
      </c>
      <c r="D96" s="37">
        <v>139328</v>
      </c>
      <c r="E96" s="38" t="s">
        <v>922</v>
      </c>
      <c r="F96" s="32" t="s">
        <v>922</v>
      </c>
      <c r="G96" s="36" t="s">
        <v>922</v>
      </c>
      <c r="H96" s="37">
        <v>130090</v>
      </c>
      <c r="I96" s="38" t="s">
        <v>922</v>
      </c>
      <c r="J96" s="32" t="s">
        <v>922</v>
      </c>
      <c r="K96" s="36" t="s">
        <v>922</v>
      </c>
      <c r="L96" s="37">
        <v>122648</v>
      </c>
      <c r="M96" s="38" t="s">
        <v>922</v>
      </c>
    </row>
    <row r="97" spans="1:13" ht="15.5" thickTop="1" x14ac:dyDescent="0.75">
      <c r="A97" s="40"/>
      <c r="B97" s="40" t="s">
        <v>939</v>
      </c>
      <c r="C97" s="42"/>
      <c r="D97" s="42"/>
      <c r="E97" s="40"/>
      <c r="F97" s="40"/>
      <c r="G97" s="42"/>
      <c r="H97" s="42"/>
      <c r="I97" s="40"/>
      <c r="J97" s="40"/>
      <c r="K97" s="42"/>
      <c r="L97" s="42"/>
      <c r="M97" s="40"/>
    </row>
    <row r="98" spans="1:13" ht="15.5" thickBot="1" x14ac:dyDescent="0.9">
      <c r="A98" s="34" t="s">
        <v>993</v>
      </c>
      <c r="B98" s="22" t="s">
        <v>921</v>
      </c>
      <c r="C98" s="23" t="s">
        <v>931</v>
      </c>
      <c r="D98" s="39">
        <v>1.41</v>
      </c>
      <c r="E98" s="25" t="s">
        <v>922</v>
      </c>
      <c r="F98" s="22" t="s">
        <v>922</v>
      </c>
      <c r="G98" s="23" t="s">
        <v>931</v>
      </c>
      <c r="H98" s="39">
        <v>0.99</v>
      </c>
      <c r="I98" s="25" t="s">
        <v>922</v>
      </c>
      <c r="J98" s="22" t="s">
        <v>922</v>
      </c>
      <c r="K98" s="23" t="s">
        <v>931</v>
      </c>
      <c r="L98" s="39">
        <v>0.99</v>
      </c>
      <c r="M98" s="25" t="s">
        <v>922</v>
      </c>
    </row>
    <row r="99" spans="1:13" ht="15.5" thickTop="1" x14ac:dyDescent="0.75">
      <c r="A99" s="40"/>
      <c r="B99" s="40" t="s">
        <v>939</v>
      </c>
      <c r="C99" s="42"/>
      <c r="D99" s="42"/>
      <c r="E99" s="40"/>
      <c r="F99" s="40"/>
      <c r="G99" s="42"/>
      <c r="H99" s="42"/>
      <c r="I99" s="40"/>
      <c r="J99" s="40"/>
      <c r="K99" s="42"/>
      <c r="L99" s="42"/>
      <c r="M99" s="40"/>
    </row>
    <row r="100" spans="1:13" ht="15.5" thickBot="1" x14ac:dyDescent="0.9">
      <c r="A100" s="35" t="s">
        <v>994</v>
      </c>
      <c r="B100" s="32" t="s">
        <v>921</v>
      </c>
      <c r="C100" s="36" t="s">
        <v>922</v>
      </c>
      <c r="D100" s="37">
        <v>145082</v>
      </c>
      <c r="E100" s="38" t="s">
        <v>922</v>
      </c>
      <c r="F100" s="32" t="s">
        <v>922</v>
      </c>
      <c r="G100" s="36" t="s">
        <v>922</v>
      </c>
      <c r="H100" s="37">
        <v>139950</v>
      </c>
      <c r="I100" s="38" t="s">
        <v>922</v>
      </c>
      <c r="J100" s="32" t="s">
        <v>922</v>
      </c>
      <c r="K100" s="36" t="s">
        <v>922</v>
      </c>
      <c r="L100" s="37">
        <v>135454</v>
      </c>
      <c r="M100" s="38" t="s">
        <v>922</v>
      </c>
    </row>
    <row r="101" spans="1:13" ht="15.5" thickTop="1" x14ac:dyDescent="0.75">
      <c r="A101" s="40"/>
      <c r="B101" s="40" t="s">
        <v>939</v>
      </c>
      <c r="C101" s="42"/>
      <c r="D101" s="42"/>
      <c r="E101" s="40"/>
      <c r="F101" s="40"/>
      <c r="G101" s="42"/>
      <c r="H101" s="42"/>
      <c r="I101" s="40"/>
      <c r="J101" s="40"/>
      <c r="K101" s="42"/>
      <c r="L101" s="42"/>
      <c r="M101" s="40"/>
    </row>
    <row r="102" spans="1:13" ht="15.5" thickBot="1" x14ac:dyDescent="0.9">
      <c r="A102" s="34" t="s">
        <v>995</v>
      </c>
      <c r="B102" s="22" t="s">
        <v>921</v>
      </c>
      <c r="C102" s="23" t="s">
        <v>931</v>
      </c>
      <c r="D102" s="39">
        <v>2.4500000000000002</v>
      </c>
      <c r="E102" s="25" t="s">
        <v>922</v>
      </c>
      <c r="F102" s="22" t="s">
        <v>922</v>
      </c>
      <c r="G102" s="23" t="s">
        <v>931</v>
      </c>
      <c r="H102" s="39">
        <v>0.47</v>
      </c>
      <c r="I102" s="25" t="s">
        <v>922</v>
      </c>
      <c r="J102" s="22" t="s">
        <v>922</v>
      </c>
      <c r="K102" s="23" t="s">
        <v>931</v>
      </c>
      <c r="L102" s="39">
        <v>0.3</v>
      </c>
      <c r="M102" s="25" t="s">
        <v>922</v>
      </c>
    </row>
    <row r="103" spans="1:13" ht="15.5" thickTop="1" x14ac:dyDescent="0.75">
      <c r="A103" s="40"/>
      <c r="B103" s="40" t="s">
        <v>939</v>
      </c>
      <c r="C103" s="42"/>
      <c r="D103" s="42"/>
      <c r="E103" s="40"/>
      <c r="F103" s="40"/>
      <c r="G103" s="42"/>
      <c r="H103" s="42"/>
      <c r="I103" s="40"/>
      <c r="J103" s="40"/>
      <c r="K103" s="42"/>
      <c r="L103" s="42"/>
      <c r="M103" s="40"/>
    </row>
    <row r="104" spans="1:13" x14ac:dyDescent="0.75">
      <c r="A104" s="45" t="s">
        <v>970</v>
      </c>
    </row>
    <row r="105" spans="1:13" x14ac:dyDescent="0.75">
      <c r="A105" s="46" t="s">
        <v>922</v>
      </c>
    </row>
    <row r="106" spans="1:13" x14ac:dyDescent="0.75">
      <c r="A106" s="47">
        <v>38</v>
      </c>
    </row>
    <row r="110" spans="1:13" x14ac:dyDescent="0.75">
      <c r="A110" s="48" t="s">
        <v>971</v>
      </c>
    </row>
    <row r="112" spans="1:13" x14ac:dyDescent="0.75">
      <c r="A112" s="26" t="s">
        <v>924</v>
      </c>
    </row>
    <row r="113" spans="1:23" x14ac:dyDescent="0.75">
      <c r="A113" s="26" t="s">
        <v>996</v>
      </c>
    </row>
    <row r="114" spans="1:23" x14ac:dyDescent="0.75">
      <c r="A114" s="25" t="s">
        <v>926</v>
      </c>
    </row>
    <row r="115" spans="1:23" x14ac:dyDescent="0.75">
      <c r="A115" s="25" t="s">
        <v>974</v>
      </c>
    </row>
    <row r="116" spans="1:23" x14ac:dyDescent="0.75">
      <c r="A116" s="27"/>
    </row>
    <row r="117" spans="1:23" x14ac:dyDescent="0.75">
      <c r="A117" s="28"/>
      <c r="B117" s="28"/>
      <c r="C117" s="28"/>
      <c r="D117" s="28"/>
      <c r="E117" s="28"/>
      <c r="F117" s="28"/>
      <c r="G117" s="28"/>
      <c r="H117" s="28"/>
      <c r="I117" s="28"/>
      <c r="J117" s="28"/>
      <c r="K117" s="28"/>
      <c r="L117" s="28"/>
      <c r="M117" s="28"/>
      <c r="N117" s="28"/>
      <c r="O117" s="28"/>
      <c r="P117" s="28"/>
      <c r="Q117" s="28"/>
      <c r="R117" s="28"/>
      <c r="S117" s="28"/>
      <c r="T117" s="28"/>
      <c r="U117" s="28"/>
      <c r="V117" s="28"/>
      <c r="W117" s="28"/>
    </row>
    <row r="118" spans="1:23" x14ac:dyDescent="0.75">
      <c r="A118" s="269" t="s">
        <v>922</v>
      </c>
      <c r="B118" s="269" t="s">
        <v>921</v>
      </c>
      <c r="C118" s="29" t="s">
        <v>997</v>
      </c>
      <c r="D118" s="269" t="s">
        <v>922</v>
      </c>
      <c r="E118" s="269" t="s">
        <v>922</v>
      </c>
      <c r="F118" s="270" t="s">
        <v>999</v>
      </c>
      <c r="G118" s="270"/>
      <c r="H118" s="269" t="s">
        <v>921</v>
      </c>
      <c r="I118" s="270" t="s">
        <v>999</v>
      </c>
      <c r="J118" s="270"/>
      <c r="K118" s="269" t="s">
        <v>922</v>
      </c>
      <c r="L118" s="269" t="s">
        <v>922</v>
      </c>
      <c r="M118" s="270" t="s">
        <v>1003</v>
      </c>
      <c r="N118" s="270"/>
      <c r="O118" s="269" t="s">
        <v>922</v>
      </c>
      <c r="P118" s="269" t="s">
        <v>922</v>
      </c>
      <c r="Q118" s="270" t="s">
        <v>1007</v>
      </c>
      <c r="R118" s="270"/>
      <c r="S118" s="269" t="s">
        <v>922</v>
      </c>
      <c r="T118" s="269" t="s">
        <v>922</v>
      </c>
      <c r="U118" s="270" t="s">
        <v>1009</v>
      </c>
      <c r="V118" s="270"/>
      <c r="W118" s="269" t="s">
        <v>922</v>
      </c>
    </row>
    <row r="119" spans="1:23" x14ac:dyDescent="0.75">
      <c r="A119" s="269"/>
      <c r="B119" s="269"/>
      <c r="C119" s="29" t="s">
        <v>998</v>
      </c>
      <c r="D119" s="269"/>
      <c r="E119" s="269"/>
      <c r="F119" s="270" t="s">
        <v>1000</v>
      </c>
      <c r="G119" s="270"/>
      <c r="H119" s="269"/>
      <c r="I119" s="270" t="s">
        <v>1001</v>
      </c>
      <c r="J119" s="270"/>
      <c r="K119" s="269"/>
      <c r="L119" s="269"/>
      <c r="M119" s="270" t="s">
        <v>1004</v>
      </c>
      <c r="N119" s="270"/>
      <c r="O119" s="269"/>
      <c r="P119" s="269"/>
      <c r="Q119" s="270" t="s">
        <v>1008</v>
      </c>
      <c r="R119" s="270"/>
      <c r="S119" s="269"/>
      <c r="T119" s="269"/>
      <c r="U119" s="270" t="s">
        <v>1010</v>
      </c>
      <c r="V119" s="270"/>
      <c r="W119" s="269"/>
    </row>
    <row r="120" spans="1:23" x14ac:dyDescent="0.75">
      <c r="A120" s="269"/>
      <c r="B120" s="269"/>
      <c r="C120" s="29"/>
      <c r="D120" s="269"/>
      <c r="E120" s="269"/>
      <c r="F120" s="270"/>
      <c r="G120" s="270"/>
      <c r="H120" s="269"/>
      <c r="I120" s="270" t="s">
        <v>1002</v>
      </c>
      <c r="J120" s="270"/>
      <c r="K120" s="269"/>
      <c r="L120" s="269"/>
      <c r="M120" s="270" t="s">
        <v>1005</v>
      </c>
      <c r="N120" s="270"/>
      <c r="O120" s="269"/>
      <c r="P120" s="269"/>
      <c r="Q120" s="270"/>
      <c r="R120" s="270"/>
      <c r="S120" s="269"/>
      <c r="T120" s="269"/>
      <c r="U120" s="270" t="s">
        <v>1011</v>
      </c>
      <c r="V120" s="270"/>
      <c r="W120" s="269"/>
    </row>
    <row r="121" spans="1:23" ht="15.5" thickBot="1" x14ac:dyDescent="0.9">
      <c r="A121" s="269"/>
      <c r="B121" s="269"/>
      <c r="C121" s="30"/>
      <c r="D121" s="269"/>
      <c r="E121" s="269"/>
      <c r="F121" s="268"/>
      <c r="G121" s="268"/>
      <c r="H121" s="269"/>
      <c r="I121" s="268"/>
      <c r="J121" s="268"/>
      <c r="K121" s="269"/>
      <c r="L121" s="269"/>
      <c r="M121" s="268" t="s">
        <v>1006</v>
      </c>
      <c r="N121" s="268"/>
      <c r="O121" s="269"/>
      <c r="P121" s="269"/>
      <c r="Q121" s="268"/>
      <c r="R121" s="268"/>
      <c r="S121" s="269"/>
      <c r="T121" s="269"/>
      <c r="U121" s="268"/>
      <c r="V121" s="268"/>
      <c r="W121" s="269"/>
    </row>
    <row r="122" spans="1:23" ht="15.5" thickBot="1" x14ac:dyDescent="0.9">
      <c r="A122" s="35" t="s">
        <v>1012</v>
      </c>
      <c r="B122" s="32" t="s">
        <v>921</v>
      </c>
      <c r="C122" s="37">
        <v>120140</v>
      </c>
      <c r="D122" s="38" t="s">
        <v>922</v>
      </c>
      <c r="E122" s="32" t="s">
        <v>922</v>
      </c>
      <c r="F122" s="36" t="s">
        <v>931</v>
      </c>
      <c r="G122" s="37">
        <v>423297</v>
      </c>
      <c r="H122" s="32" t="s">
        <v>921</v>
      </c>
      <c r="I122" s="36" t="s">
        <v>931</v>
      </c>
      <c r="J122" s="44" t="s">
        <v>933</v>
      </c>
      <c r="K122" s="38" t="s">
        <v>922</v>
      </c>
      <c r="L122" s="32" t="s">
        <v>922</v>
      </c>
      <c r="M122" s="36" t="s">
        <v>931</v>
      </c>
      <c r="N122" s="37">
        <v>1624</v>
      </c>
      <c r="O122" s="38" t="s">
        <v>922</v>
      </c>
      <c r="P122" s="32" t="s">
        <v>922</v>
      </c>
      <c r="Q122" s="36" t="s">
        <v>931</v>
      </c>
      <c r="R122" s="37">
        <v>320055</v>
      </c>
      <c r="S122" s="38" t="s">
        <v>922</v>
      </c>
      <c r="T122" s="32" t="s">
        <v>922</v>
      </c>
      <c r="U122" s="36" t="s">
        <v>931</v>
      </c>
      <c r="V122" s="37">
        <v>744976</v>
      </c>
      <c r="W122" s="38" t="s">
        <v>922</v>
      </c>
    </row>
    <row r="123" spans="1:23" x14ac:dyDescent="0.75">
      <c r="A123" s="40"/>
      <c r="B123" s="40" t="s">
        <v>939</v>
      </c>
      <c r="C123" s="41"/>
      <c r="D123" s="40"/>
      <c r="E123" s="40"/>
      <c r="F123" s="41"/>
      <c r="G123" s="41"/>
      <c r="H123" s="40" t="s">
        <v>939</v>
      </c>
      <c r="I123" s="41"/>
      <c r="J123" s="41"/>
      <c r="K123" s="40"/>
      <c r="L123" s="40"/>
      <c r="M123" s="41"/>
      <c r="N123" s="41"/>
      <c r="O123" s="40"/>
      <c r="P123" s="40"/>
      <c r="Q123" s="41"/>
      <c r="R123" s="41"/>
      <c r="S123" s="40"/>
      <c r="T123" s="40"/>
      <c r="U123" s="41"/>
      <c r="V123" s="41"/>
      <c r="W123" s="40"/>
    </row>
    <row r="124" spans="1:23" x14ac:dyDescent="0.75">
      <c r="A124" s="34" t="s">
        <v>990</v>
      </c>
      <c r="B124" s="22" t="s">
        <v>921</v>
      </c>
      <c r="C124" s="39" t="s">
        <v>933</v>
      </c>
      <c r="D124" s="25" t="s">
        <v>922</v>
      </c>
      <c r="E124" s="22" t="s">
        <v>922</v>
      </c>
      <c r="F124" s="23" t="s">
        <v>922</v>
      </c>
      <c r="G124" s="39" t="s">
        <v>933</v>
      </c>
      <c r="H124" s="22" t="s">
        <v>921</v>
      </c>
      <c r="I124" s="23" t="s">
        <v>922</v>
      </c>
      <c r="J124" s="39" t="s">
        <v>933</v>
      </c>
      <c r="K124" s="25" t="s">
        <v>922</v>
      </c>
      <c r="L124" s="22" t="s">
        <v>922</v>
      </c>
      <c r="M124" s="23" t="s">
        <v>922</v>
      </c>
      <c r="N124" s="39" t="s">
        <v>933</v>
      </c>
      <c r="O124" s="25" t="s">
        <v>922</v>
      </c>
      <c r="P124" s="22" t="s">
        <v>922</v>
      </c>
      <c r="Q124" s="23" t="s">
        <v>922</v>
      </c>
      <c r="R124" s="24">
        <v>129512</v>
      </c>
      <c r="S124" s="25" t="s">
        <v>922</v>
      </c>
      <c r="T124" s="22" t="s">
        <v>922</v>
      </c>
      <c r="U124" s="23" t="s">
        <v>922</v>
      </c>
      <c r="V124" s="24">
        <v>129512</v>
      </c>
      <c r="W124" s="25" t="s">
        <v>922</v>
      </c>
    </row>
    <row r="125" spans="1:23" x14ac:dyDescent="0.75">
      <c r="A125" s="35" t="s">
        <v>1013</v>
      </c>
      <c r="B125" s="32" t="s">
        <v>921</v>
      </c>
      <c r="C125" s="44" t="s">
        <v>933</v>
      </c>
      <c r="D125" s="38" t="s">
        <v>922</v>
      </c>
      <c r="E125" s="32" t="s">
        <v>922</v>
      </c>
      <c r="F125" s="36" t="s">
        <v>922</v>
      </c>
      <c r="G125" s="44" t="s">
        <v>933</v>
      </c>
      <c r="H125" s="32" t="s">
        <v>921</v>
      </c>
      <c r="I125" s="36" t="s">
        <v>922</v>
      </c>
      <c r="J125" s="44" t="s">
        <v>933</v>
      </c>
      <c r="K125" s="38" t="s">
        <v>922</v>
      </c>
      <c r="L125" s="32" t="s">
        <v>922</v>
      </c>
      <c r="M125" s="36" t="s">
        <v>922</v>
      </c>
      <c r="N125" s="44">
        <v>856</v>
      </c>
      <c r="O125" s="38" t="s">
        <v>922</v>
      </c>
      <c r="P125" s="32" t="s">
        <v>922</v>
      </c>
      <c r="Q125" s="36" t="s">
        <v>922</v>
      </c>
      <c r="R125" s="44" t="s">
        <v>933</v>
      </c>
      <c r="S125" s="38" t="s">
        <v>922</v>
      </c>
      <c r="T125" s="32" t="s">
        <v>922</v>
      </c>
      <c r="U125" s="36" t="s">
        <v>922</v>
      </c>
      <c r="V125" s="44">
        <v>856</v>
      </c>
      <c r="W125" s="38" t="s">
        <v>922</v>
      </c>
    </row>
    <row r="126" spans="1:23" x14ac:dyDescent="0.75">
      <c r="A126" s="34" t="s">
        <v>1014</v>
      </c>
      <c r="B126" s="22" t="s">
        <v>921</v>
      </c>
      <c r="C126" s="39" t="s">
        <v>933</v>
      </c>
      <c r="D126" s="25" t="s">
        <v>922</v>
      </c>
      <c r="E126" s="22" t="s">
        <v>922</v>
      </c>
      <c r="F126" s="23" t="s">
        <v>922</v>
      </c>
      <c r="G126" s="39" t="s">
        <v>933</v>
      </c>
      <c r="H126" s="22" t="s">
        <v>921</v>
      </c>
      <c r="I126" s="23" t="s">
        <v>922</v>
      </c>
      <c r="J126" s="39" t="s">
        <v>933</v>
      </c>
      <c r="K126" s="25" t="s">
        <v>922</v>
      </c>
      <c r="L126" s="22" t="s">
        <v>922</v>
      </c>
      <c r="M126" s="23" t="s">
        <v>922</v>
      </c>
      <c r="N126" s="39">
        <v>88</v>
      </c>
      <c r="O126" s="25" t="s">
        <v>922</v>
      </c>
      <c r="P126" s="22" t="s">
        <v>922</v>
      </c>
      <c r="Q126" s="23" t="s">
        <v>922</v>
      </c>
      <c r="R126" s="39" t="s">
        <v>933</v>
      </c>
      <c r="S126" s="25" t="s">
        <v>922</v>
      </c>
      <c r="T126" s="22" t="s">
        <v>922</v>
      </c>
      <c r="U126" s="23" t="s">
        <v>922</v>
      </c>
      <c r="V126" s="39">
        <v>88</v>
      </c>
      <c r="W126" s="25" t="s">
        <v>922</v>
      </c>
    </row>
    <row r="127" spans="1:23" ht="15.5" thickBot="1" x14ac:dyDescent="0.9">
      <c r="A127" s="35" t="s">
        <v>1015</v>
      </c>
      <c r="B127" s="32" t="s">
        <v>921</v>
      </c>
      <c r="C127" s="44" t="s">
        <v>933</v>
      </c>
      <c r="D127" s="38" t="s">
        <v>922</v>
      </c>
      <c r="E127" s="32" t="s">
        <v>922</v>
      </c>
      <c r="F127" s="36" t="s">
        <v>922</v>
      </c>
      <c r="G127" s="44" t="s">
        <v>933</v>
      </c>
      <c r="H127" s="32" t="s">
        <v>921</v>
      </c>
      <c r="I127" s="36" t="s">
        <v>922</v>
      </c>
      <c r="J127" s="44" t="s">
        <v>933</v>
      </c>
      <c r="K127" s="38" t="s">
        <v>922</v>
      </c>
      <c r="L127" s="32" t="s">
        <v>922</v>
      </c>
      <c r="M127" s="36" t="s">
        <v>922</v>
      </c>
      <c r="N127" s="44" t="s">
        <v>1016</v>
      </c>
      <c r="O127" s="38" t="s">
        <v>964</v>
      </c>
      <c r="P127" s="32" t="s">
        <v>922</v>
      </c>
      <c r="Q127" s="36" t="s">
        <v>922</v>
      </c>
      <c r="R127" s="44" t="s">
        <v>933</v>
      </c>
      <c r="S127" s="38" t="s">
        <v>922</v>
      </c>
      <c r="T127" s="32" t="s">
        <v>922</v>
      </c>
      <c r="U127" s="36" t="s">
        <v>922</v>
      </c>
      <c r="V127" s="44" t="s">
        <v>1016</v>
      </c>
      <c r="W127" s="38" t="s">
        <v>964</v>
      </c>
    </row>
    <row r="128" spans="1:23" x14ac:dyDescent="0.75">
      <c r="A128" s="40"/>
      <c r="B128" s="40" t="s">
        <v>939</v>
      </c>
      <c r="C128" s="41"/>
      <c r="D128" s="40"/>
      <c r="E128" s="40"/>
      <c r="F128" s="41"/>
      <c r="G128" s="41"/>
      <c r="H128" s="40" t="s">
        <v>939</v>
      </c>
      <c r="I128" s="41"/>
      <c r="J128" s="41"/>
      <c r="K128" s="40"/>
      <c r="L128" s="40"/>
      <c r="M128" s="41"/>
      <c r="N128" s="41"/>
      <c r="O128" s="40"/>
      <c r="P128" s="40"/>
      <c r="Q128" s="41"/>
      <c r="R128" s="41"/>
      <c r="S128" s="40"/>
      <c r="T128" s="40"/>
      <c r="U128" s="41"/>
      <c r="V128" s="41"/>
      <c r="W128" s="40"/>
    </row>
    <row r="129" spans="1:23" x14ac:dyDescent="0.75">
      <c r="A129" s="34" t="s">
        <v>1017</v>
      </c>
      <c r="B129" s="22" t="s">
        <v>921</v>
      </c>
      <c r="C129" s="39" t="s">
        <v>933</v>
      </c>
      <c r="D129" s="25" t="s">
        <v>922</v>
      </c>
      <c r="E129" s="22" t="s">
        <v>922</v>
      </c>
      <c r="F129" s="23" t="s">
        <v>922</v>
      </c>
      <c r="G129" s="39" t="s">
        <v>933</v>
      </c>
      <c r="H129" s="22" t="s">
        <v>921</v>
      </c>
      <c r="I129" s="23" t="s">
        <v>922</v>
      </c>
      <c r="J129" s="39" t="s">
        <v>933</v>
      </c>
      <c r="K129" s="25" t="s">
        <v>922</v>
      </c>
      <c r="L129" s="22" t="s">
        <v>922</v>
      </c>
      <c r="M129" s="23" t="s">
        <v>922</v>
      </c>
      <c r="N129" s="39">
        <v>429</v>
      </c>
      <c r="O129" s="25" t="s">
        <v>922</v>
      </c>
      <c r="P129" s="22" t="s">
        <v>922</v>
      </c>
      <c r="Q129" s="23" t="s">
        <v>922</v>
      </c>
      <c r="R129" s="24">
        <v>129512</v>
      </c>
      <c r="S129" s="25" t="s">
        <v>922</v>
      </c>
      <c r="T129" s="22" t="s">
        <v>922</v>
      </c>
      <c r="U129" s="23" t="s">
        <v>922</v>
      </c>
      <c r="V129" s="24">
        <v>129941</v>
      </c>
      <c r="W129" s="25" t="s">
        <v>922</v>
      </c>
    </row>
    <row r="130" spans="1:23" x14ac:dyDescent="0.75">
      <c r="A130" s="35" t="s">
        <v>1018</v>
      </c>
      <c r="B130" s="32" t="s">
        <v>921</v>
      </c>
      <c r="C130" s="44" t="s">
        <v>933</v>
      </c>
      <c r="D130" s="38" t="s">
        <v>922</v>
      </c>
      <c r="E130" s="32" t="s">
        <v>922</v>
      </c>
      <c r="F130" s="36" t="s">
        <v>922</v>
      </c>
      <c r="G130" s="44" t="s">
        <v>933</v>
      </c>
      <c r="H130" s="32" t="s">
        <v>921</v>
      </c>
      <c r="I130" s="36" t="s">
        <v>922</v>
      </c>
      <c r="J130" s="44" t="s">
        <v>933</v>
      </c>
      <c r="K130" s="38" t="s">
        <v>922</v>
      </c>
      <c r="L130" s="32" t="s">
        <v>922</v>
      </c>
      <c r="M130" s="36" t="s">
        <v>922</v>
      </c>
      <c r="N130" s="44" t="s">
        <v>933</v>
      </c>
      <c r="O130" s="38" t="s">
        <v>922</v>
      </c>
      <c r="P130" s="32" t="s">
        <v>922</v>
      </c>
      <c r="Q130" s="36" t="s">
        <v>922</v>
      </c>
      <c r="R130" s="44" t="s">
        <v>1019</v>
      </c>
      <c r="S130" s="38" t="s">
        <v>964</v>
      </c>
      <c r="T130" s="32" t="s">
        <v>922</v>
      </c>
      <c r="U130" s="36" t="s">
        <v>922</v>
      </c>
      <c r="V130" s="44" t="s">
        <v>1019</v>
      </c>
      <c r="W130" s="38" t="s">
        <v>964</v>
      </c>
    </row>
    <row r="131" spans="1:23" x14ac:dyDescent="0.75">
      <c r="A131" s="34" t="s">
        <v>1020</v>
      </c>
      <c r="B131" s="22" t="s">
        <v>921</v>
      </c>
      <c r="C131" s="24">
        <v>4184</v>
      </c>
      <c r="D131" s="25" t="s">
        <v>922</v>
      </c>
      <c r="E131" s="22" t="s">
        <v>922</v>
      </c>
      <c r="F131" s="23" t="s">
        <v>922</v>
      </c>
      <c r="G131" s="24">
        <v>59518</v>
      </c>
      <c r="H131" s="22" t="s">
        <v>921</v>
      </c>
      <c r="I131" s="23" t="s">
        <v>922</v>
      </c>
      <c r="J131" s="39" t="s">
        <v>933</v>
      </c>
      <c r="K131" s="25" t="s">
        <v>922</v>
      </c>
      <c r="L131" s="22" t="s">
        <v>922</v>
      </c>
      <c r="M131" s="23" t="s">
        <v>922</v>
      </c>
      <c r="N131" s="39" t="s">
        <v>933</v>
      </c>
      <c r="O131" s="25" t="s">
        <v>922</v>
      </c>
      <c r="P131" s="22" t="s">
        <v>922</v>
      </c>
      <c r="Q131" s="23" t="s">
        <v>922</v>
      </c>
      <c r="R131" s="39" t="s">
        <v>933</v>
      </c>
      <c r="S131" s="25" t="s">
        <v>922</v>
      </c>
      <c r="T131" s="22" t="s">
        <v>922</v>
      </c>
      <c r="U131" s="23" t="s">
        <v>922</v>
      </c>
      <c r="V131" s="24">
        <v>59518</v>
      </c>
      <c r="W131" s="25" t="s">
        <v>922</v>
      </c>
    </row>
    <row r="132" spans="1:23" x14ac:dyDescent="0.75">
      <c r="A132" s="35" t="s">
        <v>1021</v>
      </c>
      <c r="B132" s="32" t="s">
        <v>921</v>
      </c>
      <c r="C132" s="44">
        <v>478</v>
      </c>
      <c r="D132" s="38" t="s">
        <v>922</v>
      </c>
      <c r="E132" s="32" t="s">
        <v>922</v>
      </c>
      <c r="F132" s="36" t="s">
        <v>922</v>
      </c>
      <c r="G132" s="37">
        <v>16375</v>
      </c>
      <c r="H132" s="32" t="s">
        <v>921</v>
      </c>
      <c r="I132" s="36" t="s">
        <v>922</v>
      </c>
      <c r="J132" s="44" t="s">
        <v>933</v>
      </c>
      <c r="K132" s="38" t="s">
        <v>922</v>
      </c>
      <c r="L132" s="32" t="s">
        <v>922</v>
      </c>
      <c r="M132" s="36" t="s">
        <v>922</v>
      </c>
      <c r="N132" s="44" t="s">
        <v>933</v>
      </c>
      <c r="O132" s="38" t="s">
        <v>922</v>
      </c>
      <c r="P132" s="32" t="s">
        <v>922</v>
      </c>
      <c r="Q132" s="36" t="s">
        <v>922</v>
      </c>
      <c r="R132" s="44" t="s">
        <v>933</v>
      </c>
      <c r="S132" s="38" t="s">
        <v>922</v>
      </c>
      <c r="T132" s="32" t="s">
        <v>922</v>
      </c>
      <c r="U132" s="36" t="s">
        <v>922</v>
      </c>
      <c r="V132" s="37">
        <v>16375</v>
      </c>
      <c r="W132" s="38" t="s">
        <v>922</v>
      </c>
    </row>
    <row r="133" spans="1:23" x14ac:dyDescent="0.75">
      <c r="A133" s="34" t="s">
        <v>1022</v>
      </c>
      <c r="B133" s="22" t="s">
        <v>921</v>
      </c>
      <c r="C133" s="39" t="s">
        <v>933</v>
      </c>
      <c r="D133" s="25" t="s">
        <v>922</v>
      </c>
      <c r="E133" s="22" t="s">
        <v>922</v>
      </c>
      <c r="F133" s="23" t="s">
        <v>922</v>
      </c>
      <c r="G133" s="24">
        <v>35583</v>
      </c>
      <c r="H133" s="22" t="s">
        <v>921</v>
      </c>
      <c r="I133" s="23" t="s">
        <v>922</v>
      </c>
      <c r="J133" s="39" t="s">
        <v>933</v>
      </c>
      <c r="K133" s="25" t="s">
        <v>922</v>
      </c>
      <c r="L133" s="22" t="s">
        <v>922</v>
      </c>
      <c r="M133" s="23" t="s">
        <v>922</v>
      </c>
      <c r="N133" s="39" t="s">
        <v>933</v>
      </c>
      <c r="O133" s="25" t="s">
        <v>922</v>
      </c>
      <c r="P133" s="22" t="s">
        <v>922</v>
      </c>
      <c r="Q133" s="23" t="s">
        <v>922</v>
      </c>
      <c r="R133" s="39" t="s">
        <v>933</v>
      </c>
      <c r="S133" s="25" t="s">
        <v>922</v>
      </c>
      <c r="T133" s="22" t="s">
        <v>922</v>
      </c>
      <c r="U133" s="23" t="s">
        <v>922</v>
      </c>
      <c r="V133" s="24">
        <v>35583</v>
      </c>
      <c r="W133" s="25" t="s">
        <v>922</v>
      </c>
    </row>
    <row r="134" spans="1:23" ht="15.5" thickBot="1" x14ac:dyDescent="0.9">
      <c r="A134" s="35" t="s">
        <v>1004</v>
      </c>
      <c r="B134" s="32" t="s">
        <v>921</v>
      </c>
      <c r="C134" s="44">
        <v>12</v>
      </c>
      <c r="D134" s="38" t="s">
        <v>922</v>
      </c>
      <c r="E134" s="32" t="s">
        <v>922</v>
      </c>
      <c r="F134" s="36" t="s">
        <v>922</v>
      </c>
      <c r="G134" s="44">
        <v>334</v>
      </c>
      <c r="H134" s="32" t="s">
        <v>921</v>
      </c>
      <c r="I134" s="36" t="s">
        <v>922</v>
      </c>
      <c r="J134" s="44" t="s">
        <v>933</v>
      </c>
      <c r="K134" s="38" t="s">
        <v>922</v>
      </c>
      <c r="L134" s="32" t="s">
        <v>922</v>
      </c>
      <c r="M134" s="36" t="s">
        <v>922</v>
      </c>
      <c r="N134" s="44" t="s">
        <v>933</v>
      </c>
      <c r="O134" s="38" t="s">
        <v>922</v>
      </c>
      <c r="P134" s="32" t="s">
        <v>922</v>
      </c>
      <c r="Q134" s="36" t="s">
        <v>922</v>
      </c>
      <c r="R134" s="44" t="s">
        <v>933</v>
      </c>
      <c r="S134" s="38" t="s">
        <v>922</v>
      </c>
      <c r="T134" s="32" t="s">
        <v>922</v>
      </c>
      <c r="U134" s="36" t="s">
        <v>922</v>
      </c>
      <c r="V134" s="44">
        <v>334</v>
      </c>
      <c r="W134" s="38" t="s">
        <v>922</v>
      </c>
    </row>
    <row r="135" spans="1:23" x14ac:dyDescent="0.75">
      <c r="A135" s="40"/>
      <c r="B135" s="40" t="s">
        <v>939</v>
      </c>
      <c r="C135" s="41"/>
      <c r="D135" s="40"/>
      <c r="E135" s="40"/>
      <c r="F135" s="41"/>
      <c r="G135" s="41"/>
      <c r="H135" s="40" t="s">
        <v>939</v>
      </c>
      <c r="I135" s="41"/>
      <c r="J135" s="41"/>
      <c r="K135" s="40"/>
      <c r="L135" s="40"/>
      <c r="M135" s="41"/>
      <c r="N135" s="41"/>
      <c r="O135" s="40"/>
      <c r="P135" s="40"/>
      <c r="Q135" s="41"/>
      <c r="R135" s="41"/>
      <c r="S135" s="40"/>
      <c r="T135" s="40"/>
      <c r="U135" s="41"/>
      <c r="V135" s="41"/>
      <c r="W135" s="40"/>
    </row>
    <row r="136" spans="1:23" ht="15.5" thickBot="1" x14ac:dyDescent="0.9">
      <c r="A136" s="34" t="s">
        <v>1023</v>
      </c>
      <c r="B136" s="22" t="s">
        <v>921</v>
      </c>
      <c r="C136" s="24">
        <v>124814</v>
      </c>
      <c r="D136" s="25" t="s">
        <v>922</v>
      </c>
      <c r="E136" s="22" t="s">
        <v>922</v>
      </c>
      <c r="F136" s="23" t="s">
        <v>922</v>
      </c>
      <c r="G136" s="24">
        <v>535107</v>
      </c>
      <c r="H136" s="22" t="s">
        <v>921</v>
      </c>
      <c r="I136" s="23" t="s">
        <v>922</v>
      </c>
      <c r="J136" s="39" t="s">
        <v>933</v>
      </c>
      <c r="K136" s="25" t="s">
        <v>922</v>
      </c>
      <c r="L136" s="22" t="s">
        <v>922</v>
      </c>
      <c r="M136" s="23" t="s">
        <v>922</v>
      </c>
      <c r="N136" s="24">
        <v>2053</v>
      </c>
      <c r="O136" s="25" t="s">
        <v>922</v>
      </c>
      <c r="P136" s="22" t="s">
        <v>922</v>
      </c>
      <c r="Q136" s="23" t="s">
        <v>922</v>
      </c>
      <c r="R136" s="24">
        <v>412478</v>
      </c>
      <c r="S136" s="25" t="s">
        <v>922</v>
      </c>
      <c r="T136" s="22" t="s">
        <v>922</v>
      </c>
      <c r="U136" s="23" t="s">
        <v>922</v>
      </c>
      <c r="V136" s="24">
        <v>949638</v>
      </c>
      <c r="W136" s="25" t="s">
        <v>922</v>
      </c>
    </row>
    <row r="137" spans="1:23" x14ac:dyDescent="0.75">
      <c r="A137" s="40"/>
      <c r="B137" s="40" t="s">
        <v>939</v>
      </c>
      <c r="C137" s="41"/>
      <c r="D137" s="40"/>
      <c r="E137" s="40"/>
      <c r="F137" s="41"/>
      <c r="G137" s="41"/>
      <c r="H137" s="40" t="s">
        <v>939</v>
      </c>
      <c r="I137" s="41"/>
      <c r="J137" s="41"/>
      <c r="K137" s="40"/>
      <c r="L137" s="40"/>
      <c r="M137" s="41"/>
      <c r="N137" s="41"/>
      <c r="O137" s="40"/>
      <c r="P137" s="40"/>
      <c r="Q137" s="41"/>
      <c r="R137" s="41"/>
      <c r="S137" s="40"/>
      <c r="T137" s="40"/>
      <c r="U137" s="41"/>
      <c r="V137" s="41"/>
      <c r="W137" s="40"/>
    </row>
    <row r="138" spans="1:23" x14ac:dyDescent="0.75">
      <c r="A138" s="35" t="s">
        <v>990</v>
      </c>
      <c r="B138" s="32" t="s">
        <v>921</v>
      </c>
      <c r="C138" s="44" t="s">
        <v>933</v>
      </c>
      <c r="D138" s="38" t="s">
        <v>922</v>
      </c>
      <c r="E138" s="32" t="s">
        <v>922</v>
      </c>
      <c r="F138" s="36" t="s">
        <v>922</v>
      </c>
      <c r="G138" s="44" t="s">
        <v>933</v>
      </c>
      <c r="H138" s="32" t="s">
        <v>921</v>
      </c>
      <c r="I138" s="36" t="s">
        <v>922</v>
      </c>
      <c r="J138" s="44" t="s">
        <v>933</v>
      </c>
      <c r="K138" s="38" t="s">
        <v>922</v>
      </c>
      <c r="L138" s="32" t="s">
        <v>922</v>
      </c>
      <c r="M138" s="36" t="s">
        <v>922</v>
      </c>
      <c r="N138" s="44" t="s">
        <v>933</v>
      </c>
      <c r="O138" s="38" t="s">
        <v>922</v>
      </c>
      <c r="P138" s="32" t="s">
        <v>922</v>
      </c>
      <c r="Q138" s="36" t="s">
        <v>922</v>
      </c>
      <c r="R138" s="37">
        <v>136351</v>
      </c>
      <c r="S138" s="38" t="s">
        <v>922</v>
      </c>
      <c r="T138" s="32" t="s">
        <v>922</v>
      </c>
      <c r="U138" s="36" t="s">
        <v>922</v>
      </c>
      <c r="V138" s="37">
        <v>136351</v>
      </c>
      <c r="W138" s="38" t="s">
        <v>922</v>
      </c>
    </row>
    <row r="139" spans="1:23" x14ac:dyDescent="0.75">
      <c r="A139" s="34" t="s">
        <v>1013</v>
      </c>
      <c r="B139" s="22" t="s">
        <v>921</v>
      </c>
      <c r="C139" s="39" t="s">
        <v>933</v>
      </c>
      <c r="D139" s="25" t="s">
        <v>922</v>
      </c>
      <c r="E139" s="22" t="s">
        <v>922</v>
      </c>
      <c r="F139" s="23" t="s">
        <v>922</v>
      </c>
      <c r="G139" s="39" t="s">
        <v>933</v>
      </c>
      <c r="H139" s="22" t="s">
        <v>921</v>
      </c>
      <c r="I139" s="23" t="s">
        <v>922</v>
      </c>
      <c r="J139" s="39" t="s">
        <v>933</v>
      </c>
      <c r="K139" s="25" t="s">
        <v>922</v>
      </c>
      <c r="L139" s="22" t="s">
        <v>922</v>
      </c>
      <c r="M139" s="23" t="s">
        <v>922</v>
      </c>
      <c r="N139" s="24">
        <v>1893</v>
      </c>
      <c r="O139" s="25" t="s">
        <v>922</v>
      </c>
      <c r="P139" s="22" t="s">
        <v>922</v>
      </c>
      <c r="Q139" s="23" t="s">
        <v>922</v>
      </c>
      <c r="R139" s="39" t="s">
        <v>933</v>
      </c>
      <c r="S139" s="25" t="s">
        <v>922</v>
      </c>
      <c r="T139" s="22" t="s">
        <v>922</v>
      </c>
      <c r="U139" s="23" t="s">
        <v>922</v>
      </c>
      <c r="V139" s="24">
        <v>1893</v>
      </c>
      <c r="W139" s="25" t="s">
        <v>922</v>
      </c>
    </row>
    <row r="140" spans="1:23" x14ac:dyDescent="0.75">
      <c r="A140" s="35" t="s">
        <v>1014</v>
      </c>
      <c r="B140" s="32" t="s">
        <v>921</v>
      </c>
      <c r="C140" s="44" t="s">
        <v>933</v>
      </c>
      <c r="D140" s="38" t="s">
        <v>922</v>
      </c>
      <c r="E140" s="32" t="s">
        <v>922</v>
      </c>
      <c r="F140" s="36" t="s">
        <v>922</v>
      </c>
      <c r="G140" s="44" t="s">
        <v>933</v>
      </c>
      <c r="H140" s="32" t="s">
        <v>921</v>
      </c>
      <c r="I140" s="36" t="s">
        <v>922</v>
      </c>
      <c r="J140" s="44" t="s">
        <v>933</v>
      </c>
      <c r="K140" s="38" t="s">
        <v>922</v>
      </c>
      <c r="L140" s="32" t="s">
        <v>922</v>
      </c>
      <c r="M140" s="36" t="s">
        <v>922</v>
      </c>
      <c r="N140" s="37">
        <v>1063</v>
      </c>
      <c r="O140" s="38" t="s">
        <v>922</v>
      </c>
      <c r="P140" s="32" t="s">
        <v>922</v>
      </c>
      <c r="Q140" s="36" t="s">
        <v>922</v>
      </c>
      <c r="R140" s="44" t="s">
        <v>933</v>
      </c>
      <c r="S140" s="38" t="s">
        <v>922</v>
      </c>
      <c r="T140" s="32" t="s">
        <v>922</v>
      </c>
      <c r="U140" s="36" t="s">
        <v>922</v>
      </c>
      <c r="V140" s="37">
        <v>1063</v>
      </c>
      <c r="W140" s="38" t="s">
        <v>922</v>
      </c>
    </row>
    <row r="141" spans="1:23" ht="15.5" thickBot="1" x14ac:dyDescent="0.9">
      <c r="A141" s="34" t="s">
        <v>1015</v>
      </c>
      <c r="B141" s="22" t="s">
        <v>921</v>
      </c>
      <c r="C141" s="39" t="s">
        <v>933</v>
      </c>
      <c r="D141" s="25" t="s">
        <v>922</v>
      </c>
      <c r="E141" s="22" t="s">
        <v>922</v>
      </c>
      <c r="F141" s="23" t="s">
        <v>922</v>
      </c>
      <c r="G141" s="39" t="s">
        <v>933</v>
      </c>
      <c r="H141" s="22" t="s">
        <v>921</v>
      </c>
      <c r="I141" s="23" t="s">
        <v>922</v>
      </c>
      <c r="J141" s="39" t="s">
        <v>933</v>
      </c>
      <c r="K141" s="25" t="s">
        <v>922</v>
      </c>
      <c r="L141" s="22" t="s">
        <v>922</v>
      </c>
      <c r="M141" s="23" t="s">
        <v>922</v>
      </c>
      <c r="N141" s="39" t="s">
        <v>1024</v>
      </c>
      <c r="O141" s="25" t="s">
        <v>964</v>
      </c>
      <c r="P141" s="22" t="s">
        <v>922</v>
      </c>
      <c r="Q141" s="23" t="s">
        <v>922</v>
      </c>
      <c r="R141" s="39" t="s">
        <v>933</v>
      </c>
      <c r="S141" s="25" t="s">
        <v>922</v>
      </c>
      <c r="T141" s="22" t="s">
        <v>922</v>
      </c>
      <c r="U141" s="23" t="s">
        <v>922</v>
      </c>
      <c r="V141" s="39" t="s">
        <v>1024</v>
      </c>
      <c r="W141" s="25" t="s">
        <v>964</v>
      </c>
    </row>
    <row r="142" spans="1:23" x14ac:dyDescent="0.75">
      <c r="A142" s="40"/>
      <c r="B142" s="40" t="s">
        <v>939</v>
      </c>
      <c r="C142" s="41"/>
      <c r="D142" s="40"/>
      <c r="E142" s="40"/>
      <c r="F142" s="41"/>
      <c r="G142" s="41"/>
      <c r="H142" s="40" t="s">
        <v>939</v>
      </c>
      <c r="I142" s="41"/>
      <c r="J142" s="41"/>
      <c r="K142" s="40"/>
      <c r="L142" s="40"/>
      <c r="M142" s="41"/>
      <c r="N142" s="41"/>
      <c r="O142" s="40"/>
      <c r="P142" s="40"/>
      <c r="Q142" s="41"/>
      <c r="R142" s="41"/>
      <c r="S142" s="40"/>
      <c r="T142" s="40"/>
      <c r="U142" s="41"/>
      <c r="V142" s="41"/>
      <c r="W142" s="40"/>
    </row>
    <row r="143" spans="1:23" x14ac:dyDescent="0.75">
      <c r="A143" s="35" t="s">
        <v>1017</v>
      </c>
      <c r="B143" s="32" t="s">
        <v>921</v>
      </c>
      <c r="C143" s="44" t="s">
        <v>933</v>
      </c>
      <c r="D143" s="38" t="s">
        <v>922</v>
      </c>
      <c r="E143" s="32" t="s">
        <v>922</v>
      </c>
      <c r="F143" s="36" t="s">
        <v>922</v>
      </c>
      <c r="G143" s="44" t="s">
        <v>933</v>
      </c>
      <c r="H143" s="32" t="s">
        <v>921</v>
      </c>
      <c r="I143" s="36" t="s">
        <v>922</v>
      </c>
      <c r="J143" s="44" t="s">
        <v>933</v>
      </c>
      <c r="K143" s="38" t="s">
        <v>922</v>
      </c>
      <c r="L143" s="32" t="s">
        <v>922</v>
      </c>
      <c r="M143" s="36" t="s">
        <v>922</v>
      </c>
      <c r="N143" s="37">
        <v>2352</v>
      </c>
      <c r="O143" s="38" t="s">
        <v>922</v>
      </c>
      <c r="P143" s="32" t="s">
        <v>922</v>
      </c>
      <c r="Q143" s="36" t="s">
        <v>922</v>
      </c>
      <c r="R143" s="37">
        <v>136351</v>
      </c>
      <c r="S143" s="38" t="s">
        <v>922</v>
      </c>
      <c r="T143" s="32" t="s">
        <v>922</v>
      </c>
      <c r="U143" s="36" t="s">
        <v>922</v>
      </c>
      <c r="V143" s="37">
        <v>138703</v>
      </c>
      <c r="W143" s="38" t="s">
        <v>922</v>
      </c>
    </row>
    <row r="144" spans="1:23" x14ac:dyDescent="0.75">
      <c r="A144" s="34" t="s">
        <v>1025</v>
      </c>
      <c r="B144" s="22" t="s">
        <v>921</v>
      </c>
      <c r="C144" s="39" t="s">
        <v>933</v>
      </c>
      <c r="D144" s="25" t="s">
        <v>922</v>
      </c>
      <c r="E144" s="22" t="s">
        <v>922</v>
      </c>
      <c r="F144" s="23" t="s">
        <v>922</v>
      </c>
      <c r="G144" s="39" t="s">
        <v>933</v>
      </c>
      <c r="H144" s="22" t="s">
        <v>921</v>
      </c>
      <c r="I144" s="23" t="s">
        <v>922</v>
      </c>
      <c r="J144" s="39" t="s">
        <v>933</v>
      </c>
      <c r="K144" s="25" t="s">
        <v>922</v>
      </c>
      <c r="L144" s="22" t="s">
        <v>922</v>
      </c>
      <c r="M144" s="23" t="s">
        <v>922</v>
      </c>
      <c r="N144" s="39" t="s">
        <v>933</v>
      </c>
      <c r="O144" s="25" t="s">
        <v>922</v>
      </c>
      <c r="P144" s="22" t="s">
        <v>922</v>
      </c>
      <c r="Q144" s="23" t="s">
        <v>922</v>
      </c>
      <c r="R144" s="39" t="s">
        <v>1026</v>
      </c>
      <c r="S144" s="25" t="s">
        <v>964</v>
      </c>
      <c r="T144" s="22" t="s">
        <v>922</v>
      </c>
      <c r="U144" s="23" t="s">
        <v>922</v>
      </c>
      <c r="V144" s="39" t="s">
        <v>1026</v>
      </c>
      <c r="W144" s="25" t="s">
        <v>964</v>
      </c>
    </row>
    <row r="145" spans="1:23" x14ac:dyDescent="0.75">
      <c r="A145" s="35" t="s">
        <v>1020</v>
      </c>
      <c r="B145" s="32" t="s">
        <v>921</v>
      </c>
      <c r="C145" s="37">
        <v>5042</v>
      </c>
      <c r="D145" s="38" t="s">
        <v>922</v>
      </c>
      <c r="E145" s="32" t="s">
        <v>922</v>
      </c>
      <c r="F145" s="36" t="s">
        <v>922</v>
      </c>
      <c r="G145" s="37">
        <v>110293</v>
      </c>
      <c r="H145" s="32" t="s">
        <v>921</v>
      </c>
      <c r="I145" s="36" t="s">
        <v>922</v>
      </c>
      <c r="J145" s="44" t="s">
        <v>933</v>
      </c>
      <c r="K145" s="38" t="s">
        <v>922</v>
      </c>
      <c r="L145" s="32" t="s">
        <v>922</v>
      </c>
      <c r="M145" s="36" t="s">
        <v>922</v>
      </c>
      <c r="N145" s="44" t="s">
        <v>933</v>
      </c>
      <c r="O145" s="38" t="s">
        <v>922</v>
      </c>
      <c r="P145" s="32" t="s">
        <v>922</v>
      </c>
      <c r="Q145" s="36" t="s">
        <v>922</v>
      </c>
      <c r="R145" s="44" t="s">
        <v>933</v>
      </c>
      <c r="S145" s="38" t="s">
        <v>922</v>
      </c>
      <c r="T145" s="32" t="s">
        <v>922</v>
      </c>
      <c r="U145" s="36" t="s">
        <v>922</v>
      </c>
      <c r="V145" s="37">
        <v>110293</v>
      </c>
      <c r="W145" s="38" t="s">
        <v>922</v>
      </c>
    </row>
    <row r="146" spans="1:23" x14ac:dyDescent="0.75">
      <c r="A146" s="34" t="s">
        <v>1022</v>
      </c>
      <c r="B146" s="22" t="s">
        <v>921</v>
      </c>
      <c r="C146" s="39" t="s">
        <v>933</v>
      </c>
      <c r="D146" s="25" t="s">
        <v>922</v>
      </c>
      <c r="E146" s="22" t="s">
        <v>922</v>
      </c>
      <c r="F146" s="23" t="s">
        <v>922</v>
      </c>
      <c r="G146" s="24">
        <v>62643</v>
      </c>
      <c r="H146" s="22" t="s">
        <v>921</v>
      </c>
      <c r="I146" s="23" t="s">
        <v>922</v>
      </c>
      <c r="J146" s="39" t="s">
        <v>933</v>
      </c>
      <c r="K146" s="25" t="s">
        <v>922</v>
      </c>
      <c r="L146" s="22" t="s">
        <v>922</v>
      </c>
      <c r="M146" s="23" t="s">
        <v>922</v>
      </c>
      <c r="N146" s="39" t="s">
        <v>933</v>
      </c>
      <c r="O146" s="25" t="s">
        <v>922</v>
      </c>
      <c r="P146" s="22" t="s">
        <v>922</v>
      </c>
      <c r="Q146" s="23" t="s">
        <v>922</v>
      </c>
      <c r="R146" s="39" t="s">
        <v>933</v>
      </c>
      <c r="S146" s="25" t="s">
        <v>922</v>
      </c>
      <c r="T146" s="22" t="s">
        <v>922</v>
      </c>
      <c r="U146" s="23" t="s">
        <v>922</v>
      </c>
      <c r="V146" s="24">
        <v>62643</v>
      </c>
      <c r="W146" s="25" t="s">
        <v>922</v>
      </c>
    </row>
    <row r="147" spans="1:23" x14ac:dyDescent="0.75">
      <c r="A147" s="35" t="s">
        <v>1027</v>
      </c>
      <c r="B147" s="32" t="s">
        <v>921</v>
      </c>
      <c r="C147" s="44" t="s">
        <v>933</v>
      </c>
      <c r="D147" s="38" t="s">
        <v>922</v>
      </c>
      <c r="E147" s="32" t="s">
        <v>922</v>
      </c>
      <c r="F147" s="36" t="s">
        <v>922</v>
      </c>
      <c r="G147" s="37">
        <v>19135</v>
      </c>
      <c r="H147" s="32" t="s">
        <v>921</v>
      </c>
      <c r="I147" s="36" t="s">
        <v>922</v>
      </c>
      <c r="J147" s="44" t="s">
        <v>933</v>
      </c>
      <c r="K147" s="38" t="s">
        <v>922</v>
      </c>
      <c r="L147" s="32" t="s">
        <v>922</v>
      </c>
      <c r="M147" s="36" t="s">
        <v>922</v>
      </c>
      <c r="N147" s="44" t="s">
        <v>933</v>
      </c>
      <c r="O147" s="38" t="s">
        <v>922</v>
      </c>
      <c r="P147" s="32" t="s">
        <v>922</v>
      </c>
      <c r="Q147" s="36" t="s">
        <v>922</v>
      </c>
      <c r="R147" s="44" t="s">
        <v>933</v>
      </c>
      <c r="S147" s="38" t="s">
        <v>922</v>
      </c>
      <c r="T147" s="32" t="s">
        <v>922</v>
      </c>
      <c r="U147" s="36" t="s">
        <v>922</v>
      </c>
      <c r="V147" s="37">
        <v>19135</v>
      </c>
      <c r="W147" s="38" t="s">
        <v>922</v>
      </c>
    </row>
    <row r="148" spans="1:23" ht="15.5" thickBot="1" x14ac:dyDescent="0.9">
      <c r="A148" s="34" t="s">
        <v>1028</v>
      </c>
      <c r="B148" s="22" t="s">
        <v>921</v>
      </c>
      <c r="C148" s="24">
        <v>6052</v>
      </c>
      <c r="D148" s="25" t="s">
        <v>922</v>
      </c>
      <c r="E148" s="22" t="s">
        <v>922</v>
      </c>
      <c r="F148" s="23" t="s">
        <v>922</v>
      </c>
      <c r="G148" s="24">
        <v>147794</v>
      </c>
      <c r="H148" s="22" t="s">
        <v>921</v>
      </c>
      <c r="I148" s="23" t="s">
        <v>922</v>
      </c>
      <c r="J148" s="39" t="s">
        <v>933</v>
      </c>
      <c r="K148" s="25" t="s">
        <v>922</v>
      </c>
      <c r="L148" s="22" t="s">
        <v>922</v>
      </c>
      <c r="M148" s="23" t="s">
        <v>922</v>
      </c>
      <c r="N148" s="39" t="s">
        <v>933</v>
      </c>
      <c r="O148" s="25" t="s">
        <v>922</v>
      </c>
      <c r="P148" s="22" t="s">
        <v>922</v>
      </c>
      <c r="Q148" s="23" t="s">
        <v>922</v>
      </c>
      <c r="R148" s="39" t="s">
        <v>933</v>
      </c>
      <c r="S148" s="25" t="s">
        <v>922</v>
      </c>
      <c r="T148" s="22" t="s">
        <v>922</v>
      </c>
      <c r="U148" s="23" t="s">
        <v>922</v>
      </c>
      <c r="V148" s="24">
        <v>147794</v>
      </c>
      <c r="W148" s="25" t="s">
        <v>922</v>
      </c>
    </row>
    <row r="149" spans="1:23" x14ac:dyDescent="0.75">
      <c r="A149" s="40"/>
      <c r="B149" s="40" t="s">
        <v>939</v>
      </c>
      <c r="C149" s="41"/>
      <c r="D149" s="40"/>
      <c r="E149" s="40"/>
      <c r="F149" s="41"/>
      <c r="G149" s="41"/>
      <c r="H149" s="40" t="s">
        <v>939</v>
      </c>
      <c r="I149" s="41"/>
      <c r="J149" s="41"/>
      <c r="K149" s="40"/>
      <c r="L149" s="40"/>
      <c r="M149" s="41"/>
      <c r="N149" s="41"/>
      <c r="O149" s="40"/>
      <c r="P149" s="40"/>
      <c r="Q149" s="41"/>
      <c r="R149" s="41"/>
      <c r="S149" s="40"/>
      <c r="T149" s="40"/>
      <c r="U149" s="41"/>
      <c r="V149" s="41"/>
      <c r="W149" s="40"/>
    </row>
    <row r="150" spans="1:23" ht="15.5" thickBot="1" x14ac:dyDescent="0.9">
      <c r="A150" s="35" t="s">
        <v>1029</v>
      </c>
      <c r="B150" s="32" t="s">
        <v>921</v>
      </c>
      <c r="C150" s="37">
        <v>135908</v>
      </c>
      <c r="D150" s="38" t="s">
        <v>922</v>
      </c>
      <c r="E150" s="32" t="s">
        <v>922</v>
      </c>
      <c r="F150" s="36" t="s">
        <v>922</v>
      </c>
      <c r="G150" s="37">
        <v>874972</v>
      </c>
      <c r="H150" s="32" t="s">
        <v>921</v>
      </c>
      <c r="I150" s="36" t="s">
        <v>922</v>
      </c>
      <c r="J150" s="44" t="s">
        <v>933</v>
      </c>
      <c r="K150" s="38" t="s">
        <v>922</v>
      </c>
      <c r="L150" s="32" t="s">
        <v>922</v>
      </c>
      <c r="M150" s="36" t="s">
        <v>922</v>
      </c>
      <c r="N150" s="37">
        <v>4405</v>
      </c>
      <c r="O150" s="38" t="s">
        <v>922</v>
      </c>
      <c r="P150" s="32" t="s">
        <v>922</v>
      </c>
      <c r="Q150" s="36" t="s">
        <v>922</v>
      </c>
      <c r="R150" s="37">
        <v>486299</v>
      </c>
      <c r="S150" s="38" t="s">
        <v>922</v>
      </c>
      <c r="T150" s="32" t="s">
        <v>922</v>
      </c>
      <c r="U150" s="36" t="s">
        <v>922</v>
      </c>
      <c r="V150" s="37">
        <v>1365676</v>
      </c>
      <c r="W150" s="38" t="s">
        <v>922</v>
      </c>
    </row>
    <row r="151" spans="1:23" x14ac:dyDescent="0.75">
      <c r="A151" s="40"/>
      <c r="B151" s="40" t="s">
        <v>939</v>
      </c>
      <c r="C151" s="41"/>
      <c r="D151" s="40"/>
      <c r="E151" s="40"/>
      <c r="F151" s="41"/>
      <c r="G151" s="41"/>
      <c r="H151" s="40" t="s">
        <v>939</v>
      </c>
      <c r="I151" s="41"/>
      <c r="J151" s="41"/>
      <c r="K151" s="40"/>
      <c r="L151" s="40"/>
      <c r="M151" s="41"/>
      <c r="N151" s="41"/>
      <c r="O151" s="40"/>
      <c r="P151" s="40"/>
      <c r="Q151" s="41"/>
      <c r="R151" s="41"/>
      <c r="S151" s="40"/>
      <c r="T151" s="40"/>
      <c r="U151" s="41"/>
      <c r="V151" s="41"/>
      <c r="W151" s="40"/>
    </row>
    <row r="152" spans="1:23" x14ac:dyDescent="0.75">
      <c r="A152" s="34" t="s">
        <v>990</v>
      </c>
      <c r="B152" s="22" t="s">
        <v>921</v>
      </c>
      <c r="C152" s="39" t="s">
        <v>933</v>
      </c>
      <c r="D152" s="25" t="s">
        <v>922</v>
      </c>
      <c r="E152" s="22" t="s">
        <v>922</v>
      </c>
      <c r="F152" s="23" t="s">
        <v>922</v>
      </c>
      <c r="G152" s="39" t="s">
        <v>933</v>
      </c>
      <c r="H152" s="22" t="s">
        <v>921</v>
      </c>
      <c r="I152" s="23" t="s">
        <v>922</v>
      </c>
      <c r="J152" s="39" t="s">
        <v>933</v>
      </c>
      <c r="K152" s="25" t="s">
        <v>922</v>
      </c>
      <c r="L152" s="22" t="s">
        <v>922</v>
      </c>
      <c r="M152" s="23" t="s">
        <v>922</v>
      </c>
      <c r="N152" s="39" t="s">
        <v>933</v>
      </c>
      <c r="O152" s="25" t="s">
        <v>922</v>
      </c>
      <c r="P152" s="22" t="s">
        <v>922</v>
      </c>
      <c r="Q152" s="23" t="s">
        <v>922</v>
      </c>
      <c r="R152" s="24">
        <v>203828</v>
      </c>
      <c r="S152" s="25" t="s">
        <v>922</v>
      </c>
      <c r="T152" s="22" t="s">
        <v>922</v>
      </c>
      <c r="U152" s="23" t="s">
        <v>922</v>
      </c>
      <c r="V152" s="24">
        <v>203828</v>
      </c>
      <c r="W152" s="25" t="s">
        <v>922</v>
      </c>
    </row>
    <row r="153" spans="1:23" x14ac:dyDescent="0.75">
      <c r="A153" s="35" t="s">
        <v>1013</v>
      </c>
      <c r="B153" s="32" t="s">
        <v>921</v>
      </c>
      <c r="C153" s="44" t="s">
        <v>933</v>
      </c>
      <c r="D153" s="38" t="s">
        <v>922</v>
      </c>
      <c r="E153" s="32" t="s">
        <v>922</v>
      </c>
      <c r="F153" s="36" t="s">
        <v>922</v>
      </c>
      <c r="G153" s="44" t="s">
        <v>933</v>
      </c>
      <c r="H153" s="32" t="s">
        <v>921</v>
      </c>
      <c r="I153" s="36" t="s">
        <v>922</v>
      </c>
      <c r="J153" s="44" t="s">
        <v>933</v>
      </c>
      <c r="K153" s="38" t="s">
        <v>922</v>
      </c>
      <c r="L153" s="32" t="s">
        <v>922</v>
      </c>
      <c r="M153" s="36" t="s">
        <v>922</v>
      </c>
      <c r="N153" s="37">
        <v>2494</v>
      </c>
      <c r="O153" s="38" t="s">
        <v>922</v>
      </c>
      <c r="P153" s="32" t="s">
        <v>922</v>
      </c>
      <c r="Q153" s="36" t="s">
        <v>922</v>
      </c>
      <c r="R153" s="44" t="s">
        <v>933</v>
      </c>
      <c r="S153" s="38" t="s">
        <v>922</v>
      </c>
      <c r="T153" s="32" t="s">
        <v>922</v>
      </c>
      <c r="U153" s="36" t="s">
        <v>922</v>
      </c>
      <c r="V153" s="37">
        <v>2494</v>
      </c>
      <c r="W153" s="38" t="s">
        <v>922</v>
      </c>
    </row>
    <row r="154" spans="1:23" ht="15.5" thickBot="1" x14ac:dyDescent="0.9">
      <c r="A154" s="34" t="s">
        <v>1015</v>
      </c>
      <c r="B154" s="22" t="s">
        <v>921</v>
      </c>
      <c r="C154" s="39" t="s">
        <v>933</v>
      </c>
      <c r="D154" s="25" t="s">
        <v>922</v>
      </c>
      <c r="E154" s="22" t="s">
        <v>922</v>
      </c>
      <c r="F154" s="23" t="s">
        <v>922</v>
      </c>
      <c r="G154" s="39" t="s">
        <v>933</v>
      </c>
      <c r="H154" s="22" t="s">
        <v>921</v>
      </c>
      <c r="I154" s="23" t="s">
        <v>922</v>
      </c>
      <c r="J154" s="39" t="s">
        <v>933</v>
      </c>
      <c r="K154" s="25" t="s">
        <v>922</v>
      </c>
      <c r="L154" s="22" t="s">
        <v>922</v>
      </c>
      <c r="M154" s="23" t="s">
        <v>922</v>
      </c>
      <c r="N154" s="39">
        <v>76</v>
      </c>
      <c r="O154" s="25" t="s">
        <v>922</v>
      </c>
      <c r="P154" s="22" t="s">
        <v>922</v>
      </c>
      <c r="Q154" s="23" t="s">
        <v>922</v>
      </c>
      <c r="R154" s="39" t="s">
        <v>933</v>
      </c>
      <c r="S154" s="25" t="s">
        <v>922</v>
      </c>
      <c r="T154" s="22" t="s">
        <v>922</v>
      </c>
      <c r="U154" s="23" t="s">
        <v>922</v>
      </c>
      <c r="V154" s="39">
        <v>76</v>
      </c>
      <c r="W154" s="25" t="s">
        <v>922</v>
      </c>
    </row>
    <row r="155" spans="1:23" x14ac:dyDescent="0.75">
      <c r="A155" s="40"/>
      <c r="B155" s="40" t="s">
        <v>939</v>
      </c>
      <c r="C155" s="41"/>
      <c r="D155" s="40"/>
      <c r="E155" s="40"/>
      <c r="F155" s="41"/>
      <c r="G155" s="41"/>
      <c r="H155" s="40" t="s">
        <v>939</v>
      </c>
      <c r="I155" s="41"/>
      <c r="J155" s="41"/>
      <c r="K155" s="40"/>
      <c r="L155" s="40"/>
      <c r="M155" s="41"/>
      <c r="N155" s="41"/>
      <c r="O155" s="40"/>
      <c r="P155" s="40"/>
      <c r="Q155" s="41"/>
      <c r="R155" s="41"/>
      <c r="S155" s="40"/>
      <c r="T155" s="40"/>
      <c r="U155" s="41"/>
      <c r="V155" s="41"/>
      <c r="W155" s="40"/>
    </row>
    <row r="156" spans="1:23" x14ac:dyDescent="0.75">
      <c r="A156" s="35" t="s">
        <v>1017</v>
      </c>
      <c r="B156" s="32" t="s">
        <v>921</v>
      </c>
      <c r="C156" s="44" t="s">
        <v>933</v>
      </c>
      <c r="D156" s="38" t="s">
        <v>922</v>
      </c>
      <c r="E156" s="32" t="s">
        <v>922</v>
      </c>
      <c r="F156" s="36" t="s">
        <v>922</v>
      </c>
      <c r="G156" s="44" t="s">
        <v>933</v>
      </c>
      <c r="H156" s="32" t="s">
        <v>921</v>
      </c>
      <c r="I156" s="36" t="s">
        <v>922</v>
      </c>
      <c r="J156" s="44" t="s">
        <v>933</v>
      </c>
      <c r="K156" s="38" t="s">
        <v>922</v>
      </c>
      <c r="L156" s="32" t="s">
        <v>922</v>
      </c>
      <c r="M156" s="36" t="s">
        <v>922</v>
      </c>
      <c r="N156" s="37">
        <v>2570</v>
      </c>
      <c r="O156" s="38" t="s">
        <v>922</v>
      </c>
      <c r="P156" s="32" t="s">
        <v>922</v>
      </c>
      <c r="Q156" s="36" t="s">
        <v>922</v>
      </c>
      <c r="R156" s="37">
        <v>203828</v>
      </c>
      <c r="S156" s="38" t="s">
        <v>922</v>
      </c>
      <c r="T156" s="32" t="s">
        <v>922</v>
      </c>
      <c r="U156" s="36" t="s">
        <v>922</v>
      </c>
      <c r="V156" s="37">
        <v>206398</v>
      </c>
      <c r="W156" s="38" t="s">
        <v>922</v>
      </c>
    </row>
    <row r="157" spans="1:23" x14ac:dyDescent="0.75">
      <c r="A157" s="34" t="s">
        <v>1030</v>
      </c>
      <c r="B157" s="22" t="s">
        <v>921</v>
      </c>
      <c r="C157" s="39" t="s">
        <v>933</v>
      </c>
      <c r="D157" s="25" t="s">
        <v>922</v>
      </c>
      <c r="E157" s="22" t="s">
        <v>922</v>
      </c>
      <c r="F157" s="23" t="s">
        <v>922</v>
      </c>
      <c r="G157" s="39" t="s">
        <v>933</v>
      </c>
      <c r="H157" s="22" t="s">
        <v>921</v>
      </c>
      <c r="I157" s="23" t="s">
        <v>922</v>
      </c>
      <c r="J157" s="39" t="s">
        <v>933</v>
      </c>
      <c r="K157" s="25" t="s">
        <v>922</v>
      </c>
      <c r="L157" s="22" t="s">
        <v>922</v>
      </c>
      <c r="M157" s="23" t="s">
        <v>922</v>
      </c>
      <c r="N157" s="39" t="s">
        <v>933</v>
      </c>
      <c r="O157" s="25" t="s">
        <v>922</v>
      </c>
      <c r="P157" s="22" t="s">
        <v>922</v>
      </c>
      <c r="Q157" s="23" t="s">
        <v>922</v>
      </c>
      <c r="R157" s="39" t="s">
        <v>1031</v>
      </c>
      <c r="S157" s="25" t="s">
        <v>964</v>
      </c>
      <c r="T157" s="22" t="s">
        <v>922</v>
      </c>
      <c r="U157" s="23" t="s">
        <v>922</v>
      </c>
      <c r="V157" s="39" t="s">
        <v>1031</v>
      </c>
      <c r="W157" s="25" t="s">
        <v>964</v>
      </c>
    </row>
    <row r="158" spans="1:23" x14ac:dyDescent="0.75">
      <c r="A158" s="35" t="s">
        <v>1020</v>
      </c>
      <c r="B158" s="32" t="s">
        <v>921</v>
      </c>
      <c r="C158" s="37">
        <v>5510</v>
      </c>
      <c r="D158" s="38" t="s">
        <v>922</v>
      </c>
      <c r="E158" s="32" t="s">
        <v>922</v>
      </c>
      <c r="F158" s="36" t="s">
        <v>922</v>
      </c>
      <c r="G158" s="37">
        <v>199450</v>
      </c>
      <c r="H158" s="32" t="s">
        <v>921</v>
      </c>
      <c r="I158" s="36" t="s">
        <v>922</v>
      </c>
      <c r="J158" s="44" t="s">
        <v>933</v>
      </c>
      <c r="K158" s="38" t="s">
        <v>922</v>
      </c>
      <c r="L158" s="32" t="s">
        <v>922</v>
      </c>
      <c r="M158" s="36" t="s">
        <v>922</v>
      </c>
      <c r="N158" s="44" t="s">
        <v>933</v>
      </c>
      <c r="O158" s="38" t="s">
        <v>922</v>
      </c>
      <c r="P158" s="32" t="s">
        <v>922</v>
      </c>
      <c r="Q158" s="36" t="s">
        <v>922</v>
      </c>
      <c r="R158" s="44" t="s">
        <v>933</v>
      </c>
      <c r="S158" s="38" t="s">
        <v>922</v>
      </c>
      <c r="T158" s="32" t="s">
        <v>922</v>
      </c>
      <c r="U158" s="36" t="s">
        <v>922</v>
      </c>
      <c r="V158" s="37">
        <v>199450</v>
      </c>
      <c r="W158" s="38" t="s">
        <v>922</v>
      </c>
    </row>
    <row r="159" spans="1:23" x14ac:dyDescent="0.75">
      <c r="A159" s="34" t="s">
        <v>1032</v>
      </c>
      <c r="B159" s="22" t="s">
        <v>921</v>
      </c>
      <c r="C159" s="39" t="s">
        <v>1033</v>
      </c>
      <c r="D159" s="25" t="s">
        <v>964</v>
      </c>
      <c r="E159" s="22" t="s">
        <v>922</v>
      </c>
      <c r="F159" s="23" t="s">
        <v>922</v>
      </c>
      <c r="G159" s="39" t="s">
        <v>933</v>
      </c>
      <c r="H159" s="22" t="s">
        <v>921</v>
      </c>
      <c r="I159" s="23" t="s">
        <v>922</v>
      </c>
      <c r="J159" s="39" t="s">
        <v>963</v>
      </c>
      <c r="K159" s="25" t="s">
        <v>964</v>
      </c>
      <c r="L159" s="22" t="s">
        <v>922</v>
      </c>
      <c r="M159" s="23" t="s">
        <v>922</v>
      </c>
      <c r="N159" s="39" t="s">
        <v>933</v>
      </c>
      <c r="O159" s="25" t="s">
        <v>922</v>
      </c>
      <c r="P159" s="22" t="s">
        <v>922</v>
      </c>
      <c r="Q159" s="23" t="s">
        <v>922</v>
      </c>
      <c r="R159" s="39" t="s">
        <v>933</v>
      </c>
      <c r="S159" s="25" t="s">
        <v>922</v>
      </c>
      <c r="T159" s="22" t="s">
        <v>922</v>
      </c>
      <c r="U159" s="23" t="s">
        <v>922</v>
      </c>
      <c r="V159" s="39" t="s">
        <v>963</v>
      </c>
      <c r="W159" s="25" t="s">
        <v>964</v>
      </c>
    </row>
    <row r="160" spans="1:23" x14ac:dyDescent="0.75">
      <c r="A160" s="35" t="s">
        <v>1034</v>
      </c>
      <c r="B160" s="32" t="s">
        <v>921</v>
      </c>
      <c r="C160" s="44" t="s">
        <v>933</v>
      </c>
      <c r="D160" s="38" t="s">
        <v>922</v>
      </c>
      <c r="E160" s="32" t="s">
        <v>922</v>
      </c>
      <c r="F160" s="36" t="s">
        <v>922</v>
      </c>
      <c r="G160" s="37">
        <v>59096</v>
      </c>
      <c r="H160" s="32" t="s">
        <v>921</v>
      </c>
      <c r="I160" s="36" t="s">
        <v>922</v>
      </c>
      <c r="J160" s="44" t="s">
        <v>933</v>
      </c>
      <c r="K160" s="38" t="s">
        <v>922</v>
      </c>
      <c r="L160" s="32" t="s">
        <v>922</v>
      </c>
      <c r="M160" s="36" t="s">
        <v>922</v>
      </c>
      <c r="N160" s="44" t="s">
        <v>933</v>
      </c>
      <c r="O160" s="38" t="s">
        <v>922</v>
      </c>
      <c r="P160" s="32" t="s">
        <v>922</v>
      </c>
      <c r="Q160" s="36" t="s">
        <v>922</v>
      </c>
      <c r="R160" s="44" t="s">
        <v>933</v>
      </c>
      <c r="S160" s="38" t="s">
        <v>922</v>
      </c>
      <c r="T160" s="32" t="s">
        <v>922</v>
      </c>
      <c r="U160" s="36" t="s">
        <v>922</v>
      </c>
      <c r="V160" s="37">
        <v>59096</v>
      </c>
      <c r="W160" s="38" t="s">
        <v>922</v>
      </c>
    </row>
    <row r="161" spans="1:23" x14ac:dyDescent="0.75">
      <c r="A161" s="34" t="s">
        <v>1027</v>
      </c>
      <c r="B161" s="22" t="s">
        <v>921</v>
      </c>
      <c r="C161" s="39" t="s">
        <v>933</v>
      </c>
      <c r="D161" s="25" t="s">
        <v>922</v>
      </c>
      <c r="E161" s="22" t="s">
        <v>922</v>
      </c>
      <c r="F161" s="23" t="s">
        <v>922</v>
      </c>
      <c r="G161" s="24">
        <v>9432</v>
      </c>
      <c r="H161" s="22" t="s">
        <v>921</v>
      </c>
      <c r="I161" s="23" t="s">
        <v>922</v>
      </c>
      <c r="J161" s="39" t="s">
        <v>933</v>
      </c>
      <c r="K161" s="25" t="s">
        <v>922</v>
      </c>
      <c r="L161" s="22" t="s">
        <v>922</v>
      </c>
      <c r="M161" s="23" t="s">
        <v>922</v>
      </c>
      <c r="N161" s="39" t="s">
        <v>933</v>
      </c>
      <c r="O161" s="25" t="s">
        <v>922</v>
      </c>
      <c r="P161" s="22" t="s">
        <v>922</v>
      </c>
      <c r="Q161" s="23" t="s">
        <v>922</v>
      </c>
      <c r="R161" s="39" t="s">
        <v>933</v>
      </c>
      <c r="S161" s="25" t="s">
        <v>922</v>
      </c>
      <c r="T161" s="22" t="s">
        <v>922</v>
      </c>
      <c r="U161" s="23" t="s">
        <v>922</v>
      </c>
      <c r="V161" s="24">
        <v>9432</v>
      </c>
      <c r="W161" s="25" t="s">
        <v>922</v>
      </c>
    </row>
    <row r="162" spans="1:23" ht="15.5" thickBot="1" x14ac:dyDescent="0.9">
      <c r="A162" s="35" t="s">
        <v>1028</v>
      </c>
      <c r="B162" s="32" t="s">
        <v>921</v>
      </c>
      <c r="C162" s="44">
        <v>194</v>
      </c>
      <c r="D162" s="38" t="s">
        <v>922</v>
      </c>
      <c r="E162" s="32" t="s">
        <v>922</v>
      </c>
      <c r="F162" s="36" t="s">
        <v>922</v>
      </c>
      <c r="G162" s="37">
        <v>4922</v>
      </c>
      <c r="H162" s="32" t="s">
        <v>921</v>
      </c>
      <c r="I162" s="36" t="s">
        <v>922</v>
      </c>
      <c r="J162" s="44" t="s">
        <v>933</v>
      </c>
      <c r="K162" s="38" t="s">
        <v>922</v>
      </c>
      <c r="L162" s="32" t="s">
        <v>922</v>
      </c>
      <c r="M162" s="36" t="s">
        <v>922</v>
      </c>
      <c r="N162" s="44" t="s">
        <v>933</v>
      </c>
      <c r="O162" s="38" t="s">
        <v>922</v>
      </c>
      <c r="P162" s="32" t="s">
        <v>922</v>
      </c>
      <c r="Q162" s="36" t="s">
        <v>922</v>
      </c>
      <c r="R162" s="44" t="s">
        <v>933</v>
      </c>
      <c r="S162" s="38" t="s">
        <v>922</v>
      </c>
      <c r="T162" s="32" t="s">
        <v>922</v>
      </c>
      <c r="U162" s="36" t="s">
        <v>922</v>
      </c>
      <c r="V162" s="37">
        <v>4922</v>
      </c>
      <c r="W162" s="38" t="s">
        <v>922</v>
      </c>
    </row>
    <row r="163" spans="1:23" x14ac:dyDescent="0.75">
      <c r="A163" s="40"/>
      <c r="B163" s="40" t="s">
        <v>939</v>
      </c>
      <c r="C163" s="41"/>
      <c r="D163" s="40"/>
      <c r="E163" s="40"/>
      <c r="F163" s="41"/>
      <c r="G163" s="41"/>
      <c r="H163" s="40" t="s">
        <v>939</v>
      </c>
      <c r="I163" s="41"/>
      <c r="J163" s="41"/>
      <c r="K163" s="40"/>
      <c r="L163" s="40"/>
      <c r="M163" s="41"/>
      <c r="N163" s="41"/>
      <c r="O163" s="40"/>
      <c r="P163" s="40"/>
      <c r="Q163" s="41"/>
      <c r="R163" s="41"/>
      <c r="S163" s="40"/>
      <c r="T163" s="40"/>
      <c r="U163" s="41"/>
      <c r="V163" s="41"/>
      <c r="W163" s="40"/>
    </row>
    <row r="164" spans="1:23" ht="15.5" thickBot="1" x14ac:dyDescent="0.9">
      <c r="A164" s="34" t="s">
        <v>1035</v>
      </c>
      <c r="B164" s="22" t="s">
        <v>921</v>
      </c>
      <c r="C164" s="24">
        <v>139607</v>
      </c>
      <c r="D164" s="25" t="s">
        <v>922</v>
      </c>
      <c r="E164" s="22" t="s">
        <v>922</v>
      </c>
      <c r="F164" s="23" t="s">
        <v>931</v>
      </c>
      <c r="G164" s="24">
        <v>1147872</v>
      </c>
      <c r="H164" s="22" t="s">
        <v>921</v>
      </c>
      <c r="I164" s="23" t="s">
        <v>931</v>
      </c>
      <c r="J164" s="39" t="s">
        <v>963</v>
      </c>
      <c r="K164" s="25" t="s">
        <v>964</v>
      </c>
      <c r="L164" s="22" t="s">
        <v>922</v>
      </c>
      <c r="M164" s="23" t="s">
        <v>931</v>
      </c>
      <c r="N164" s="24">
        <v>6975</v>
      </c>
      <c r="O164" s="25" t="s">
        <v>922</v>
      </c>
      <c r="P164" s="22" t="s">
        <v>922</v>
      </c>
      <c r="Q164" s="23" t="s">
        <v>931</v>
      </c>
      <c r="R164" s="24">
        <v>349260</v>
      </c>
      <c r="S164" s="25" t="s">
        <v>922</v>
      </c>
      <c r="T164" s="22" t="s">
        <v>922</v>
      </c>
      <c r="U164" s="23" t="s">
        <v>931</v>
      </c>
      <c r="V164" s="24">
        <v>1404143</v>
      </c>
      <c r="W164" s="25" t="s">
        <v>922</v>
      </c>
    </row>
    <row r="165" spans="1:23" x14ac:dyDescent="0.75">
      <c r="A165" s="40"/>
      <c r="B165" s="40" t="s">
        <v>939</v>
      </c>
      <c r="C165" s="41"/>
      <c r="D165" s="40"/>
      <c r="E165" s="40"/>
      <c r="F165" s="41"/>
      <c r="G165" s="41"/>
      <c r="H165" s="40" t="s">
        <v>939</v>
      </c>
      <c r="I165" s="41"/>
      <c r="J165" s="41"/>
      <c r="K165" s="40"/>
      <c r="L165" s="40"/>
      <c r="M165" s="41"/>
      <c r="N165" s="41"/>
      <c r="O165" s="40"/>
      <c r="P165" s="40"/>
      <c r="Q165" s="41"/>
      <c r="R165" s="41"/>
      <c r="S165" s="40"/>
      <c r="T165" s="40"/>
      <c r="U165" s="41"/>
      <c r="V165" s="41"/>
      <c r="W165" s="40"/>
    </row>
    <row r="166" spans="1:23" x14ac:dyDescent="0.75">
      <c r="A166" s="45" t="s">
        <v>970</v>
      </c>
    </row>
    <row r="167" spans="1:23" x14ac:dyDescent="0.75">
      <c r="A167" s="46" t="s">
        <v>922</v>
      </c>
    </row>
    <row r="168" spans="1:23" x14ac:dyDescent="0.75">
      <c r="A168" s="47">
        <v>39</v>
      </c>
    </row>
    <row r="172" spans="1:23" x14ac:dyDescent="0.75">
      <c r="A172" s="48" t="s">
        <v>971</v>
      </c>
    </row>
    <row r="174" spans="1:23" x14ac:dyDescent="0.75">
      <c r="A174" s="26" t="s">
        <v>924</v>
      </c>
    </row>
    <row r="175" spans="1:23" x14ac:dyDescent="0.75">
      <c r="A175" s="26" t="s">
        <v>1036</v>
      </c>
    </row>
    <row r="176" spans="1:23" x14ac:dyDescent="0.75">
      <c r="A176" s="25" t="s">
        <v>926</v>
      </c>
    </row>
    <row r="177" spans="1:13" x14ac:dyDescent="0.75">
      <c r="A177" s="25" t="s">
        <v>974</v>
      </c>
    </row>
    <row r="178" spans="1:13" x14ac:dyDescent="0.75">
      <c r="A178" s="27"/>
    </row>
    <row r="179" spans="1:13" x14ac:dyDescent="0.75">
      <c r="A179" s="28"/>
      <c r="B179" s="28"/>
      <c r="C179" s="28"/>
      <c r="D179" s="28"/>
      <c r="E179" s="28"/>
      <c r="F179" s="28"/>
      <c r="G179" s="28"/>
      <c r="H179" s="28"/>
      <c r="I179" s="28"/>
      <c r="J179" s="28"/>
      <c r="K179" s="28"/>
      <c r="L179" s="28"/>
      <c r="M179" s="28"/>
    </row>
    <row r="180" spans="1:13" ht="15.5" thickBot="1" x14ac:dyDescent="0.9">
      <c r="A180" s="22" t="s">
        <v>922</v>
      </c>
      <c r="B180" s="22" t="s">
        <v>921</v>
      </c>
      <c r="C180" s="268">
        <v>2006</v>
      </c>
      <c r="D180" s="268"/>
      <c r="E180" s="22" t="s">
        <v>922</v>
      </c>
      <c r="F180" s="22" t="s">
        <v>922</v>
      </c>
      <c r="G180" s="268">
        <v>2005</v>
      </c>
      <c r="H180" s="268"/>
      <c r="I180" s="22" t="s">
        <v>922</v>
      </c>
      <c r="J180" s="22" t="s">
        <v>922</v>
      </c>
      <c r="K180" s="268">
        <v>2004</v>
      </c>
      <c r="L180" s="268"/>
      <c r="M180" s="22" t="s">
        <v>922</v>
      </c>
    </row>
    <row r="181" spans="1:13" x14ac:dyDescent="0.75">
      <c r="A181" s="31" t="s">
        <v>1037</v>
      </c>
      <c r="B181" s="32" t="s">
        <v>921</v>
      </c>
      <c r="C181" s="33"/>
      <c r="D181" s="33"/>
      <c r="E181" s="33"/>
      <c r="F181" s="32" t="s">
        <v>922</v>
      </c>
      <c r="G181" s="33"/>
      <c r="H181" s="33"/>
      <c r="I181" s="33"/>
      <c r="J181" s="32" t="s">
        <v>922</v>
      </c>
      <c r="K181" s="33"/>
      <c r="L181" s="33"/>
      <c r="M181" s="33"/>
    </row>
    <row r="182" spans="1:13" x14ac:dyDescent="0.75">
      <c r="A182" s="34" t="s">
        <v>990</v>
      </c>
      <c r="B182" s="22" t="s">
        <v>921</v>
      </c>
      <c r="C182" s="23" t="s">
        <v>931</v>
      </c>
      <c r="D182" s="24">
        <v>203828</v>
      </c>
      <c r="E182" s="25" t="s">
        <v>922</v>
      </c>
      <c r="F182" s="22" t="s">
        <v>922</v>
      </c>
      <c r="G182" s="23" t="s">
        <v>931</v>
      </c>
      <c r="H182" s="24">
        <v>136351</v>
      </c>
      <c r="I182" s="25" t="s">
        <v>922</v>
      </c>
      <c r="J182" s="22" t="s">
        <v>922</v>
      </c>
      <c r="K182" s="23" t="s">
        <v>931</v>
      </c>
      <c r="L182" s="24">
        <v>129512</v>
      </c>
      <c r="M182" s="25" t="s">
        <v>922</v>
      </c>
    </row>
    <row r="183" spans="1:13" x14ac:dyDescent="0.75">
      <c r="A183" s="35" t="s">
        <v>1038</v>
      </c>
      <c r="B183" s="32" t="s">
        <v>921</v>
      </c>
      <c r="C183" s="33"/>
      <c r="D183" s="33"/>
      <c r="E183" s="33"/>
      <c r="F183" s="32" t="s">
        <v>922</v>
      </c>
      <c r="G183" s="33"/>
      <c r="H183" s="33"/>
      <c r="I183" s="33"/>
      <c r="J183" s="32" t="s">
        <v>922</v>
      </c>
      <c r="K183" s="33"/>
      <c r="L183" s="33"/>
      <c r="M183" s="33"/>
    </row>
    <row r="184" spans="1:13" x14ac:dyDescent="0.75">
      <c r="A184" s="21" t="s">
        <v>920</v>
      </c>
      <c r="B184" s="22" t="s">
        <v>921</v>
      </c>
      <c r="C184" s="23" t="s">
        <v>922</v>
      </c>
      <c r="D184" s="24">
        <v>156223</v>
      </c>
      <c r="E184" s="25" t="s">
        <v>922</v>
      </c>
      <c r="F184" s="22" t="s">
        <v>922</v>
      </c>
      <c r="G184" s="23" t="s">
        <v>922</v>
      </c>
      <c r="H184" s="24">
        <v>133759</v>
      </c>
      <c r="I184" s="25" t="s">
        <v>922</v>
      </c>
      <c r="J184" s="22" t="s">
        <v>922</v>
      </c>
      <c r="K184" s="23" t="s">
        <v>922</v>
      </c>
      <c r="L184" s="24">
        <v>115157</v>
      </c>
      <c r="M184" s="25" t="s">
        <v>922</v>
      </c>
    </row>
    <row r="185" spans="1:13" x14ac:dyDescent="0.75">
      <c r="A185" s="49" t="s">
        <v>1039</v>
      </c>
      <c r="B185" s="32" t="s">
        <v>921</v>
      </c>
      <c r="C185" s="36" t="s">
        <v>922</v>
      </c>
      <c r="D185" s="37">
        <v>6291</v>
      </c>
      <c r="E185" s="38" t="s">
        <v>922</v>
      </c>
      <c r="F185" s="32" t="s">
        <v>922</v>
      </c>
      <c r="G185" s="36" t="s">
        <v>922</v>
      </c>
      <c r="H185" s="37">
        <v>15886</v>
      </c>
      <c r="I185" s="38" t="s">
        <v>922</v>
      </c>
      <c r="J185" s="32" t="s">
        <v>922</v>
      </c>
      <c r="K185" s="36" t="s">
        <v>922</v>
      </c>
      <c r="L185" s="37">
        <v>5769</v>
      </c>
      <c r="M185" s="38" t="s">
        <v>922</v>
      </c>
    </row>
    <row r="186" spans="1:13" x14ac:dyDescent="0.75">
      <c r="A186" s="21" t="s">
        <v>1027</v>
      </c>
      <c r="B186" s="22" t="s">
        <v>921</v>
      </c>
      <c r="C186" s="23" t="s">
        <v>922</v>
      </c>
      <c r="D186" s="24">
        <v>9432</v>
      </c>
      <c r="E186" s="25" t="s">
        <v>922</v>
      </c>
      <c r="F186" s="22" t="s">
        <v>922</v>
      </c>
      <c r="G186" s="23" t="s">
        <v>922</v>
      </c>
      <c r="H186" s="24">
        <v>19135</v>
      </c>
      <c r="I186" s="25" t="s">
        <v>922</v>
      </c>
      <c r="J186" s="22" t="s">
        <v>922</v>
      </c>
      <c r="K186" s="23" t="s">
        <v>922</v>
      </c>
      <c r="L186" s="39" t="s">
        <v>933</v>
      </c>
      <c r="M186" s="25" t="s">
        <v>922</v>
      </c>
    </row>
    <row r="187" spans="1:13" x14ac:dyDescent="0.75">
      <c r="A187" s="49" t="s">
        <v>1040</v>
      </c>
      <c r="B187" s="32" t="s">
        <v>921</v>
      </c>
      <c r="C187" s="36" t="s">
        <v>922</v>
      </c>
      <c r="D187" s="44" t="s">
        <v>1041</v>
      </c>
      <c r="E187" s="38" t="s">
        <v>964</v>
      </c>
      <c r="F187" s="32" t="s">
        <v>922</v>
      </c>
      <c r="G187" s="36" t="s">
        <v>922</v>
      </c>
      <c r="H187" s="44" t="s">
        <v>1042</v>
      </c>
      <c r="I187" s="38" t="s">
        <v>964</v>
      </c>
      <c r="J187" s="32" t="s">
        <v>922</v>
      </c>
      <c r="K187" s="36" t="s">
        <v>922</v>
      </c>
      <c r="L187" s="44" t="s">
        <v>1043</v>
      </c>
      <c r="M187" s="38" t="s">
        <v>964</v>
      </c>
    </row>
    <row r="188" spans="1:13" x14ac:dyDescent="0.75">
      <c r="A188" s="21" t="s">
        <v>1022</v>
      </c>
      <c r="B188" s="22" t="s">
        <v>921</v>
      </c>
      <c r="C188" s="23" t="s">
        <v>922</v>
      </c>
      <c r="D188" s="39" t="s">
        <v>933</v>
      </c>
      <c r="E188" s="25" t="s">
        <v>922</v>
      </c>
      <c r="F188" s="22" t="s">
        <v>922</v>
      </c>
      <c r="G188" s="23" t="s">
        <v>922</v>
      </c>
      <c r="H188" s="24">
        <v>62643</v>
      </c>
      <c r="I188" s="25" t="s">
        <v>922</v>
      </c>
      <c r="J188" s="22" t="s">
        <v>922</v>
      </c>
      <c r="K188" s="23" t="s">
        <v>922</v>
      </c>
      <c r="L188" s="24">
        <v>35583</v>
      </c>
      <c r="M188" s="25" t="s">
        <v>922</v>
      </c>
    </row>
    <row r="189" spans="1:13" x14ac:dyDescent="0.75">
      <c r="A189" s="49" t="s">
        <v>1034</v>
      </c>
      <c r="B189" s="32" t="s">
        <v>921</v>
      </c>
      <c r="C189" s="36" t="s">
        <v>922</v>
      </c>
      <c r="D189" s="44" t="s">
        <v>1044</v>
      </c>
      <c r="E189" s="38" t="s">
        <v>964</v>
      </c>
      <c r="F189" s="32" t="s">
        <v>922</v>
      </c>
      <c r="G189" s="36" t="s">
        <v>922</v>
      </c>
      <c r="H189" s="44" t="s">
        <v>933</v>
      </c>
      <c r="I189" s="38" t="s">
        <v>922</v>
      </c>
      <c r="J189" s="32" t="s">
        <v>922</v>
      </c>
      <c r="K189" s="36" t="s">
        <v>922</v>
      </c>
      <c r="L189" s="44" t="s">
        <v>933</v>
      </c>
      <c r="M189" s="38" t="s">
        <v>922</v>
      </c>
    </row>
    <row r="190" spans="1:13" x14ac:dyDescent="0.75">
      <c r="A190" s="21" t="s">
        <v>1045</v>
      </c>
      <c r="B190" s="22" t="s">
        <v>921</v>
      </c>
      <c r="C190" s="23" t="s">
        <v>922</v>
      </c>
      <c r="D190" s="39">
        <v>460</v>
      </c>
      <c r="E190" s="25" t="s">
        <v>922</v>
      </c>
      <c r="F190" s="22" t="s">
        <v>922</v>
      </c>
      <c r="G190" s="23" t="s">
        <v>922</v>
      </c>
      <c r="H190" s="24">
        <v>4120</v>
      </c>
      <c r="I190" s="25" t="s">
        <v>922</v>
      </c>
      <c r="J190" s="22" t="s">
        <v>922</v>
      </c>
      <c r="K190" s="23" t="s">
        <v>922</v>
      </c>
      <c r="L190" s="24">
        <v>7551</v>
      </c>
      <c r="M190" s="25" t="s">
        <v>922</v>
      </c>
    </row>
    <row r="191" spans="1:13" x14ac:dyDescent="0.75">
      <c r="A191" s="49" t="s">
        <v>1046</v>
      </c>
      <c r="B191" s="32" t="s">
        <v>921</v>
      </c>
      <c r="C191" s="36" t="s">
        <v>922</v>
      </c>
      <c r="D191" s="37">
        <v>26607</v>
      </c>
      <c r="E191" s="38" t="s">
        <v>922</v>
      </c>
      <c r="F191" s="32" t="s">
        <v>922</v>
      </c>
      <c r="G191" s="36" t="s">
        <v>922</v>
      </c>
      <c r="H191" s="37">
        <v>16080</v>
      </c>
      <c r="I191" s="38" t="s">
        <v>922</v>
      </c>
      <c r="J191" s="32" t="s">
        <v>922</v>
      </c>
      <c r="K191" s="36" t="s">
        <v>922</v>
      </c>
      <c r="L191" s="37">
        <v>11109</v>
      </c>
      <c r="M191" s="38" t="s">
        <v>922</v>
      </c>
    </row>
    <row r="192" spans="1:13" x14ac:dyDescent="0.75">
      <c r="A192" s="21" t="s">
        <v>1004</v>
      </c>
      <c r="B192" s="22" t="s">
        <v>921</v>
      </c>
      <c r="C192" s="23" t="s">
        <v>922</v>
      </c>
      <c r="D192" s="39">
        <v>693</v>
      </c>
      <c r="E192" s="25" t="s">
        <v>922</v>
      </c>
      <c r="F192" s="22" t="s">
        <v>922</v>
      </c>
      <c r="G192" s="23" t="s">
        <v>922</v>
      </c>
      <c r="H192" s="24">
        <v>1317</v>
      </c>
      <c r="I192" s="25" t="s">
        <v>922</v>
      </c>
      <c r="J192" s="22" t="s">
        <v>922</v>
      </c>
      <c r="K192" s="23" t="s">
        <v>922</v>
      </c>
      <c r="L192" s="39" t="s">
        <v>1047</v>
      </c>
      <c r="M192" s="25" t="s">
        <v>964</v>
      </c>
    </row>
    <row r="193" spans="1:13" x14ac:dyDescent="0.75">
      <c r="A193" s="49" t="s">
        <v>1048</v>
      </c>
      <c r="B193" s="32" t="s">
        <v>921</v>
      </c>
      <c r="C193" s="33"/>
      <c r="D193" s="33"/>
      <c r="E193" s="33"/>
      <c r="F193" s="32" t="s">
        <v>922</v>
      </c>
      <c r="G193" s="33"/>
      <c r="H193" s="33"/>
      <c r="I193" s="33"/>
      <c r="J193" s="32" t="s">
        <v>922</v>
      </c>
      <c r="K193" s="33"/>
      <c r="L193" s="33"/>
      <c r="M193" s="33"/>
    </row>
    <row r="194" spans="1:13" x14ac:dyDescent="0.75">
      <c r="A194" s="50" t="s">
        <v>935</v>
      </c>
      <c r="B194" s="22" t="s">
        <v>921</v>
      </c>
      <c r="C194" s="23" t="s">
        <v>922</v>
      </c>
      <c r="D194" s="39" t="s">
        <v>1049</v>
      </c>
      <c r="E194" s="25" t="s">
        <v>964</v>
      </c>
      <c r="F194" s="22" t="s">
        <v>922</v>
      </c>
      <c r="G194" s="23" t="s">
        <v>922</v>
      </c>
      <c r="H194" s="39" t="s">
        <v>1050</v>
      </c>
      <c r="I194" s="25" t="s">
        <v>964</v>
      </c>
      <c r="J194" s="22" t="s">
        <v>922</v>
      </c>
      <c r="K194" s="23" t="s">
        <v>922</v>
      </c>
      <c r="L194" s="39" t="s">
        <v>1051</v>
      </c>
      <c r="M194" s="25" t="s">
        <v>964</v>
      </c>
    </row>
    <row r="195" spans="1:13" x14ac:dyDescent="0.75">
      <c r="A195" s="51" t="s">
        <v>936</v>
      </c>
      <c r="B195" s="32" t="s">
        <v>921</v>
      </c>
      <c r="C195" s="36" t="s">
        <v>922</v>
      </c>
      <c r="D195" s="44" t="s">
        <v>1052</v>
      </c>
      <c r="E195" s="38" t="s">
        <v>964</v>
      </c>
      <c r="F195" s="32" t="s">
        <v>922</v>
      </c>
      <c r="G195" s="36" t="s">
        <v>922</v>
      </c>
      <c r="H195" s="44" t="s">
        <v>1053</v>
      </c>
      <c r="I195" s="38" t="s">
        <v>964</v>
      </c>
      <c r="J195" s="32" t="s">
        <v>922</v>
      </c>
      <c r="K195" s="36" t="s">
        <v>922</v>
      </c>
      <c r="L195" s="44" t="s">
        <v>1054</v>
      </c>
      <c r="M195" s="38" t="s">
        <v>964</v>
      </c>
    </row>
    <row r="196" spans="1:13" x14ac:dyDescent="0.75">
      <c r="A196" s="50" t="s">
        <v>937</v>
      </c>
      <c r="B196" s="22" t="s">
        <v>921</v>
      </c>
      <c r="C196" s="23" t="s">
        <v>922</v>
      </c>
      <c r="D196" s="39" t="s">
        <v>1055</v>
      </c>
      <c r="E196" s="25" t="s">
        <v>964</v>
      </c>
      <c r="F196" s="22" t="s">
        <v>922</v>
      </c>
      <c r="G196" s="23" t="s">
        <v>922</v>
      </c>
      <c r="H196" s="39" t="s">
        <v>1056</v>
      </c>
      <c r="I196" s="25" t="s">
        <v>964</v>
      </c>
      <c r="J196" s="22" t="s">
        <v>922</v>
      </c>
      <c r="K196" s="23" t="s">
        <v>922</v>
      </c>
      <c r="L196" s="39" t="s">
        <v>1057</v>
      </c>
      <c r="M196" s="25" t="s">
        <v>964</v>
      </c>
    </row>
    <row r="197" spans="1:13" x14ac:dyDescent="0.75">
      <c r="A197" s="51" t="s">
        <v>949</v>
      </c>
      <c r="B197" s="32" t="s">
        <v>921</v>
      </c>
      <c r="C197" s="36" t="s">
        <v>922</v>
      </c>
      <c r="D197" s="37">
        <v>18509</v>
      </c>
      <c r="E197" s="38" t="s">
        <v>922</v>
      </c>
      <c r="F197" s="32" t="s">
        <v>922</v>
      </c>
      <c r="G197" s="36" t="s">
        <v>922</v>
      </c>
      <c r="H197" s="37">
        <v>12597</v>
      </c>
      <c r="I197" s="38" t="s">
        <v>922</v>
      </c>
      <c r="J197" s="32" t="s">
        <v>922</v>
      </c>
      <c r="K197" s="36" t="s">
        <v>922</v>
      </c>
      <c r="L197" s="37">
        <v>12515</v>
      </c>
      <c r="M197" s="38" t="s">
        <v>922</v>
      </c>
    </row>
    <row r="198" spans="1:13" x14ac:dyDescent="0.75">
      <c r="A198" s="50" t="s">
        <v>1058</v>
      </c>
      <c r="B198" s="22" t="s">
        <v>921</v>
      </c>
      <c r="C198" s="23" t="s">
        <v>922</v>
      </c>
      <c r="D198" s="24">
        <v>26033</v>
      </c>
      <c r="E198" s="25" t="s">
        <v>922</v>
      </c>
      <c r="F198" s="22" t="s">
        <v>922</v>
      </c>
      <c r="G198" s="23" t="s">
        <v>922</v>
      </c>
      <c r="H198" s="24">
        <v>26445</v>
      </c>
      <c r="I198" s="25" t="s">
        <v>922</v>
      </c>
      <c r="J198" s="22" t="s">
        <v>922</v>
      </c>
      <c r="K198" s="23" t="s">
        <v>922</v>
      </c>
      <c r="L198" s="24">
        <v>29646</v>
      </c>
      <c r="M198" s="25" t="s">
        <v>922</v>
      </c>
    </row>
    <row r="199" spans="1:13" ht="15.5" thickBot="1" x14ac:dyDescent="0.9">
      <c r="A199" s="51" t="s">
        <v>1059</v>
      </c>
      <c r="B199" s="32" t="s">
        <v>921</v>
      </c>
      <c r="C199" s="36" t="s">
        <v>922</v>
      </c>
      <c r="D199" s="37">
        <v>129886</v>
      </c>
      <c r="E199" s="38" t="s">
        <v>922</v>
      </c>
      <c r="F199" s="32" t="s">
        <v>922</v>
      </c>
      <c r="G199" s="36" t="s">
        <v>922</v>
      </c>
      <c r="H199" s="37">
        <v>38023</v>
      </c>
      <c r="I199" s="38" t="s">
        <v>922</v>
      </c>
      <c r="J199" s="32" t="s">
        <v>922</v>
      </c>
      <c r="K199" s="36" t="s">
        <v>922</v>
      </c>
      <c r="L199" s="37">
        <v>35279</v>
      </c>
      <c r="M199" s="38" t="s">
        <v>922</v>
      </c>
    </row>
    <row r="200" spans="1:13" x14ac:dyDescent="0.75">
      <c r="A200" s="40"/>
      <c r="B200" s="40" t="s">
        <v>939</v>
      </c>
      <c r="C200" s="41"/>
      <c r="D200" s="41"/>
      <c r="E200" s="40"/>
      <c r="F200" s="40"/>
      <c r="G200" s="41"/>
      <c r="H200" s="41"/>
      <c r="I200" s="40"/>
      <c r="J200" s="40"/>
      <c r="K200" s="41"/>
      <c r="L200" s="41"/>
      <c r="M200" s="40"/>
    </row>
    <row r="201" spans="1:13" ht="15.5" thickBot="1" x14ac:dyDescent="0.9">
      <c r="A201" s="21" t="s">
        <v>1060</v>
      </c>
      <c r="B201" s="22" t="s">
        <v>921</v>
      </c>
      <c r="C201" s="23" t="s">
        <v>922</v>
      </c>
      <c r="D201" s="24">
        <v>452664</v>
      </c>
      <c r="E201" s="25" t="s">
        <v>922</v>
      </c>
      <c r="F201" s="22" t="s">
        <v>922</v>
      </c>
      <c r="G201" s="23" t="s">
        <v>922</v>
      </c>
      <c r="H201" s="24">
        <v>410819</v>
      </c>
      <c r="I201" s="25" t="s">
        <v>922</v>
      </c>
      <c r="J201" s="22" t="s">
        <v>922</v>
      </c>
      <c r="K201" s="23" t="s">
        <v>922</v>
      </c>
      <c r="L201" s="24">
        <v>330340</v>
      </c>
      <c r="M201" s="25" t="s">
        <v>922</v>
      </c>
    </row>
    <row r="202" spans="1:13" x14ac:dyDescent="0.75">
      <c r="A202" s="40"/>
      <c r="B202" s="40" t="s">
        <v>939</v>
      </c>
      <c r="C202" s="41"/>
      <c r="D202" s="41"/>
      <c r="E202" s="40"/>
      <c r="F202" s="40"/>
      <c r="G202" s="41"/>
      <c r="H202" s="41"/>
      <c r="I202" s="40"/>
      <c r="J202" s="40"/>
      <c r="K202" s="41"/>
      <c r="L202" s="41"/>
      <c r="M202" s="40"/>
    </row>
    <row r="203" spans="1:13" x14ac:dyDescent="0.75">
      <c r="A203" s="43" t="s">
        <v>1061</v>
      </c>
      <c r="B203" s="32" t="s">
        <v>921</v>
      </c>
      <c r="C203" s="33"/>
      <c r="D203" s="33"/>
      <c r="E203" s="33"/>
      <c r="F203" s="32" t="s">
        <v>922</v>
      </c>
      <c r="G203" s="33"/>
      <c r="H203" s="33"/>
      <c r="I203" s="33"/>
      <c r="J203" s="32" t="s">
        <v>922</v>
      </c>
      <c r="K203" s="33"/>
      <c r="L203" s="33"/>
      <c r="M203" s="33"/>
    </row>
    <row r="204" spans="1:13" x14ac:dyDescent="0.75">
      <c r="A204" s="34" t="s">
        <v>1062</v>
      </c>
      <c r="B204" s="22" t="s">
        <v>921</v>
      </c>
      <c r="C204" s="23" t="s">
        <v>922</v>
      </c>
      <c r="D204" s="39" t="s">
        <v>1063</v>
      </c>
      <c r="E204" s="25" t="s">
        <v>964</v>
      </c>
      <c r="F204" s="22" t="s">
        <v>922</v>
      </c>
      <c r="G204" s="23" t="s">
        <v>922</v>
      </c>
      <c r="H204" s="39" t="s">
        <v>1064</v>
      </c>
      <c r="I204" s="25" t="s">
        <v>964</v>
      </c>
      <c r="J204" s="22" t="s">
        <v>922</v>
      </c>
      <c r="K204" s="23" t="s">
        <v>922</v>
      </c>
      <c r="L204" s="39" t="s">
        <v>1065</v>
      </c>
      <c r="M204" s="25" t="s">
        <v>964</v>
      </c>
    </row>
    <row r="205" spans="1:13" x14ac:dyDescent="0.75">
      <c r="A205" s="35" t="s">
        <v>1066</v>
      </c>
      <c r="B205" s="32" t="s">
        <v>921</v>
      </c>
      <c r="C205" s="36" t="s">
        <v>922</v>
      </c>
      <c r="D205" s="44" t="s">
        <v>1067</v>
      </c>
      <c r="E205" s="38" t="s">
        <v>964</v>
      </c>
      <c r="F205" s="32" t="s">
        <v>922</v>
      </c>
      <c r="G205" s="36" t="s">
        <v>922</v>
      </c>
      <c r="H205" s="44" t="s">
        <v>1068</v>
      </c>
      <c r="I205" s="38" t="s">
        <v>964</v>
      </c>
      <c r="J205" s="32" t="s">
        <v>922</v>
      </c>
      <c r="K205" s="36" t="s">
        <v>922</v>
      </c>
      <c r="L205" s="44" t="s">
        <v>1069</v>
      </c>
      <c r="M205" s="38" t="s">
        <v>964</v>
      </c>
    </row>
    <row r="206" spans="1:13" x14ac:dyDescent="0.75">
      <c r="A206" s="34" t="s">
        <v>1070</v>
      </c>
      <c r="B206" s="22" t="s">
        <v>921</v>
      </c>
      <c r="C206" s="23" t="s">
        <v>922</v>
      </c>
      <c r="D206" s="24">
        <v>3308</v>
      </c>
      <c r="E206" s="25" t="s">
        <v>922</v>
      </c>
      <c r="F206" s="22" t="s">
        <v>922</v>
      </c>
      <c r="G206" s="23" t="s">
        <v>922</v>
      </c>
      <c r="H206" s="39" t="s">
        <v>933</v>
      </c>
      <c r="I206" s="25" t="s">
        <v>922</v>
      </c>
      <c r="J206" s="22" t="s">
        <v>922</v>
      </c>
      <c r="K206" s="23" t="s">
        <v>922</v>
      </c>
      <c r="L206" s="39" t="s">
        <v>933</v>
      </c>
      <c r="M206" s="25" t="s">
        <v>922</v>
      </c>
    </row>
    <row r="207" spans="1:13" x14ac:dyDescent="0.75">
      <c r="A207" s="35" t="s">
        <v>1071</v>
      </c>
      <c r="B207" s="32" t="s">
        <v>921</v>
      </c>
      <c r="C207" s="36" t="s">
        <v>922</v>
      </c>
      <c r="D207" s="44" t="s">
        <v>1072</v>
      </c>
      <c r="E207" s="38" t="s">
        <v>964</v>
      </c>
      <c r="F207" s="32" t="s">
        <v>922</v>
      </c>
      <c r="G207" s="36" t="s">
        <v>922</v>
      </c>
      <c r="H207" s="44" t="s">
        <v>1073</v>
      </c>
      <c r="I207" s="38" t="s">
        <v>964</v>
      </c>
      <c r="J207" s="32" t="s">
        <v>922</v>
      </c>
      <c r="K207" s="36" t="s">
        <v>922</v>
      </c>
      <c r="L207" s="44" t="s">
        <v>933</v>
      </c>
      <c r="M207" s="38" t="s">
        <v>922</v>
      </c>
    </row>
    <row r="208" spans="1:13" x14ac:dyDescent="0.75">
      <c r="A208" s="34" t="s">
        <v>1074</v>
      </c>
      <c r="B208" s="22" t="s">
        <v>921</v>
      </c>
      <c r="C208" s="23" t="s">
        <v>922</v>
      </c>
      <c r="D208" s="39" t="s">
        <v>933</v>
      </c>
      <c r="E208" s="25" t="s">
        <v>922</v>
      </c>
      <c r="F208" s="22" t="s">
        <v>922</v>
      </c>
      <c r="G208" s="23" t="s">
        <v>922</v>
      </c>
      <c r="H208" s="24">
        <v>13500</v>
      </c>
      <c r="I208" s="25" t="s">
        <v>922</v>
      </c>
      <c r="J208" s="22" t="s">
        <v>922</v>
      </c>
      <c r="K208" s="23" t="s">
        <v>922</v>
      </c>
      <c r="L208" s="39" t="s">
        <v>1075</v>
      </c>
      <c r="M208" s="25" t="s">
        <v>964</v>
      </c>
    </row>
    <row r="209" spans="1:13" x14ac:dyDescent="0.75">
      <c r="A209" s="35" t="s">
        <v>1076</v>
      </c>
      <c r="B209" s="32" t="s">
        <v>921</v>
      </c>
      <c r="C209" s="36" t="s">
        <v>922</v>
      </c>
      <c r="D209" s="44" t="s">
        <v>1077</v>
      </c>
      <c r="E209" s="38" t="s">
        <v>964</v>
      </c>
      <c r="F209" s="32" t="s">
        <v>922</v>
      </c>
      <c r="G209" s="36" t="s">
        <v>922</v>
      </c>
      <c r="H209" s="44" t="s">
        <v>933</v>
      </c>
      <c r="I209" s="38" t="s">
        <v>922</v>
      </c>
      <c r="J209" s="32" t="s">
        <v>922</v>
      </c>
      <c r="K209" s="36" t="s">
        <v>922</v>
      </c>
      <c r="L209" s="44" t="s">
        <v>933</v>
      </c>
      <c r="M209" s="38" t="s">
        <v>922</v>
      </c>
    </row>
    <row r="210" spans="1:13" x14ac:dyDescent="0.75">
      <c r="A210" s="34" t="s">
        <v>1078</v>
      </c>
      <c r="B210" s="22" t="s">
        <v>921</v>
      </c>
      <c r="C210" s="23" t="s">
        <v>922</v>
      </c>
      <c r="D210" s="24">
        <v>362209</v>
      </c>
      <c r="E210" s="25" t="s">
        <v>922</v>
      </c>
      <c r="F210" s="22" t="s">
        <v>922</v>
      </c>
      <c r="G210" s="23" t="s">
        <v>922</v>
      </c>
      <c r="H210" s="39" t="s">
        <v>933</v>
      </c>
      <c r="I210" s="25" t="s">
        <v>922</v>
      </c>
      <c r="J210" s="22" t="s">
        <v>922</v>
      </c>
      <c r="K210" s="23" t="s">
        <v>922</v>
      </c>
      <c r="L210" s="39" t="s">
        <v>933</v>
      </c>
      <c r="M210" s="25" t="s">
        <v>922</v>
      </c>
    </row>
    <row r="211" spans="1:13" x14ac:dyDescent="0.75">
      <c r="A211" s="35" t="s">
        <v>1079</v>
      </c>
      <c r="B211" s="32" t="s">
        <v>921</v>
      </c>
      <c r="C211" s="36" t="s">
        <v>922</v>
      </c>
      <c r="D211" s="44" t="s">
        <v>1080</v>
      </c>
      <c r="E211" s="38" t="s">
        <v>964</v>
      </c>
      <c r="F211" s="32" t="s">
        <v>922</v>
      </c>
      <c r="G211" s="36" t="s">
        <v>922</v>
      </c>
      <c r="H211" s="44" t="s">
        <v>1081</v>
      </c>
      <c r="I211" s="38" t="s">
        <v>964</v>
      </c>
      <c r="J211" s="32" t="s">
        <v>922</v>
      </c>
      <c r="K211" s="36" t="s">
        <v>922</v>
      </c>
      <c r="L211" s="44" t="s">
        <v>1082</v>
      </c>
      <c r="M211" s="38" t="s">
        <v>964</v>
      </c>
    </row>
    <row r="212" spans="1:13" x14ac:dyDescent="0.75">
      <c r="A212" s="34" t="s">
        <v>1083</v>
      </c>
      <c r="B212" s="22" t="s">
        <v>921</v>
      </c>
      <c r="C212" s="23" t="s">
        <v>922</v>
      </c>
      <c r="D212" s="39" t="s">
        <v>933</v>
      </c>
      <c r="E212" s="25" t="s">
        <v>922</v>
      </c>
      <c r="F212" s="22" t="s">
        <v>922</v>
      </c>
      <c r="G212" s="23" t="s">
        <v>922</v>
      </c>
      <c r="H212" s="39" t="s">
        <v>933</v>
      </c>
      <c r="I212" s="25" t="s">
        <v>922</v>
      </c>
      <c r="J212" s="22" t="s">
        <v>922</v>
      </c>
      <c r="K212" s="23" t="s">
        <v>922</v>
      </c>
      <c r="L212" s="39" t="s">
        <v>1084</v>
      </c>
      <c r="M212" s="25" t="s">
        <v>964</v>
      </c>
    </row>
    <row r="213" spans="1:13" ht="15.5" thickBot="1" x14ac:dyDescent="0.9">
      <c r="A213" s="35" t="s">
        <v>1085</v>
      </c>
      <c r="B213" s="32" t="s">
        <v>921</v>
      </c>
      <c r="C213" s="36" t="s">
        <v>922</v>
      </c>
      <c r="D213" s="44" t="s">
        <v>933</v>
      </c>
      <c r="E213" s="38" t="s">
        <v>922</v>
      </c>
      <c r="F213" s="32" t="s">
        <v>922</v>
      </c>
      <c r="G213" s="36" t="s">
        <v>922</v>
      </c>
      <c r="H213" s="44" t="s">
        <v>933</v>
      </c>
      <c r="I213" s="38" t="s">
        <v>922</v>
      </c>
      <c r="J213" s="32" t="s">
        <v>922</v>
      </c>
      <c r="K213" s="36" t="s">
        <v>922</v>
      </c>
      <c r="L213" s="37">
        <v>1332</v>
      </c>
      <c r="M213" s="38" t="s">
        <v>922</v>
      </c>
    </row>
    <row r="214" spans="1:13" x14ac:dyDescent="0.75">
      <c r="A214" s="40"/>
      <c r="B214" s="40" t="s">
        <v>939</v>
      </c>
      <c r="C214" s="41"/>
      <c r="D214" s="41"/>
      <c r="E214" s="40"/>
      <c r="F214" s="40"/>
      <c r="G214" s="41"/>
      <c r="H214" s="41"/>
      <c r="I214" s="40"/>
      <c r="J214" s="40"/>
      <c r="K214" s="41"/>
      <c r="L214" s="41"/>
      <c r="M214" s="40"/>
    </row>
    <row r="215" spans="1:13" ht="15.5" thickBot="1" x14ac:dyDescent="0.9">
      <c r="A215" s="21" t="s">
        <v>1086</v>
      </c>
      <c r="B215" s="22" t="s">
        <v>921</v>
      </c>
      <c r="C215" s="23" t="s">
        <v>922</v>
      </c>
      <c r="D215" s="39" t="s">
        <v>1087</v>
      </c>
      <c r="E215" s="25" t="s">
        <v>964</v>
      </c>
      <c r="F215" s="22" t="s">
        <v>922</v>
      </c>
      <c r="G215" s="23" t="s">
        <v>922</v>
      </c>
      <c r="H215" s="39" t="s">
        <v>1088</v>
      </c>
      <c r="I215" s="25" t="s">
        <v>964</v>
      </c>
      <c r="J215" s="22" t="s">
        <v>922</v>
      </c>
      <c r="K215" s="23" t="s">
        <v>922</v>
      </c>
      <c r="L215" s="39" t="s">
        <v>1089</v>
      </c>
      <c r="M215" s="25" t="s">
        <v>964</v>
      </c>
    </row>
    <row r="216" spans="1:13" x14ac:dyDescent="0.75">
      <c r="A216" s="40"/>
      <c r="B216" s="40" t="s">
        <v>939</v>
      </c>
      <c r="C216" s="41"/>
      <c r="D216" s="41"/>
      <c r="E216" s="40"/>
      <c r="F216" s="40"/>
      <c r="G216" s="41"/>
      <c r="H216" s="41"/>
      <c r="I216" s="40"/>
      <c r="J216" s="40"/>
      <c r="K216" s="41"/>
      <c r="L216" s="41"/>
      <c r="M216" s="40"/>
    </row>
    <row r="217" spans="1:13" x14ac:dyDescent="0.75">
      <c r="A217" s="43" t="s">
        <v>1090</v>
      </c>
      <c r="B217" s="32" t="s">
        <v>921</v>
      </c>
      <c r="C217" s="33"/>
      <c r="D217" s="33"/>
      <c r="E217" s="33"/>
      <c r="F217" s="32" t="s">
        <v>922</v>
      </c>
      <c r="G217" s="33"/>
      <c r="H217" s="33"/>
      <c r="I217" s="33"/>
      <c r="J217" s="32" t="s">
        <v>922</v>
      </c>
      <c r="K217" s="33"/>
      <c r="L217" s="33"/>
      <c r="M217" s="33"/>
    </row>
    <row r="218" spans="1:13" x14ac:dyDescent="0.75">
      <c r="A218" s="34" t="s">
        <v>1091</v>
      </c>
      <c r="B218" s="22" t="s">
        <v>921</v>
      </c>
      <c r="C218" s="23" t="s">
        <v>922</v>
      </c>
      <c r="D218" s="39" t="s">
        <v>1092</v>
      </c>
      <c r="E218" s="25" t="s">
        <v>964</v>
      </c>
      <c r="F218" s="22" t="s">
        <v>922</v>
      </c>
      <c r="G218" s="23" t="s">
        <v>922</v>
      </c>
      <c r="H218" s="39" t="s">
        <v>1093</v>
      </c>
      <c r="I218" s="25" t="s">
        <v>964</v>
      </c>
      <c r="J218" s="22" t="s">
        <v>922</v>
      </c>
      <c r="K218" s="23" t="s">
        <v>922</v>
      </c>
      <c r="L218" s="39" t="s">
        <v>1094</v>
      </c>
      <c r="M218" s="25" t="s">
        <v>964</v>
      </c>
    </row>
    <row r="219" spans="1:13" x14ac:dyDescent="0.75">
      <c r="A219" s="35" t="s">
        <v>1095</v>
      </c>
      <c r="B219" s="32" t="s">
        <v>921</v>
      </c>
      <c r="C219" s="36" t="s">
        <v>922</v>
      </c>
      <c r="D219" s="37">
        <v>222030</v>
      </c>
      <c r="E219" s="38" t="s">
        <v>922</v>
      </c>
      <c r="F219" s="32" t="s">
        <v>922</v>
      </c>
      <c r="G219" s="36" t="s">
        <v>922</v>
      </c>
      <c r="H219" s="37">
        <v>85816</v>
      </c>
      <c r="I219" s="38" t="s">
        <v>922</v>
      </c>
      <c r="J219" s="32" t="s">
        <v>922</v>
      </c>
      <c r="K219" s="36" t="s">
        <v>922</v>
      </c>
      <c r="L219" s="37">
        <v>59518</v>
      </c>
      <c r="M219" s="38" t="s">
        <v>922</v>
      </c>
    </row>
    <row r="220" spans="1:13" x14ac:dyDescent="0.75">
      <c r="A220" s="34" t="s">
        <v>1032</v>
      </c>
      <c r="B220" s="22" t="s">
        <v>921</v>
      </c>
      <c r="C220" s="23" t="s">
        <v>922</v>
      </c>
      <c r="D220" s="39" t="s">
        <v>963</v>
      </c>
      <c r="E220" s="25" t="s">
        <v>964</v>
      </c>
      <c r="F220" s="22" t="s">
        <v>922</v>
      </c>
      <c r="G220" s="23" t="s">
        <v>922</v>
      </c>
      <c r="H220" s="39" t="s">
        <v>933</v>
      </c>
      <c r="I220" s="25" t="s">
        <v>922</v>
      </c>
      <c r="J220" s="22" t="s">
        <v>922</v>
      </c>
      <c r="K220" s="23" t="s">
        <v>922</v>
      </c>
      <c r="L220" s="39" t="s">
        <v>933</v>
      </c>
      <c r="M220" s="25" t="s">
        <v>922</v>
      </c>
    </row>
    <row r="221" spans="1:13" x14ac:dyDescent="0.75">
      <c r="A221" s="35" t="s">
        <v>1034</v>
      </c>
      <c r="B221" s="32" t="s">
        <v>921</v>
      </c>
      <c r="C221" s="36" t="s">
        <v>922</v>
      </c>
      <c r="D221" s="37">
        <v>52008</v>
      </c>
      <c r="E221" s="38" t="s">
        <v>922</v>
      </c>
      <c r="F221" s="32" t="s">
        <v>922</v>
      </c>
      <c r="G221" s="36" t="s">
        <v>922</v>
      </c>
      <c r="H221" s="44" t="s">
        <v>933</v>
      </c>
      <c r="I221" s="38" t="s">
        <v>922</v>
      </c>
      <c r="J221" s="32" t="s">
        <v>922</v>
      </c>
      <c r="K221" s="36" t="s">
        <v>922</v>
      </c>
      <c r="L221" s="44" t="s">
        <v>933</v>
      </c>
      <c r="M221" s="38" t="s">
        <v>922</v>
      </c>
    </row>
    <row r="222" spans="1:13" ht="15.5" thickBot="1" x14ac:dyDescent="0.9">
      <c r="A222" s="34" t="s">
        <v>1096</v>
      </c>
      <c r="B222" s="22" t="s">
        <v>921</v>
      </c>
      <c r="C222" s="23" t="s">
        <v>922</v>
      </c>
      <c r="D222" s="39" t="s">
        <v>1097</v>
      </c>
      <c r="E222" s="25" t="s">
        <v>964</v>
      </c>
      <c r="F222" s="22" t="s">
        <v>922</v>
      </c>
      <c r="G222" s="23" t="s">
        <v>922</v>
      </c>
      <c r="H222" s="39" t="s">
        <v>1098</v>
      </c>
      <c r="I222" s="25" t="s">
        <v>964</v>
      </c>
      <c r="J222" s="22" t="s">
        <v>922</v>
      </c>
      <c r="K222" s="23" t="s">
        <v>922</v>
      </c>
      <c r="L222" s="39" t="s">
        <v>1099</v>
      </c>
      <c r="M222" s="25" t="s">
        <v>964</v>
      </c>
    </row>
    <row r="223" spans="1:13" x14ac:dyDescent="0.75">
      <c r="A223" s="40"/>
      <c r="B223" s="40" t="s">
        <v>939</v>
      </c>
      <c r="C223" s="41"/>
      <c r="D223" s="41"/>
      <c r="E223" s="40"/>
      <c r="F223" s="40"/>
      <c r="G223" s="41"/>
      <c r="H223" s="41"/>
      <c r="I223" s="40"/>
      <c r="J223" s="40"/>
      <c r="K223" s="41"/>
      <c r="L223" s="41"/>
      <c r="M223" s="40"/>
    </row>
    <row r="224" spans="1:13" ht="15.5" thickBot="1" x14ac:dyDescent="0.9">
      <c r="A224" s="49" t="s">
        <v>1100</v>
      </c>
      <c r="B224" s="32" t="s">
        <v>921</v>
      </c>
      <c r="C224" s="36" t="s">
        <v>922</v>
      </c>
      <c r="D224" s="44" t="s">
        <v>1101</v>
      </c>
      <c r="E224" s="38" t="s">
        <v>964</v>
      </c>
      <c r="F224" s="32" t="s">
        <v>922</v>
      </c>
      <c r="G224" s="36" t="s">
        <v>922</v>
      </c>
      <c r="H224" s="37">
        <v>25200</v>
      </c>
      <c r="I224" s="38" t="s">
        <v>922</v>
      </c>
      <c r="J224" s="32" t="s">
        <v>922</v>
      </c>
      <c r="K224" s="36" t="s">
        <v>922</v>
      </c>
      <c r="L224" s="37">
        <v>22926</v>
      </c>
      <c r="M224" s="38" t="s">
        <v>922</v>
      </c>
    </row>
    <row r="225" spans="1:13" x14ac:dyDescent="0.75">
      <c r="A225" s="40"/>
      <c r="B225" s="40" t="s">
        <v>939</v>
      </c>
      <c r="C225" s="41"/>
      <c r="D225" s="41"/>
      <c r="E225" s="40"/>
      <c r="F225" s="40"/>
      <c r="G225" s="41"/>
      <c r="H225" s="41"/>
      <c r="I225" s="40"/>
      <c r="J225" s="40"/>
      <c r="K225" s="41"/>
      <c r="L225" s="41"/>
      <c r="M225" s="40"/>
    </row>
    <row r="226" spans="1:13" x14ac:dyDescent="0.75">
      <c r="A226" s="34" t="s">
        <v>1102</v>
      </c>
      <c r="B226" s="22" t="s">
        <v>921</v>
      </c>
      <c r="C226" s="23" t="s">
        <v>922</v>
      </c>
      <c r="D226" s="39" t="s">
        <v>1103</v>
      </c>
      <c r="E226" s="25" t="s">
        <v>964</v>
      </c>
      <c r="F226" s="22" t="s">
        <v>922</v>
      </c>
      <c r="G226" s="23" t="s">
        <v>922</v>
      </c>
      <c r="H226" s="24">
        <v>113777</v>
      </c>
      <c r="I226" s="25" t="s">
        <v>922</v>
      </c>
      <c r="J226" s="22" t="s">
        <v>922</v>
      </c>
      <c r="K226" s="23" t="s">
        <v>922</v>
      </c>
      <c r="L226" s="24">
        <v>28968</v>
      </c>
      <c r="M226" s="25" t="s">
        <v>922</v>
      </c>
    </row>
    <row r="227" spans="1:13" ht="15.5" thickBot="1" x14ac:dyDescent="0.9">
      <c r="A227" s="35" t="s">
        <v>1104</v>
      </c>
      <c r="B227" s="32" t="s">
        <v>921</v>
      </c>
      <c r="C227" s="36" t="s">
        <v>922</v>
      </c>
      <c r="D227" s="37">
        <v>308524</v>
      </c>
      <c r="E227" s="38" t="s">
        <v>922</v>
      </c>
      <c r="F227" s="32" t="s">
        <v>922</v>
      </c>
      <c r="G227" s="36" t="s">
        <v>922</v>
      </c>
      <c r="H227" s="37">
        <v>194747</v>
      </c>
      <c r="I227" s="38" t="s">
        <v>922</v>
      </c>
      <c r="J227" s="32" t="s">
        <v>922</v>
      </c>
      <c r="K227" s="36" t="s">
        <v>922</v>
      </c>
      <c r="L227" s="37">
        <v>165779</v>
      </c>
      <c r="M227" s="38" t="s">
        <v>922</v>
      </c>
    </row>
    <row r="228" spans="1:13" x14ac:dyDescent="0.75">
      <c r="A228" s="40"/>
      <c r="B228" s="40" t="s">
        <v>939</v>
      </c>
      <c r="C228" s="41"/>
      <c r="D228" s="41"/>
      <c r="E228" s="40"/>
      <c r="F228" s="40"/>
      <c r="G228" s="41"/>
      <c r="H228" s="41"/>
      <c r="I228" s="40"/>
      <c r="J228" s="40"/>
      <c r="K228" s="41"/>
      <c r="L228" s="41"/>
      <c r="M228" s="40"/>
    </row>
    <row r="229" spans="1:13" ht="15.5" thickBot="1" x14ac:dyDescent="0.9">
      <c r="A229" s="34" t="s">
        <v>1105</v>
      </c>
      <c r="B229" s="22" t="s">
        <v>921</v>
      </c>
      <c r="C229" s="23" t="s">
        <v>931</v>
      </c>
      <c r="D229" s="24">
        <v>2252</v>
      </c>
      <c r="E229" s="25" t="s">
        <v>922</v>
      </c>
      <c r="F229" s="22" t="s">
        <v>922</v>
      </c>
      <c r="G229" s="23" t="s">
        <v>931</v>
      </c>
      <c r="H229" s="24">
        <v>308524</v>
      </c>
      <c r="I229" s="25" t="s">
        <v>922</v>
      </c>
      <c r="J229" s="22" t="s">
        <v>922</v>
      </c>
      <c r="K229" s="23" t="s">
        <v>931</v>
      </c>
      <c r="L229" s="24">
        <v>194747</v>
      </c>
      <c r="M229" s="25" t="s">
        <v>922</v>
      </c>
    </row>
    <row r="230" spans="1:13" ht="15.5" thickTop="1" x14ac:dyDescent="0.75">
      <c r="A230" s="40"/>
      <c r="B230" s="40" t="s">
        <v>939</v>
      </c>
      <c r="C230" s="42"/>
      <c r="D230" s="42"/>
      <c r="E230" s="40"/>
      <c r="F230" s="40"/>
      <c r="G230" s="42"/>
      <c r="H230" s="42"/>
      <c r="I230" s="40"/>
      <c r="J230" s="40"/>
      <c r="K230" s="42"/>
      <c r="L230" s="42"/>
      <c r="M230" s="40"/>
    </row>
    <row r="231" spans="1:13" x14ac:dyDescent="0.75">
      <c r="A231" s="35" t="s">
        <v>1106</v>
      </c>
      <c r="B231" s="32" t="s">
        <v>921</v>
      </c>
      <c r="C231" s="33"/>
      <c r="D231" s="33"/>
      <c r="E231" s="33"/>
      <c r="F231" s="32" t="s">
        <v>922</v>
      </c>
      <c r="G231" s="33"/>
      <c r="H231" s="33"/>
      <c r="I231" s="33"/>
      <c r="J231" s="32" t="s">
        <v>922</v>
      </c>
      <c r="K231" s="33"/>
      <c r="L231" s="33"/>
      <c r="M231" s="33"/>
    </row>
    <row r="232" spans="1:13" x14ac:dyDescent="0.75">
      <c r="A232" s="21" t="s">
        <v>1107</v>
      </c>
      <c r="B232" s="22" t="s">
        <v>921</v>
      </c>
      <c r="C232" s="23" t="s">
        <v>931</v>
      </c>
      <c r="D232" s="39">
        <v>607</v>
      </c>
      <c r="E232" s="25" t="s">
        <v>922</v>
      </c>
      <c r="F232" s="22" t="s">
        <v>922</v>
      </c>
      <c r="G232" s="23" t="s">
        <v>931</v>
      </c>
      <c r="H232" s="24">
        <v>1063</v>
      </c>
      <c r="I232" s="25" t="s">
        <v>922</v>
      </c>
      <c r="J232" s="22" t="s">
        <v>922</v>
      </c>
      <c r="K232" s="23" t="s">
        <v>931</v>
      </c>
      <c r="L232" s="24">
        <v>2127</v>
      </c>
      <c r="M232" s="25" t="s">
        <v>922</v>
      </c>
    </row>
    <row r="233" spans="1:13" x14ac:dyDescent="0.75">
      <c r="A233" s="49" t="s">
        <v>1108</v>
      </c>
      <c r="B233" s="32" t="s">
        <v>921</v>
      </c>
      <c r="C233" s="36" t="s">
        <v>931</v>
      </c>
      <c r="D233" s="37">
        <v>70220</v>
      </c>
      <c r="E233" s="38" t="s">
        <v>922</v>
      </c>
      <c r="F233" s="32" t="s">
        <v>922</v>
      </c>
      <c r="G233" s="36" t="s">
        <v>931</v>
      </c>
      <c r="H233" s="37">
        <v>74706</v>
      </c>
      <c r="I233" s="38" t="s">
        <v>922</v>
      </c>
      <c r="J233" s="32" t="s">
        <v>922</v>
      </c>
      <c r="K233" s="36" t="s">
        <v>931</v>
      </c>
      <c r="L233" s="37">
        <v>60372</v>
      </c>
      <c r="M233" s="38" t="s">
        <v>922</v>
      </c>
    </row>
    <row r="234" spans="1:13" x14ac:dyDescent="0.75">
      <c r="A234" s="34" t="s">
        <v>1109</v>
      </c>
      <c r="B234" s="22" t="s">
        <v>921</v>
      </c>
      <c r="C234" s="28"/>
      <c r="D234" s="28"/>
      <c r="E234" s="28"/>
      <c r="F234" s="22" t="s">
        <v>922</v>
      </c>
      <c r="G234" s="28"/>
      <c r="H234" s="28"/>
      <c r="I234" s="28"/>
      <c r="J234" s="22" t="s">
        <v>922</v>
      </c>
      <c r="K234" s="28"/>
      <c r="L234" s="28"/>
      <c r="M234" s="28"/>
    </row>
    <row r="235" spans="1:13" x14ac:dyDescent="0.75">
      <c r="A235" s="49" t="s">
        <v>1110</v>
      </c>
      <c r="B235" s="32" t="s">
        <v>921</v>
      </c>
      <c r="C235" s="36" t="s">
        <v>931</v>
      </c>
      <c r="D235" s="44" t="s">
        <v>933</v>
      </c>
      <c r="E235" s="38" t="s">
        <v>922</v>
      </c>
      <c r="F235" s="32" t="s">
        <v>922</v>
      </c>
      <c r="G235" s="36" t="s">
        <v>931</v>
      </c>
      <c r="H235" s="44" t="s">
        <v>933</v>
      </c>
      <c r="I235" s="38" t="s">
        <v>922</v>
      </c>
      <c r="J235" s="32" t="s">
        <v>922</v>
      </c>
      <c r="K235" s="36" t="s">
        <v>931</v>
      </c>
      <c r="L235" s="37">
        <v>16375</v>
      </c>
      <c r="M235" s="38" t="s">
        <v>922</v>
      </c>
    </row>
    <row r="236" spans="1:13" x14ac:dyDescent="0.75">
      <c r="A236" s="21" t="s">
        <v>1111</v>
      </c>
      <c r="B236" s="22" t="s">
        <v>921</v>
      </c>
      <c r="C236" s="23" t="s">
        <v>931</v>
      </c>
      <c r="D236" s="24">
        <v>4922</v>
      </c>
      <c r="E236" s="25" t="s">
        <v>922</v>
      </c>
      <c r="F236" s="22" t="s">
        <v>922</v>
      </c>
      <c r="G236" s="23" t="s">
        <v>931</v>
      </c>
      <c r="H236" s="24">
        <v>147794</v>
      </c>
      <c r="I236" s="25" t="s">
        <v>922</v>
      </c>
      <c r="J236" s="22" t="s">
        <v>922</v>
      </c>
      <c r="K236" s="23" t="s">
        <v>931</v>
      </c>
      <c r="L236" s="39">
        <v>293</v>
      </c>
      <c r="M236" s="25" t="s">
        <v>922</v>
      </c>
    </row>
    <row r="239" spans="1:13" x14ac:dyDescent="0.75">
      <c r="A239" s="26" t="s">
        <v>924</v>
      </c>
    </row>
    <row r="240" spans="1:13" x14ac:dyDescent="0.75">
      <c r="A240" s="26" t="s">
        <v>1112</v>
      </c>
    </row>
    <row r="241" spans="1:1" x14ac:dyDescent="0.75">
      <c r="A241" s="25" t="s">
        <v>974</v>
      </c>
    </row>
    <row r="242" spans="1:1" x14ac:dyDescent="0.75">
      <c r="A242" s="26" t="s">
        <v>1113</v>
      </c>
    </row>
    <row r="243" spans="1:1" x14ac:dyDescent="0.75">
      <c r="A243" s="25" t="s">
        <v>1114</v>
      </c>
    </row>
    <row r="244" spans="1:1" x14ac:dyDescent="0.75">
      <c r="A244" s="26" t="s">
        <v>1115</v>
      </c>
    </row>
    <row r="245" spans="1:1" x14ac:dyDescent="0.75">
      <c r="A245" s="45" t="s">
        <v>1116</v>
      </c>
    </row>
    <row r="246" spans="1:1" x14ac:dyDescent="0.75">
      <c r="A246" s="25" t="s">
        <v>1117</v>
      </c>
    </row>
    <row r="247" spans="1:1" x14ac:dyDescent="0.75">
      <c r="A247" s="45" t="s">
        <v>1118</v>
      </c>
    </row>
    <row r="248" spans="1:1" x14ac:dyDescent="0.75">
      <c r="A248" s="25" t="s">
        <v>1119</v>
      </c>
    </row>
    <row r="249" spans="1:1" x14ac:dyDescent="0.75">
      <c r="A249" s="45" t="s">
        <v>1120</v>
      </c>
    </row>
    <row r="250" spans="1:1" x14ac:dyDescent="0.75">
      <c r="A250" s="25" t="s">
        <v>1121</v>
      </c>
    </row>
    <row r="251" spans="1:1" x14ac:dyDescent="0.75">
      <c r="A251" s="45" t="s">
        <v>1122</v>
      </c>
    </row>
    <row r="252" spans="1:1" x14ac:dyDescent="0.75">
      <c r="A252" s="25" t="s">
        <v>1123</v>
      </c>
    </row>
    <row r="253" spans="1:1" x14ac:dyDescent="0.75">
      <c r="A253" s="45" t="s">
        <v>1124</v>
      </c>
    </row>
    <row r="254" spans="1:1" x14ac:dyDescent="0.75">
      <c r="A254" s="25" t="s">
        <v>1125</v>
      </c>
    </row>
    <row r="255" spans="1:1" x14ac:dyDescent="0.75">
      <c r="A255" s="45" t="s">
        <v>1126</v>
      </c>
    </row>
    <row r="256" spans="1:1" x14ac:dyDescent="0.75">
      <c r="A256" s="25" t="s">
        <v>1127</v>
      </c>
    </row>
    <row r="257" spans="1:1" x14ac:dyDescent="0.75">
      <c r="A257" s="25" t="s">
        <v>1128</v>
      </c>
    </row>
    <row r="258" spans="1:1" x14ac:dyDescent="0.75">
      <c r="A258" s="46" t="s">
        <v>922</v>
      </c>
    </row>
    <row r="259" spans="1:1" x14ac:dyDescent="0.75">
      <c r="A259" s="47">
        <v>41</v>
      </c>
    </row>
    <row r="263" spans="1:1" x14ac:dyDescent="0.75">
      <c r="A263" s="48" t="s">
        <v>971</v>
      </c>
    </row>
    <row r="265" spans="1:1" x14ac:dyDescent="0.75">
      <c r="A265" s="25" t="s">
        <v>1129</v>
      </c>
    </row>
    <row r="266" spans="1:1" x14ac:dyDescent="0.75">
      <c r="A266" s="45" t="s">
        <v>1130</v>
      </c>
    </row>
    <row r="267" spans="1:1" x14ac:dyDescent="0.75">
      <c r="A267" s="25" t="s">
        <v>1131</v>
      </c>
    </row>
    <row r="268" spans="1:1" x14ac:dyDescent="0.75">
      <c r="A268" s="45" t="s">
        <v>1132</v>
      </c>
    </row>
    <row r="269" spans="1:1" x14ac:dyDescent="0.75">
      <c r="A269" s="25" t="s">
        <v>1133</v>
      </c>
    </row>
    <row r="270" spans="1:1" x14ac:dyDescent="0.75">
      <c r="A270" s="45" t="s">
        <v>942</v>
      </c>
    </row>
    <row r="271" spans="1:1" x14ac:dyDescent="0.75">
      <c r="A271" s="25" t="s">
        <v>1134</v>
      </c>
    </row>
    <row r="272" spans="1:1" x14ac:dyDescent="0.75">
      <c r="A272" s="45" t="s">
        <v>1135</v>
      </c>
    </row>
    <row r="273" spans="1:13" x14ac:dyDescent="0.75">
      <c r="A273" s="25" t="s">
        <v>1136</v>
      </c>
    </row>
    <row r="274" spans="1:13" x14ac:dyDescent="0.75">
      <c r="A274" s="45" t="s">
        <v>1137</v>
      </c>
    </row>
    <row r="275" spans="1:13" x14ac:dyDescent="0.75">
      <c r="A275" s="25" t="s">
        <v>1138</v>
      </c>
    </row>
    <row r="276" spans="1:13" x14ac:dyDescent="0.75">
      <c r="A276" s="45" t="s">
        <v>1139</v>
      </c>
    </row>
    <row r="277" spans="1:13" x14ac:dyDescent="0.75">
      <c r="A277" s="25" t="s">
        <v>1140</v>
      </c>
    </row>
    <row r="278" spans="1:13" x14ac:dyDescent="0.75">
      <c r="A278" s="46" t="s">
        <v>922</v>
      </c>
    </row>
    <row r="279" spans="1:13" x14ac:dyDescent="0.75">
      <c r="A279" s="47">
        <v>42</v>
      </c>
    </row>
    <row r="283" spans="1:13" x14ac:dyDescent="0.75">
      <c r="A283" s="48" t="s">
        <v>971</v>
      </c>
    </row>
    <row r="285" spans="1:13" x14ac:dyDescent="0.75">
      <c r="A285" s="25" t="s">
        <v>1141</v>
      </c>
    </row>
    <row r="286" spans="1:13" x14ac:dyDescent="0.75">
      <c r="A286" s="27"/>
    </row>
    <row r="287" spans="1:13" x14ac:dyDescent="0.75">
      <c r="A287" s="28"/>
      <c r="B287" s="28"/>
      <c r="C287" s="28"/>
      <c r="D287" s="28"/>
      <c r="E287" s="28"/>
      <c r="F287" s="28"/>
      <c r="G287" s="28"/>
      <c r="H287" s="28"/>
      <c r="I287" s="28"/>
      <c r="J287" s="28"/>
      <c r="K287" s="28"/>
      <c r="L287" s="28"/>
      <c r="M287" s="28"/>
    </row>
    <row r="288" spans="1:13" ht="15.5" thickBot="1" x14ac:dyDescent="0.9">
      <c r="A288" s="22" t="s">
        <v>922</v>
      </c>
      <c r="B288" s="22" t="s">
        <v>921</v>
      </c>
      <c r="C288" s="268">
        <v>2006</v>
      </c>
      <c r="D288" s="268"/>
      <c r="E288" s="268"/>
      <c r="F288" s="268"/>
      <c r="G288" s="268"/>
      <c r="H288" s="22" t="s">
        <v>921</v>
      </c>
      <c r="I288" s="268">
        <v>2005</v>
      </c>
      <c r="J288" s="268"/>
      <c r="K288" s="268"/>
      <c r="L288" s="268"/>
      <c r="M288" s="268"/>
    </row>
    <row r="289" spans="1:13" x14ac:dyDescent="0.75">
      <c r="A289" s="269" t="s">
        <v>922</v>
      </c>
      <c r="B289" s="269" t="s">
        <v>921</v>
      </c>
      <c r="C289" s="274" t="s">
        <v>1142</v>
      </c>
      <c r="D289" s="274"/>
      <c r="E289" s="273" t="s">
        <v>921</v>
      </c>
      <c r="F289" s="274" t="s">
        <v>1144</v>
      </c>
      <c r="G289" s="274"/>
      <c r="H289" s="269" t="s">
        <v>921</v>
      </c>
      <c r="I289" s="274" t="s">
        <v>1142</v>
      </c>
      <c r="J289" s="274"/>
      <c r="K289" s="273" t="s">
        <v>921</v>
      </c>
      <c r="L289" s="274" t="s">
        <v>1144</v>
      </c>
      <c r="M289" s="274"/>
    </row>
    <row r="290" spans="1:13" ht="15.5" thickBot="1" x14ac:dyDescent="0.9">
      <c r="A290" s="269"/>
      <c r="B290" s="269"/>
      <c r="C290" s="268" t="s">
        <v>1143</v>
      </c>
      <c r="D290" s="268"/>
      <c r="E290" s="269"/>
      <c r="F290" s="268" t="s">
        <v>1145</v>
      </c>
      <c r="G290" s="268"/>
      <c r="H290" s="269"/>
      <c r="I290" s="268" t="s">
        <v>1143</v>
      </c>
      <c r="J290" s="268"/>
      <c r="K290" s="269"/>
      <c r="L290" s="268" t="s">
        <v>1145</v>
      </c>
      <c r="M290" s="268"/>
    </row>
    <row r="291" spans="1:13" x14ac:dyDescent="0.75">
      <c r="A291" s="35" t="s">
        <v>1146</v>
      </c>
      <c r="B291" s="32" t="s">
        <v>921</v>
      </c>
      <c r="C291" s="36" t="s">
        <v>931</v>
      </c>
      <c r="D291" s="37">
        <v>8320</v>
      </c>
      <c r="E291" s="32" t="s">
        <v>921</v>
      </c>
      <c r="F291" s="36" t="s">
        <v>931</v>
      </c>
      <c r="G291" s="37">
        <v>19298</v>
      </c>
      <c r="H291" s="32" t="s">
        <v>921</v>
      </c>
      <c r="I291" s="36" t="s">
        <v>931</v>
      </c>
      <c r="J291" s="37">
        <v>12850</v>
      </c>
      <c r="K291" s="32" t="s">
        <v>921</v>
      </c>
      <c r="L291" s="36" t="s">
        <v>931</v>
      </c>
      <c r="M291" s="37">
        <v>34635</v>
      </c>
    </row>
    <row r="292" spans="1:13" x14ac:dyDescent="0.75">
      <c r="A292" s="34" t="s">
        <v>1147</v>
      </c>
      <c r="B292" s="22" t="s">
        <v>921</v>
      </c>
      <c r="C292" s="23" t="s">
        <v>922</v>
      </c>
      <c r="D292" s="39" t="s">
        <v>933</v>
      </c>
      <c r="E292" s="22" t="s">
        <v>921</v>
      </c>
      <c r="F292" s="23" t="s">
        <v>922</v>
      </c>
      <c r="G292" s="39" t="s">
        <v>933</v>
      </c>
      <c r="H292" s="22" t="s">
        <v>921</v>
      </c>
      <c r="I292" s="23" t="s">
        <v>922</v>
      </c>
      <c r="J292" s="24">
        <v>5714</v>
      </c>
      <c r="K292" s="22" t="s">
        <v>921</v>
      </c>
      <c r="L292" s="23" t="s">
        <v>922</v>
      </c>
      <c r="M292" s="24">
        <v>5828</v>
      </c>
    </row>
    <row r="293" spans="1:13" x14ac:dyDescent="0.75">
      <c r="A293" s="45" t="s">
        <v>1148</v>
      </c>
    </row>
    <row r="294" spans="1:13" x14ac:dyDescent="0.75">
      <c r="A294" s="25" t="s">
        <v>1149</v>
      </c>
    </row>
    <row r="295" spans="1:13" x14ac:dyDescent="0.75">
      <c r="A295" s="45" t="s">
        <v>1150</v>
      </c>
    </row>
    <row r="296" spans="1:13" x14ac:dyDescent="0.75">
      <c r="A296" s="25" t="s">
        <v>1151</v>
      </c>
    </row>
    <row r="297" spans="1:13" x14ac:dyDescent="0.75">
      <c r="A297" s="45" t="s">
        <v>1152</v>
      </c>
    </row>
    <row r="298" spans="1:13" x14ac:dyDescent="0.75">
      <c r="A298" s="25" t="s">
        <v>1153</v>
      </c>
    </row>
    <row r="299" spans="1:13" x14ac:dyDescent="0.75">
      <c r="A299" s="45" t="s">
        <v>1154</v>
      </c>
    </row>
    <row r="300" spans="1:13" x14ac:dyDescent="0.75">
      <c r="A300" s="25" t="s">
        <v>1155</v>
      </c>
    </row>
    <row r="301" spans="1:13" x14ac:dyDescent="0.75">
      <c r="A301" s="45" t="s">
        <v>1156</v>
      </c>
    </row>
    <row r="302" spans="1:13" x14ac:dyDescent="0.75">
      <c r="A302" s="25" t="s">
        <v>1157</v>
      </c>
    </row>
    <row r="303" spans="1:13" x14ac:dyDescent="0.75">
      <c r="A303" s="45" t="s">
        <v>1158</v>
      </c>
    </row>
    <row r="304" spans="1:13" x14ac:dyDescent="0.75">
      <c r="A304" s="25" t="s">
        <v>1159</v>
      </c>
    </row>
    <row r="305" spans="1:1" x14ac:dyDescent="0.75">
      <c r="A305" s="46" t="s">
        <v>922</v>
      </c>
    </row>
    <row r="306" spans="1:1" x14ac:dyDescent="0.75">
      <c r="A306" s="47">
        <v>43</v>
      </c>
    </row>
    <row r="310" spans="1:1" x14ac:dyDescent="0.75">
      <c r="A310" s="48" t="s">
        <v>971</v>
      </c>
    </row>
    <row r="312" spans="1:1" x14ac:dyDescent="0.75">
      <c r="A312" s="25" t="s">
        <v>1160</v>
      </c>
    </row>
    <row r="313" spans="1:1" x14ac:dyDescent="0.75">
      <c r="A313" s="25" t="s">
        <v>1161</v>
      </c>
    </row>
    <row r="314" spans="1:1" x14ac:dyDescent="0.75">
      <c r="A314" s="25" t="s">
        <v>1162</v>
      </c>
    </row>
    <row r="315" spans="1:1" x14ac:dyDescent="0.75">
      <c r="A315" s="25" t="s">
        <v>1163</v>
      </c>
    </row>
    <row r="316" spans="1:1" x14ac:dyDescent="0.75">
      <c r="A316" s="25" t="s">
        <v>1164</v>
      </c>
    </row>
    <row r="317" spans="1:1" x14ac:dyDescent="0.75">
      <c r="A317" s="25" t="s">
        <v>1165</v>
      </c>
    </row>
    <row r="318" spans="1:1" x14ac:dyDescent="0.75">
      <c r="A318" s="45" t="s">
        <v>1166</v>
      </c>
    </row>
    <row r="319" spans="1:1" x14ac:dyDescent="0.75">
      <c r="A319" s="25" t="s">
        <v>1167</v>
      </c>
    </row>
    <row r="320" spans="1:1" x14ac:dyDescent="0.75">
      <c r="A320" s="45" t="s">
        <v>1168</v>
      </c>
    </row>
    <row r="321" spans="1:1" x14ac:dyDescent="0.75">
      <c r="A321" s="25" t="s">
        <v>1169</v>
      </c>
    </row>
    <row r="322" spans="1:1" x14ac:dyDescent="0.75">
      <c r="A322" s="46" t="s">
        <v>922</v>
      </c>
    </row>
    <row r="323" spans="1:1" x14ac:dyDescent="0.75">
      <c r="A323" s="47">
        <v>44</v>
      </c>
    </row>
    <row r="327" spans="1:1" x14ac:dyDescent="0.75">
      <c r="A327" s="48" t="s">
        <v>971</v>
      </c>
    </row>
    <row r="329" spans="1:1" x14ac:dyDescent="0.75">
      <c r="A329" s="45" t="s">
        <v>1170</v>
      </c>
    </row>
    <row r="330" spans="1:1" x14ac:dyDescent="0.75">
      <c r="A330" s="25" t="s">
        <v>695</v>
      </c>
    </row>
    <row r="331" spans="1:1" x14ac:dyDescent="0.75">
      <c r="A331" s="45" t="s">
        <v>696</v>
      </c>
    </row>
    <row r="332" spans="1:1" x14ac:dyDescent="0.75">
      <c r="A332" s="25" t="s">
        <v>697</v>
      </c>
    </row>
    <row r="333" spans="1:1" x14ac:dyDescent="0.75">
      <c r="A333" s="45" t="s">
        <v>698</v>
      </c>
    </row>
    <row r="334" spans="1:1" x14ac:dyDescent="0.75">
      <c r="A334" s="25" t="s">
        <v>699</v>
      </c>
    </row>
    <row r="335" spans="1:1" x14ac:dyDescent="0.75">
      <c r="A335" s="45" t="s">
        <v>700</v>
      </c>
    </row>
    <row r="336" spans="1:1" x14ac:dyDescent="0.75">
      <c r="A336" s="25" t="s">
        <v>701</v>
      </c>
    </row>
    <row r="337" spans="1:1" x14ac:dyDescent="0.75">
      <c r="A337" s="45" t="s">
        <v>702</v>
      </c>
    </row>
    <row r="338" spans="1:1" x14ac:dyDescent="0.75">
      <c r="A338" s="25" t="s">
        <v>703</v>
      </c>
    </row>
    <row r="339" spans="1:1" x14ac:dyDescent="0.75">
      <c r="A339" s="45" t="s">
        <v>704</v>
      </c>
    </row>
    <row r="340" spans="1:1" x14ac:dyDescent="0.75">
      <c r="A340" s="25" t="s">
        <v>705</v>
      </c>
    </row>
    <row r="341" spans="1:1" x14ac:dyDescent="0.75">
      <c r="A341" s="25" t="s">
        <v>706</v>
      </c>
    </row>
    <row r="342" spans="1:1" x14ac:dyDescent="0.75">
      <c r="A342" s="25" t="s">
        <v>707</v>
      </c>
    </row>
    <row r="343" spans="1:1" x14ac:dyDescent="0.75">
      <c r="A343" s="46" t="s">
        <v>922</v>
      </c>
    </row>
    <row r="344" spans="1:1" x14ac:dyDescent="0.75">
      <c r="A344" s="47">
        <v>45</v>
      </c>
    </row>
    <row r="348" spans="1:1" x14ac:dyDescent="0.75">
      <c r="A348" s="48" t="s">
        <v>971</v>
      </c>
    </row>
    <row r="350" spans="1:1" x14ac:dyDescent="0.75">
      <c r="A350" s="25" t="s">
        <v>708</v>
      </c>
    </row>
    <row r="351" spans="1:1" x14ac:dyDescent="0.75">
      <c r="A351" s="25" t="s">
        <v>709</v>
      </c>
    </row>
    <row r="352" spans="1:1" x14ac:dyDescent="0.75">
      <c r="A352" s="26" t="s">
        <v>710</v>
      </c>
    </row>
    <row r="353" spans="1:7" x14ac:dyDescent="0.75">
      <c r="A353" s="25" t="s">
        <v>711</v>
      </c>
    </row>
    <row r="354" spans="1:7" x14ac:dyDescent="0.75">
      <c r="A354" s="26" t="s">
        <v>712</v>
      </c>
    </row>
    <row r="355" spans="1:7" x14ac:dyDescent="0.75">
      <c r="A355" s="25" t="s">
        <v>713</v>
      </c>
    </row>
    <row r="356" spans="1:7" x14ac:dyDescent="0.75">
      <c r="A356" s="27"/>
    </row>
    <row r="357" spans="1:7" x14ac:dyDescent="0.75">
      <c r="A357" s="28"/>
      <c r="B357" s="28"/>
      <c r="C357" s="28"/>
      <c r="D357" s="28"/>
      <c r="E357" s="28"/>
      <c r="F357" s="28"/>
      <c r="G357" s="28"/>
    </row>
    <row r="358" spans="1:7" ht="15.5" thickBot="1" x14ac:dyDescent="0.9">
      <c r="A358" s="22" t="s">
        <v>922</v>
      </c>
      <c r="B358" s="22" t="s">
        <v>921</v>
      </c>
      <c r="C358" s="268">
        <v>2006</v>
      </c>
      <c r="D358" s="268"/>
      <c r="E358" s="22" t="s">
        <v>921</v>
      </c>
      <c r="F358" s="268">
        <v>2005</v>
      </c>
      <c r="G358" s="268"/>
    </row>
    <row r="359" spans="1:7" x14ac:dyDescent="0.75">
      <c r="A359" s="35" t="s">
        <v>714</v>
      </c>
      <c r="B359" s="32" t="s">
        <v>921</v>
      </c>
      <c r="C359" s="36" t="s">
        <v>931</v>
      </c>
      <c r="D359" s="37">
        <v>39993</v>
      </c>
      <c r="E359" s="32" t="s">
        <v>921</v>
      </c>
      <c r="F359" s="36" t="s">
        <v>931</v>
      </c>
      <c r="G359" s="37">
        <v>34396</v>
      </c>
    </row>
    <row r="360" spans="1:7" x14ac:dyDescent="0.75">
      <c r="A360" s="34" t="s">
        <v>715</v>
      </c>
      <c r="B360" s="22" t="s">
        <v>921</v>
      </c>
      <c r="C360" s="23" t="s">
        <v>922</v>
      </c>
      <c r="D360" s="24">
        <v>955130</v>
      </c>
      <c r="E360" s="22" t="s">
        <v>921</v>
      </c>
      <c r="F360" s="23" t="s">
        <v>922</v>
      </c>
      <c r="G360" s="24">
        <v>784000</v>
      </c>
    </row>
    <row r="361" spans="1:7" x14ac:dyDescent="0.75">
      <c r="A361" s="35" t="s">
        <v>716</v>
      </c>
      <c r="B361" s="32" t="s">
        <v>921</v>
      </c>
      <c r="C361" s="36" t="s">
        <v>922</v>
      </c>
      <c r="D361" s="37">
        <v>779050</v>
      </c>
      <c r="E361" s="32" t="s">
        <v>921</v>
      </c>
      <c r="F361" s="36" t="s">
        <v>922</v>
      </c>
      <c r="G361" s="37">
        <v>692403</v>
      </c>
    </row>
    <row r="362" spans="1:7" ht="15.5" thickBot="1" x14ac:dyDescent="0.9">
      <c r="A362" s="34" t="s">
        <v>717</v>
      </c>
      <c r="B362" s="22" t="s">
        <v>921</v>
      </c>
      <c r="C362" s="23" t="s">
        <v>922</v>
      </c>
      <c r="D362" s="24">
        <v>168105</v>
      </c>
      <c r="E362" s="22" t="s">
        <v>921</v>
      </c>
      <c r="F362" s="23" t="s">
        <v>922</v>
      </c>
      <c r="G362" s="24">
        <v>133061</v>
      </c>
    </row>
    <row r="363" spans="1:7" x14ac:dyDescent="0.75">
      <c r="A363" s="40"/>
      <c r="B363" s="40" t="s">
        <v>939</v>
      </c>
      <c r="C363" s="41"/>
      <c r="D363" s="41"/>
      <c r="E363" s="40" t="s">
        <v>939</v>
      </c>
      <c r="F363" s="41"/>
      <c r="G363" s="41"/>
    </row>
    <row r="364" spans="1:7" x14ac:dyDescent="0.75">
      <c r="A364" s="54"/>
      <c r="B364" s="32" t="s">
        <v>921</v>
      </c>
      <c r="C364" s="36" t="s">
        <v>922</v>
      </c>
      <c r="D364" s="37">
        <v>1942278</v>
      </c>
      <c r="E364" s="32" t="s">
        <v>921</v>
      </c>
      <c r="F364" s="36" t="s">
        <v>922</v>
      </c>
      <c r="G364" s="37">
        <v>1643860</v>
      </c>
    </row>
    <row r="365" spans="1:7" ht="15.5" thickBot="1" x14ac:dyDescent="0.9">
      <c r="A365" s="34" t="s">
        <v>718</v>
      </c>
      <c r="B365" s="22" t="s">
        <v>921</v>
      </c>
      <c r="C365" s="23" t="s">
        <v>922</v>
      </c>
      <c r="D365" s="24">
        <v>706145</v>
      </c>
      <c r="E365" s="22" t="s">
        <v>921</v>
      </c>
      <c r="F365" s="23" t="s">
        <v>922</v>
      </c>
      <c r="G365" s="24">
        <v>589255</v>
      </c>
    </row>
    <row r="366" spans="1:7" x14ac:dyDescent="0.75">
      <c r="A366" s="40"/>
      <c r="B366" s="40" t="s">
        <v>939</v>
      </c>
      <c r="C366" s="41"/>
      <c r="D366" s="41"/>
      <c r="E366" s="40" t="s">
        <v>939</v>
      </c>
      <c r="F366" s="41"/>
      <c r="G366" s="41"/>
    </row>
    <row r="367" spans="1:7" ht="15.5" thickBot="1" x14ac:dyDescent="0.9">
      <c r="A367" s="54"/>
      <c r="B367" s="32" t="s">
        <v>921</v>
      </c>
      <c r="C367" s="36" t="s">
        <v>931</v>
      </c>
      <c r="D367" s="37">
        <v>1236133</v>
      </c>
      <c r="E367" s="32" t="s">
        <v>921</v>
      </c>
      <c r="F367" s="36" t="s">
        <v>931</v>
      </c>
      <c r="G367" s="37">
        <v>1054605</v>
      </c>
    </row>
    <row r="368" spans="1:7" ht="15.5" thickTop="1" x14ac:dyDescent="0.75">
      <c r="A368" s="40"/>
      <c r="B368" s="40" t="s">
        <v>939</v>
      </c>
      <c r="C368" s="42"/>
      <c r="D368" s="42"/>
      <c r="E368" s="40" t="s">
        <v>939</v>
      </c>
      <c r="F368" s="42"/>
      <c r="G368" s="42"/>
    </row>
    <row r="369" spans="1:2" x14ac:dyDescent="0.75">
      <c r="A369" s="25" t="s">
        <v>719</v>
      </c>
    </row>
    <row r="370" spans="1:2" x14ac:dyDescent="0.75">
      <c r="A370" s="46" t="s">
        <v>922</v>
      </c>
    </row>
    <row r="371" spans="1:2" x14ac:dyDescent="0.75">
      <c r="A371" s="47">
        <v>46</v>
      </c>
    </row>
    <row r="375" spans="1:2" x14ac:dyDescent="0.75">
      <c r="A375" s="48" t="s">
        <v>971</v>
      </c>
    </row>
    <row r="377" spans="1:2" x14ac:dyDescent="0.75">
      <c r="A377" s="25" t="s">
        <v>720</v>
      </c>
    </row>
    <row r="378" spans="1:2" x14ac:dyDescent="0.75">
      <c r="A378" s="26" t="s">
        <v>721</v>
      </c>
    </row>
    <row r="379" spans="1:2" x14ac:dyDescent="0.75">
      <c r="A379" s="45" t="s">
        <v>722</v>
      </c>
    </row>
    <row r="380" spans="1:2" x14ac:dyDescent="0.75">
      <c r="A380" s="25" t="s">
        <v>723</v>
      </c>
    </row>
    <row r="381" spans="1:2" x14ac:dyDescent="0.75">
      <c r="A381" s="45" t="s">
        <v>724</v>
      </c>
    </row>
    <row r="382" spans="1:2" x14ac:dyDescent="0.75">
      <c r="A382" s="25" t="s">
        <v>725</v>
      </c>
    </row>
    <row r="383" spans="1:2" ht="18.5" x14ac:dyDescent="0.9">
      <c r="A383" s="55"/>
    </row>
    <row r="384" spans="1:2" ht="52" x14ac:dyDescent="0.75">
      <c r="A384" s="56">
        <v>-6</v>
      </c>
      <c r="B384" s="56" t="s">
        <v>726</v>
      </c>
    </row>
    <row r="385" spans="1:15" x14ac:dyDescent="0.75">
      <c r="A385" s="25" t="s">
        <v>727</v>
      </c>
    </row>
    <row r="386" spans="1:15" x14ac:dyDescent="0.75">
      <c r="A386" s="25" t="s">
        <v>728</v>
      </c>
    </row>
    <row r="387" spans="1:15" x14ac:dyDescent="0.75">
      <c r="A387" s="27"/>
    </row>
    <row r="388" spans="1:15" x14ac:dyDescent="0.75">
      <c r="A388" s="28"/>
      <c r="B388" s="28"/>
      <c r="C388" s="28"/>
      <c r="D388" s="28"/>
      <c r="E388" s="28"/>
      <c r="F388" s="28"/>
      <c r="G388" s="28"/>
      <c r="H388" s="28"/>
      <c r="I388" s="28"/>
      <c r="J388" s="28"/>
      <c r="K388" s="28"/>
      <c r="L388" s="28"/>
      <c r="M388" s="28"/>
      <c r="N388" s="28"/>
      <c r="O388" s="28"/>
    </row>
    <row r="389" spans="1:15" ht="15.5" thickBot="1" x14ac:dyDescent="0.9">
      <c r="A389" s="22" t="s">
        <v>922</v>
      </c>
      <c r="B389" s="22" t="s">
        <v>921</v>
      </c>
      <c r="C389" s="268">
        <v>2006</v>
      </c>
      <c r="D389" s="268"/>
      <c r="E389" s="268"/>
      <c r="F389" s="268"/>
      <c r="G389" s="268"/>
      <c r="H389" s="22" t="s">
        <v>922</v>
      </c>
      <c r="I389" s="22" t="s">
        <v>922</v>
      </c>
      <c r="J389" s="268">
        <v>2005</v>
      </c>
      <c r="K389" s="268"/>
      <c r="L389" s="268"/>
      <c r="M389" s="268"/>
      <c r="N389" s="268"/>
      <c r="O389" s="22" t="s">
        <v>922</v>
      </c>
    </row>
    <row r="390" spans="1:15" x14ac:dyDescent="0.75">
      <c r="A390" s="269" t="s">
        <v>922</v>
      </c>
      <c r="B390" s="269" t="s">
        <v>921</v>
      </c>
      <c r="C390" s="274" t="s">
        <v>729</v>
      </c>
      <c r="D390" s="274"/>
      <c r="E390" s="273" t="s">
        <v>921</v>
      </c>
      <c r="F390" s="274" t="s">
        <v>731</v>
      </c>
      <c r="G390" s="274"/>
      <c r="H390" s="269" t="s">
        <v>922</v>
      </c>
      <c r="I390" s="269" t="s">
        <v>922</v>
      </c>
      <c r="J390" s="274" t="s">
        <v>729</v>
      </c>
      <c r="K390" s="274"/>
      <c r="L390" s="273" t="s">
        <v>921</v>
      </c>
      <c r="M390" s="274" t="s">
        <v>731</v>
      </c>
      <c r="N390" s="274"/>
      <c r="O390" s="269" t="s">
        <v>922</v>
      </c>
    </row>
    <row r="391" spans="1:15" ht="15.5" thickBot="1" x14ac:dyDescent="0.9">
      <c r="A391" s="269"/>
      <c r="B391" s="269"/>
      <c r="C391" s="268" t="s">
        <v>730</v>
      </c>
      <c r="D391" s="268"/>
      <c r="E391" s="269"/>
      <c r="F391" s="268" t="s">
        <v>732</v>
      </c>
      <c r="G391" s="268"/>
      <c r="H391" s="269"/>
      <c r="I391" s="269"/>
      <c r="J391" s="268" t="s">
        <v>730</v>
      </c>
      <c r="K391" s="268"/>
      <c r="L391" s="269"/>
      <c r="M391" s="268" t="s">
        <v>732</v>
      </c>
      <c r="N391" s="268"/>
      <c r="O391" s="269"/>
    </row>
    <row r="392" spans="1:15" x14ac:dyDescent="0.75">
      <c r="A392" s="35" t="s">
        <v>733</v>
      </c>
      <c r="B392" s="32" t="s">
        <v>921</v>
      </c>
      <c r="C392" s="36" t="s">
        <v>931</v>
      </c>
      <c r="D392" s="44">
        <v>774</v>
      </c>
      <c r="E392" s="32" t="s">
        <v>921</v>
      </c>
      <c r="F392" s="36" t="s">
        <v>931</v>
      </c>
      <c r="G392" s="44" t="s">
        <v>933</v>
      </c>
      <c r="H392" s="38" t="s">
        <v>922</v>
      </c>
      <c r="I392" s="32" t="s">
        <v>922</v>
      </c>
      <c r="J392" s="36" t="s">
        <v>931</v>
      </c>
      <c r="K392" s="44">
        <v>723</v>
      </c>
      <c r="L392" s="32" t="s">
        <v>921</v>
      </c>
      <c r="M392" s="36" t="s">
        <v>931</v>
      </c>
      <c r="N392" s="44" t="s">
        <v>933</v>
      </c>
      <c r="O392" s="38" t="s">
        <v>922</v>
      </c>
    </row>
    <row r="393" spans="1:15" x14ac:dyDescent="0.75">
      <c r="A393" s="34" t="s">
        <v>734</v>
      </c>
      <c r="B393" s="22" t="s">
        <v>921</v>
      </c>
      <c r="C393" s="23" t="s">
        <v>922</v>
      </c>
      <c r="D393" s="24">
        <v>45579</v>
      </c>
      <c r="E393" s="22" t="s">
        <v>921</v>
      </c>
      <c r="F393" s="23" t="s">
        <v>922</v>
      </c>
      <c r="G393" s="39" t="s">
        <v>735</v>
      </c>
      <c r="H393" s="25" t="s">
        <v>964</v>
      </c>
      <c r="I393" s="22" t="s">
        <v>922</v>
      </c>
      <c r="J393" s="23" t="s">
        <v>922</v>
      </c>
      <c r="K393" s="24">
        <v>32597</v>
      </c>
      <c r="L393" s="22" t="s">
        <v>921</v>
      </c>
      <c r="M393" s="23" t="s">
        <v>922</v>
      </c>
      <c r="N393" s="39" t="s">
        <v>736</v>
      </c>
      <c r="O393" s="25" t="s">
        <v>964</v>
      </c>
    </row>
    <row r="394" spans="1:15" ht="15.5" thickBot="1" x14ac:dyDescent="0.9">
      <c r="A394" s="35" t="s">
        <v>737</v>
      </c>
      <c r="B394" s="32" t="s">
        <v>921</v>
      </c>
      <c r="C394" s="36" t="s">
        <v>922</v>
      </c>
      <c r="D394" s="37">
        <v>2242</v>
      </c>
      <c r="E394" s="32" t="s">
        <v>921</v>
      </c>
      <c r="F394" s="36" t="s">
        <v>922</v>
      </c>
      <c r="G394" s="44" t="s">
        <v>738</v>
      </c>
      <c r="H394" s="38" t="s">
        <v>964</v>
      </c>
      <c r="I394" s="32" t="s">
        <v>922</v>
      </c>
      <c r="J394" s="36" t="s">
        <v>922</v>
      </c>
      <c r="K394" s="37">
        <v>2921</v>
      </c>
      <c r="L394" s="32" t="s">
        <v>921</v>
      </c>
      <c r="M394" s="36" t="s">
        <v>922</v>
      </c>
      <c r="N394" s="44" t="s">
        <v>739</v>
      </c>
      <c r="O394" s="38" t="s">
        <v>964</v>
      </c>
    </row>
    <row r="395" spans="1:15" x14ac:dyDescent="0.75">
      <c r="A395" s="40"/>
      <c r="B395" s="40" t="s">
        <v>939</v>
      </c>
      <c r="C395" s="41"/>
      <c r="D395" s="41"/>
      <c r="E395" s="40" t="s">
        <v>939</v>
      </c>
      <c r="F395" s="41"/>
      <c r="G395" s="41"/>
      <c r="H395" s="40"/>
      <c r="I395" s="40"/>
      <c r="J395" s="41"/>
      <c r="K395" s="41"/>
      <c r="L395" s="40" t="s">
        <v>939</v>
      </c>
      <c r="M395" s="41"/>
      <c r="N395" s="41"/>
      <c r="O395" s="40"/>
    </row>
    <row r="396" spans="1:15" ht="15.5" thickBot="1" x14ac:dyDescent="0.9">
      <c r="A396" s="57"/>
      <c r="B396" s="22" t="s">
        <v>921</v>
      </c>
      <c r="C396" s="23" t="s">
        <v>931</v>
      </c>
      <c r="D396" s="24">
        <v>48595</v>
      </c>
      <c r="E396" s="22" t="s">
        <v>921</v>
      </c>
      <c r="F396" s="23" t="s">
        <v>931</v>
      </c>
      <c r="G396" s="39" t="s">
        <v>740</v>
      </c>
      <c r="H396" s="25" t="s">
        <v>964</v>
      </c>
      <c r="I396" s="22" t="s">
        <v>922</v>
      </c>
      <c r="J396" s="23" t="s">
        <v>931</v>
      </c>
      <c r="K396" s="24">
        <v>36241</v>
      </c>
      <c r="L396" s="22" t="s">
        <v>921</v>
      </c>
      <c r="M396" s="23" t="s">
        <v>931</v>
      </c>
      <c r="N396" s="39" t="s">
        <v>741</v>
      </c>
      <c r="O396" s="25" t="s">
        <v>964</v>
      </c>
    </row>
    <row r="397" spans="1:15" ht="15.5" thickTop="1" x14ac:dyDescent="0.75">
      <c r="A397" s="40"/>
      <c r="B397" s="40" t="s">
        <v>939</v>
      </c>
      <c r="C397" s="42"/>
      <c r="D397" s="42"/>
      <c r="E397" s="40" t="s">
        <v>939</v>
      </c>
      <c r="F397" s="42"/>
      <c r="G397" s="42"/>
      <c r="H397" s="40"/>
      <c r="I397" s="40"/>
      <c r="J397" s="42"/>
      <c r="K397" s="42"/>
      <c r="L397" s="40" t="s">
        <v>939</v>
      </c>
      <c r="M397" s="42"/>
      <c r="N397" s="42"/>
      <c r="O397" s="40"/>
    </row>
    <row r="398" spans="1:15" x14ac:dyDescent="0.75">
      <c r="A398" s="25" t="s">
        <v>742</v>
      </c>
    </row>
    <row r="399" spans="1:15" x14ac:dyDescent="0.75">
      <c r="A399" s="46" t="s">
        <v>922</v>
      </c>
    </row>
    <row r="400" spans="1:15" x14ac:dyDescent="0.75">
      <c r="A400" s="47">
        <v>47</v>
      </c>
    </row>
    <row r="404" spans="1:7" x14ac:dyDescent="0.75">
      <c r="A404" s="48" t="s">
        <v>971</v>
      </c>
    </row>
    <row r="406" spans="1:7" x14ac:dyDescent="0.75">
      <c r="A406" s="26" t="s">
        <v>743</v>
      </c>
    </row>
    <row r="407" spans="1:7" x14ac:dyDescent="0.75">
      <c r="A407" s="25" t="s">
        <v>744</v>
      </c>
    </row>
    <row r="408" spans="1:7" x14ac:dyDescent="0.75">
      <c r="A408" s="27"/>
    </row>
    <row r="409" spans="1:7" x14ac:dyDescent="0.75">
      <c r="A409" s="28"/>
      <c r="B409" s="28"/>
      <c r="C409" s="28"/>
      <c r="D409" s="28"/>
      <c r="E409" s="28"/>
      <c r="F409" s="28"/>
      <c r="G409" s="28"/>
    </row>
    <row r="410" spans="1:7" ht="15.5" thickBot="1" x14ac:dyDescent="0.9">
      <c r="A410" s="22" t="s">
        <v>922</v>
      </c>
      <c r="B410" s="22" t="s">
        <v>921</v>
      </c>
      <c r="C410" s="268">
        <v>2006</v>
      </c>
      <c r="D410" s="268"/>
      <c r="E410" s="22" t="s">
        <v>921</v>
      </c>
      <c r="F410" s="268">
        <v>2005</v>
      </c>
      <c r="G410" s="268"/>
    </row>
    <row r="411" spans="1:7" ht="26.5" x14ac:dyDescent="0.75">
      <c r="A411" s="35" t="s">
        <v>745</v>
      </c>
      <c r="B411" s="32" t="s">
        <v>921</v>
      </c>
      <c r="C411" s="36" t="s">
        <v>931</v>
      </c>
      <c r="D411" s="44">
        <v>335</v>
      </c>
      <c r="E411" s="32" t="s">
        <v>921</v>
      </c>
      <c r="F411" s="36" t="s">
        <v>931</v>
      </c>
      <c r="G411" s="44">
        <v>300</v>
      </c>
    </row>
    <row r="412" spans="1:7" x14ac:dyDescent="0.75">
      <c r="A412" s="34" t="s">
        <v>1147</v>
      </c>
      <c r="B412" s="22" t="s">
        <v>921</v>
      </c>
      <c r="C412" s="23" t="s">
        <v>922</v>
      </c>
      <c r="D412" s="39" t="s">
        <v>933</v>
      </c>
      <c r="E412" s="22" t="s">
        <v>921</v>
      </c>
      <c r="F412" s="23" t="s">
        <v>922</v>
      </c>
      <c r="G412" s="24">
        <v>5714</v>
      </c>
    </row>
    <row r="413" spans="1:7" ht="15.5" thickBot="1" x14ac:dyDescent="0.9">
      <c r="A413" s="35" t="s">
        <v>746</v>
      </c>
      <c r="B413" s="32" t="s">
        <v>921</v>
      </c>
      <c r="C413" s="36" t="s">
        <v>922</v>
      </c>
      <c r="D413" s="37">
        <v>8320</v>
      </c>
      <c r="E413" s="32" t="s">
        <v>921</v>
      </c>
      <c r="F413" s="36" t="s">
        <v>922</v>
      </c>
      <c r="G413" s="37">
        <v>12850</v>
      </c>
    </row>
    <row r="414" spans="1:7" x14ac:dyDescent="0.75">
      <c r="A414" s="40"/>
      <c r="B414" s="40" t="s">
        <v>939</v>
      </c>
      <c r="C414" s="41"/>
      <c r="D414" s="41"/>
      <c r="E414" s="40" t="s">
        <v>939</v>
      </c>
      <c r="F414" s="41"/>
      <c r="G414" s="41"/>
    </row>
    <row r="415" spans="1:7" x14ac:dyDescent="0.75">
      <c r="A415" s="34" t="s">
        <v>747</v>
      </c>
      <c r="B415" s="22" t="s">
        <v>921</v>
      </c>
      <c r="C415" s="23" t="s">
        <v>922</v>
      </c>
      <c r="D415" s="24">
        <v>8655</v>
      </c>
      <c r="E415" s="22" t="s">
        <v>921</v>
      </c>
      <c r="F415" s="23" t="s">
        <v>922</v>
      </c>
      <c r="G415" s="24">
        <v>18864</v>
      </c>
    </row>
    <row r="416" spans="1:7" ht="15.5" thickBot="1" x14ac:dyDescent="0.9">
      <c r="A416" s="35" t="s">
        <v>748</v>
      </c>
      <c r="B416" s="32" t="s">
        <v>921</v>
      </c>
      <c r="C416" s="36" t="s">
        <v>922</v>
      </c>
      <c r="D416" s="44">
        <v>49</v>
      </c>
      <c r="E416" s="32" t="s">
        <v>921</v>
      </c>
      <c r="F416" s="36" t="s">
        <v>922</v>
      </c>
      <c r="G416" s="37">
        <v>5932</v>
      </c>
    </row>
    <row r="417" spans="1:7" x14ac:dyDescent="0.75">
      <c r="A417" s="40"/>
      <c r="B417" s="40" t="s">
        <v>939</v>
      </c>
      <c r="C417" s="41"/>
      <c r="D417" s="41"/>
      <c r="E417" s="40" t="s">
        <v>939</v>
      </c>
      <c r="F417" s="41"/>
      <c r="G417" s="41"/>
    </row>
    <row r="418" spans="1:7" ht="15.5" thickBot="1" x14ac:dyDescent="0.9">
      <c r="A418" s="34" t="s">
        <v>749</v>
      </c>
      <c r="B418" s="22" t="s">
        <v>921</v>
      </c>
      <c r="C418" s="23" t="s">
        <v>931</v>
      </c>
      <c r="D418" s="24">
        <v>8606</v>
      </c>
      <c r="E418" s="22" t="s">
        <v>921</v>
      </c>
      <c r="F418" s="23" t="s">
        <v>931</v>
      </c>
      <c r="G418" s="24">
        <v>12932</v>
      </c>
    </row>
    <row r="419" spans="1:7" ht="15.5" thickTop="1" x14ac:dyDescent="0.75">
      <c r="A419" s="40"/>
      <c r="B419" s="40" t="s">
        <v>939</v>
      </c>
      <c r="C419" s="42"/>
      <c r="D419" s="42"/>
      <c r="E419" s="40" t="s">
        <v>939</v>
      </c>
      <c r="F419" s="42"/>
      <c r="G419" s="42"/>
    </row>
    <row r="420" spans="1:7" x14ac:dyDescent="0.75">
      <c r="A420" s="25" t="s">
        <v>750</v>
      </c>
    </row>
    <row r="421" spans="1:7" x14ac:dyDescent="0.75">
      <c r="A421" s="25" t="s">
        <v>751</v>
      </c>
    </row>
    <row r="422" spans="1:7" x14ac:dyDescent="0.75">
      <c r="A422" s="25" t="s">
        <v>752</v>
      </c>
    </row>
    <row r="423" spans="1:7" x14ac:dyDescent="0.75">
      <c r="A423" s="26" t="s">
        <v>753</v>
      </c>
    </row>
    <row r="424" spans="1:7" x14ac:dyDescent="0.75">
      <c r="A424" s="25" t="s">
        <v>754</v>
      </c>
    </row>
    <row r="425" spans="1:7" x14ac:dyDescent="0.75">
      <c r="A425" s="46" t="s">
        <v>922</v>
      </c>
    </row>
    <row r="426" spans="1:7" x14ac:dyDescent="0.75">
      <c r="A426" s="47">
        <v>48</v>
      </c>
    </row>
    <row r="430" spans="1:7" x14ac:dyDescent="0.75">
      <c r="A430" s="48" t="s">
        <v>971</v>
      </c>
    </row>
    <row r="432" spans="1:7" x14ac:dyDescent="0.75">
      <c r="A432" s="25" t="s">
        <v>755</v>
      </c>
    </row>
    <row r="433" spans="1:7" x14ac:dyDescent="0.75">
      <c r="A433" s="27"/>
    </row>
    <row r="434" spans="1:7" x14ac:dyDescent="0.75">
      <c r="A434" s="28"/>
      <c r="B434" s="28"/>
      <c r="C434" s="28"/>
      <c r="D434" s="28"/>
      <c r="E434" s="28"/>
      <c r="F434" s="28"/>
      <c r="G434" s="28"/>
    </row>
    <row r="435" spans="1:7" ht="15.5" thickBot="1" x14ac:dyDescent="0.9">
      <c r="A435" s="22" t="s">
        <v>922</v>
      </c>
      <c r="B435" s="22" t="s">
        <v>921</v>
      </c>
      <c r="C435" s="268" t="s">
        <v>756</v>
      </c>
      <c r="D435" s="268"/>
      <c r="E435" s="22" t="s">
        <v>921</v>
      </c>
      <c r="F435" s="268" t="s">
        <v>757</v>
      </c>
      <c r="G435" s="268"/>
    </row>
    <row r="436" spans="1:7" x14ac:dyDescent="0.75">
      <c r="A436" s="35">
        <v>2007</v>
      </c>
      <c r="B436" s="32" t="s">
        <v>921</v>
      </c>
      <c r="C436" s="36" t="s">
        <v>931</v>
      </c>
      <c r="D436" s="44">
        <v>58</v>
      </c>
      <c r="E436" s="32" t="s">
        <v>921</v>
      </c>
      <c r="F436" s="36" t="s">
        <v>931</v>
      </c>
      <c r="G436" s="37">
        <v>162827</v>
      </c>
    </row>
    <row r="437" spans="1:7" x14ac:dyDescent="0.75">
      <c r="A437" s="34">
        <v>2008</v>
      </c>
      <c r="B437" s="22" t="s">
        <v>921</v>
      </c>
      <c r="C437" s="23" t="s">
        <v>922</v>
      </c>
      <c r="D437" s="39">
        <v>93</v>
      </c>
      <c r="E437" s="22" t="s">
        <v>921</v>
      </c>
      <c r="F437" s="23" t="s">
        <v>922</v>
      </c>
      <c r="G437" s="24">
        <v>227490</v>
      </c>
    </row>
    <row r="438" spans="1:7" x14ac:dyDescent="0.75">
      <c r="A438" s="35">
        <v>2009</v>
      </c>
      <c r="B438" s="32" t="s">
        <v>921</v>
      </c>
      <c r="C438" s="36" t="s">
        <v>922</v>
      </c>
      <c r="D438" s="44">
        <v>89</v>
      </c>
      <c r="E438" s="32" t="s">
        <v>921</v>
      </c>
      <c r="F438" s="36" t="s">
        <v>922</v>
      </c>
      <c r="G438" s="37">
        <v>247284</v>
      </c>
    </row>
    <row r="439" spans="1:7" x14ac:dyDescent="0.75">
      <c r="A439" s="34">
        <v>2010</v>
      </c>
      <c r="B439" s="22" t="s">
        <v>921</v>
      </c>
      <c r="C439" s="23" t="s">
        <v>922</v>
      </c>
      <c r="D439" s="39">
        <v>74</v>
      </c>
      <c r="E439" s="22" t="s">
        <v>921</v>
      </c>
      <c r="F439" s="23" t="s">
        <v>922</v>
      </c>
      <c r="G439" s="24">
        <v>246028</v>
      </c>
    </row>
    <row r="440" spans="1:7" x14ac:dyDescent="0.75">
      <c r="A440" s="35">
        <v>2011</v>
      </c>
      <c r="B440" s="32" t="s">
        <v>921</v>
      </c>
      <c r="C440" s="36" t="s">
        <v>922</v>
      </c>
      <c r="D440" s="44">
        <v>39</v>
      </c>
      <c r="E440" s="32" t="s">
        <v>921</v>
      </c>
      <c r="F440" s="36" t="s">
        <v>922</v>
      </c>
      <c r="G440" s="37">
        <v>243331</v>
      </c>
    </row>
    <row r="441" spans="1:7" ht="15.5" thickBot="1" x14ac:dyDescent="0.9">
      <c r="A441" s="34" t="s">
        <v>758</v>
      </c>
      <c r="B441" s="22" t="s">
        <v>921</v>
      </c>
      <c r="C441" s="23" t="s">
        <v>922</v>
      </c>
      <c r="D441" s="39">
        <v>25</v>
      </c>
      <c r="E441" s="22" t="s">
        <v>921</v>
      </c>
      <c r="F441" s="23" t="s">
        <v>922</v>
      </c>
      <c r="G441" s="24">
        <v>3636926</v>
      </c>
    </row>
    <row r="442" spans="1:7" x14ac:dyDescent="0.75">
      <c r="A442" s="40"/>
      <c r="B442" s="40" t="s">
        <v>939</v>
      </c>
      <c r="C442" s="41"/>
      <c r="D442" s="41"/>
      <c r="E442" s="40" t="s">
        <v>939</v>
      </c>
      <c r="F442" s="41"/>
      <c r="G442" s="41"/>
    </row>
    <row r="443" spans="1:7" ht="15.5" thickBot="1" x14ac:dyDescent="0.9">
      <c r="A443" s="54"/>
      <c r="B443" s="32" t="s">
        <v>921</v>
      </c>
      <c r="C443" s="36" t="s">
        <v>922</v>
      </c>
      <c r="D443" s="44">
        <v>378</v>
      </c>
      <c r="E443" s="32" t="s">
        <v>921</v>
      </c>
      <c r="F443" s="36" t="s">
        <v>931</v>
      </c>
      <c r="G443" s="37">
        <v>4763886</v>
      </c>
    </row>
    <row r="444" spans="1:7" ht="15.5" thickTop="1" x14ac:dyDescent="0.75">
      <c r="A444" s="40"/>
      <c r="B444" s="40" t="s">
        <v>939</v>
      </c>
      <c r="C444" s="40"/>
      <c r="D444" s="40"/>
      <c r="E444" s="40" t="s">
        <v>939</v>
      </c>
      <c r="F444" s="42"/>
      <c r="G444" s="42"/>
    </row>
    <row r="445" spans="1:7" ht="15.5" thickBot="1" x14ac:dyDescent="0.9">
      <c r="A445" s="34" t="s">
        <v>759</v>
      </c>
      <c r="B445" s="22" t="s">
        <v>921</v>
      </c>
      <c r="C445" s="23" t="s">
        <v>922</v>
      </c>
      <c r="D445" s="39">
        <v>43</v>
      </c>
      <c r="E445" s="22" t="s">
        <v>921</v>
      </c>
      <c r="F445" s="28"/>
      <c r="G445" s="28"/>
    </row>
    <row r="446" spans="1:7" x14ac:dyDescent="0.75">
      <c r="A446" s="40"/>
      <c r="B446" s="40" t="s">
        <v>939</v>
      </c>
      <c r="C446" s="41"/>
      <c r="D446" s="41"/>
      <c r="E446" s="40" t="s">
        <v>939</v>
      </c>
      <c r="F446" s="40"/>
      <c r="G446" s="40"/>
    </row>
    <row r="447" spans="1:7" x14ac:dyDescent="0.75">
      <c r="A447" s="35" t="s">
        <v>760</v>
      </c>
      <c r="B447" s="32" t="s">
        <v>921</v>
      </c>
      <c r="C447" s="36" t="s">
        <v>922</v>
      </c>
      <c r="D447" s="44">
        <v>335</v>
      </c>
      <c r="E447" s="32" t="s">
        <v>921</v>
      </c>
      <c r="F447" s="33"/>
      <c r="G447" s="33"/>
    </row>
    <row r="448" spans="1:7" ht="15.5" thickBot="1" x14ac:dyDescent="0.9">
      <c r="A448" s="34" t="s">
        <v>748</v>
      </c>
      <c r="B448" s="22" t="s">
        <v>921</v>
      </c>
      <c r="C448" s="23" t="s">
        <v>922</v>
      </c>
      <c r="D448" s="39">
        <v>49</v>
      </c>
      <c r="E448" s="22" t="s">
        <v>921</v>
      </c>
      <c r="F448" s="28"/>
      <c r="G448" s="28"/>
    </row>
    <row r="449" spans="1:13" x14ac:dyDescent="0.75">
      <c r="A449" s="40"/>
      <c r="B449" s="40" t="s">
        <v>939</v>
      </c>
      <c r="C449" s="41"/>
      <c r="D449" s="41"/>
      <c r="E449" s="40" t="s">
        <v>939</v>
      </c>
      <c r="F449" s="40"/>
      <c r="G449" s="40"/>
    </row>
    <row r="450" spans="1:13" ht="15.5" thickBot="1" x14ac:dyDescent="0.9">
      <c r="A450" s="35" t="s">
        <v>761</v>
      </c>
      <c r="B450" s="32" t="s">
        <v>921</v>
      </c>
      <c r="C450" s="36" t="s">
        <v>931</v>
      </c>
      <c r="D450" s="44">
        <v>286</v>
      </c>
      <c r="E450" s="32" t="s">
        <v>921</v>
      </c>
      <c r="F450" s="33"/>
      <c r="G450" s="33"/>
    </row>
    <row r="451" spans="1:13" ht="15.5" thickTop="1" x14ac:dyDescent="0.75">
      <c r="A451" s="40"/>
      <c r="B451" s="40" t="s">
        <v>939</v>
      </c>
      <c r="C451" s="42"/>
      <c r="D451" s="42"/>
      <c r="E451" s="40" t="s">
        <v>939</v>
      </c>
      <c r="F451" s="40"/>
      <c r="G451" s="40"/>
    </row>
    <row r="452" spans="1:13" x14ac:dyDescent="0.75">
      <c r="A452" s="25" t="s">
        <v>762</v>
      </c>
    </row>
    <row r="453" spans="1:13" x14ac:dyDescent="0.75">
      <c r="A453" s="26" t="s">
        <v>763</v>
      </c>
    </row>
    <row r="454" spans="1:13" x14ac:dyDescent="0.75">
      <c r="A454" s="25" t="s">
        <v>764</v>
      </c>
    </row>
    <row r="455" spans="1:13" x14ac:dyDescent="0.75">
      <c r="A455" s="27"/>
    </row>
    <row r="456" spans="1:13" x14ac:dyDescent="0.75">
      <c r="A456" s="28"/>
      <c r="B456" s="28"/>
      <c r="C456" s="28"/>
      <c r="D456" s="28"/>
      <c r="E456" s="28"/>
      <c r="F456" s="28"/>
      <c r="G456" s="28"/>
      <c r="H456" s="28"/>
      <c r="I456" s="28"/>
      <c r="J456" s="28"/>
      <c r="K456" s="28"/>
      <c r="L456" s="28"/>
      <c r="M456" s="28"/>
    </row>
    <row r="457" spans="1:13" ht="15.5" thickBot="1" x14ac:dyDescent="0.9">
      <c r="A457" s="22" t="s">
        <v>922</v>
      </c>
      <c r="B457" s="22" t="s">
        <v>921</v>
      </c>
      <c r="C457" s="268">
        <v>2006</v>
      </c>
      <c r="D457" s="268"/>
      <c r="E457" s="22" t="s">
        <v>922</v>
      </c>
      <c r="F457" s="22" t="s">
        <v>922</v>
      </c>
      <c r="G457" s="268">
        <v>2005</v>
      </c>
      <c r="H457" s="268"/>
      <c r="I457" s="22" t="s">
        <v>922</v>
      </c>
      <c r="J457" s="22" t="s">
        <v>922</v>
      </c>
      <c r="K457" s="268">
        <v>2004</v>
      </c>
      <c r="L457" s="268"/>
      <c r="M457" s="22" t="s">
        <v>922</v>
      </c>
    </row>
    <row r="458" spans="1:13" x14ac:dyDescent="0.75">
      <c r="A458" s="35" t="s">
        <v>765</v>
      </c>
      <c r="B458" s="32" t="s">
        <v>921</v>
      </c>
      <c r="C458" s="36" t="s">
        <v>931</v>
      </c>
      <c r="D458" s="37">
        <v>120774</v>
      </c>
      <c r="E458" s="38" t="s">
        <v>922</v>
      </c>
      <c r="F458" s="32" t="s">
        <v>922</v>
      </c>
      <c r="G458" s="36" t="s">
        <v>931</v>
      </c>
      <c r="H458" s="37">
        <v>106087</v>
      </c>
      <c r="I458" s="38" t="s">
        <v>922</v>
      </c>
      <c r="J458" s="32" t="s">
        <v>922</v>
      </c>
      <c r="K458" s="36" t="s">
        <v>931</v>
      </c>
      <c r="L458" s="37">
        <v>70750</v>
      </c>
      <c r="M458" s="38" t="s">
        <v>922</v>
      </c>
    </row>
    <row r="459" spans="1:13" ht="15.5" thickBot="1" x14ac:dyDescent="0.9">
      <c r="A459" s="34" t="s">
        <v>766</v>
      </c>
      <c r="B459" s="22" t="s">
        <v>921</v>
      </c>
      <c r="C459" s="23" t="s">
        <v>922</v>
      </c>
      <c r="D459" s="24">
        <v>30632</v>
      </c>
      <c r="E459" s="25" t="s">
        <v>922</v>
      </c>
      <c r="F459" s="22" t="s">
        <v>922</v>
      </c>
      <c r="G459" s="23" t="s">
        <v>922</v>
      </c>
      <c r="H459" s="24">
        <v>22568</v>
      </c>
      <c r="I459" s="25" t="s">
        <v>922</v>
      </c>
      <c r="J459" s="22" t="s">
        <v>922</v>
      </c>
      <c r="K459" s="23" t="s">
        <v>922</v>
      </c>
      <c r="L459" s="24">
        <v>16272</v>
      </c>
      <c r="M459" s="25" t="s">
        <v>922</v>
      </c>
    </row>
    <row r="460" spans="1:13" x14ac:dyDescent="0.75">
      <c r="A460" s="40"/>
      <c r="B460" s="40" t="s">
        <v>939</v>
      </c>
      <c r="C460" s="41"/>
      <c r="D460" s="41"/>
      <c r="E460" s="40"/>
      <c r="F460" s="40"/>
      <c r="G460" s="41"/>
      <c r="H460" s="41"/>
      <c r="I460" s="40"/>
      <c r="J460" s="40"/>
      <c r="K460" s="41"/>
      <c r="L460" s="41"/>
      <c r="M460" s="40"/>
    </row>
    <row r="461" spans="1:13" ht="15.5" thickBot="1" x14ac:dyDescent="0.9">
      <c r="A461" s="35" t="s">
        <v>767</v>
      </c>
      <c r="B461" s="32" t="s">
        <v>921</v>
      </c>
      <c r="C461" s="36" t="s">
        <v>922</v>
      </c>
      <c r="D461" s="37">
        <v>151406</v>
      </c>
      <c r="E461" s="38" t="s">
        <v>922</v>
      </c>
      <c r="F461" s="32" t="s">
        <v>922</v>
      </c>
      <c r="G461" s="36" t="s">
        <v>922</v>
      </c>
      <c r="H461" s="37">
        <v>128655</v>
      </c>
      <c r="I461" s="38" t="s">
        <v>922</v>
      </c>
      <c r="J461" s="32" t="s">
        <v>922</v>
      </c>
      <c r="K461" s="36" t="s">
        <v>922</v>
      </c>
      <c r="L461" s="37">
        <v>87022</v>
      </c>
      <c r="M461" s="38" t="s">
        <v>922</v>
      </c>
    </row>
    <row r="462" spans="1:13" x14ac:dyDescent="0.75">
      <c r="A462" s="40"/>
      <c r="B462" s="40" t="s">
        <v>939</v>
      </c>
      <c r="C462" s="41"/>
      <c r="D462" s="41"/>
      <c r="E462" s="40"/>
      <c r="F462" s="40"/>
      <c r="G462" s="41"/>
      <c r="H462" s="41"/>
      <c r="I462" s="40"/>
      <c r="J462" s="40"/>
      <c r="K462" s="41"/>
      <c r="L462" s="41"/>
      <c r="M462" s="40"/>
    </row>
    <row r="463" spans="1:13" x14ac:dyDescent="0.75">
      <c r="A463" s="34" t="s">
        <v>768</v>
      </c>
      <c r="B463" s="22" t="s">
        <v>921</v>
      </c>
      <c r="C463" s="23" t="s">
        <v>922</v>
      </c>
      <c r="D463" s="39" t="s">
        <v>769</v>
      </c>
      <c r="E463" s="25" t="s">
        <v>964</v>
      </c>
      <c r="F463" s="22" t="s">
        <v>922</v>
      </c>
      <c r="G463" s="23" t="s">
        <v>922</v>
      </c>
      <c r="H463" s="39" t="s">
        <v>770</v>
      </c>
      <c r="I463" s="25" t="s">
        <v>964</v>
      </c>
      <c r="J463" s="22" t="s">
        <v>922</v>
      </c>
      <c r="K463" s="23" t="s">
        <v>922</v>
      </c>
      <c r="L463" s="39">
        <v>284</v>
      </c>
      <c r="M463" s="25" t="s">
        <v>922</v>
      </c>
    </row>
    <row r="464" spans="1:13" ht="15.5" thickBot="1" x14ac:dyDescent="0.9">
      <c r="A464" s="35" t="s">
        <v>771</v>
      </c>
      <c r="B464" s="32" t="s">
        <v>921</v>
      </c>
      <c r="C464" s="36" t="s">
        <v>922</v>
      </c>
      <c r="D464" s="44" t="s">
        <v>772</v>
      </c>
      <c r="E464" s="38" t="s">
        <v>964</v>
      </c>
      <c r="F464" s="32" t="s">
        <v>922</v>
      </c>
      <c r="G464" s="36" t="s">
        <v>922</v>
      </c>
      <c r="H464" s="44" t="s">
        <v>773</v>
      </c>
      <c r="I464" s="38" t="s">
        <v>964</v>
      </c>
      <c r="J464" s="32" t="s">
        <v>922</v>
      </c>
      <c r="K464" s="36" t="s">
        <v>922</v>
      </c>
      <c r="L464" s="44" t="s">
        <v>774</v>
      </c>
      <c r="M464" s="38" t="s">
        <v>964</v>
      </c>
    </row>
    <row r="465" spans="1:13" x14ac:dyDescent="0.75">
      <c r="A465" s="40"/>
      <c r="B465" s="40" t="s">
        <v>939</v>
      </c>
      <c r="C465" s="41"/>
      <c r="D465" s="41"/>
      <c r="E465" s="40"/>
      <c r="F465" s="40"/>
      <c r="G465" s="41"/>
      <c r="H465" s="41"/>
      <c r="I465" s="40"/>
      <c r="J465" s="40"/>
      <c r="K465" s="41"/>
      <c r="L465" s="41"/>
      <c r="M465" s="40"/>
    </row>
    <row r="466" spans="1:13" ht="15.5" thickBot="1" x14ac:dyDescent="0.9">
      <c r="A466" s="34" t="s">
        <v>775</v>
      </c>
      <c r="B466" s="22" t="s">
        <v>921</v>
      </c>
      <c r="C466" s="23" t="s">
        <v>922</v>
      </c>
      <c r="D466" s="39" t="s">
        <v>1041</v>
      </c>
      <c r="E466" s="25" t="s">
        <v>964</v>
      </c>
      <c r="F466" s="22" t="s">
        <v>922</v>
      </c>
      <c r="G466" s="23" t="s">
        <v>922</v>
      </c>
      <c r="H466" s="39" t="s">
        <v>1042</v>
      </c>
      <c r="I466" s="25" t="s">
        <v>964</v>
      </c>
      <c r="J466" s="22" t="s">
        <v>922</v>
      </c>
      <c r="K466" s="23" t="s">
        <v>922</v>
      </c>
      <c r="L466" s="39" t="s">
        <v>776</v>
      </c>
      <c r="M466" s="25" t="s">
        <v>964</v>
      </c>
    </row>
    <row r="467" spans="1:13" x14ac:dyDescent="0.75">
      <c r="A467" s="40"/>
      <c r="B467" s="40" t="s">
        <v>939</v>
      </c>
      <c r="C467" s="41"/>
      <c r="D467" s="41"/>
      <c r="E467" s="40"/>
      <c r="F467" s="40"/>
      <c r="G467" s="41"/>
      <c r="H467" s="41"/>
      <c r="I467" s="40"/>
      <c r="J467" s="40"/>
      <c r="K467" s="41"/>
      <c r="L467" s="41"/>
      <c r="M467" s="40"/>
    </row>
    <row r="468" spans="1:13" ht="15.5" thickBot="1" x14ac:dyDescent="0.9">
      <c r="A468" s="35" t="s">
        <v>777</v>
      </c>
      <c r="B468" s="32" t="s">
        <v>921</v>
      </c>
      <c r="C468" s="36" t="s">
        <v>931</v>
      </c>
      <c r="D468" s="37">
        <v>135885</v>
      </c>
      <c r="E468" s="38" t="s">
        <v>922</v>
      </c>
      <c r="F468" s="32" t="s">
        <v>922</v>
      </c>
      <c r="G468" s="36" t="s">
        <v>931</v>
      </c>
      <c r="H468" s="37">
        <v>100782</v>
      </c>
      <c r="I468" s="38" t="s">
        <v>922</v>
      </c>
      <c r="J468" s="32" t="s">
        <v>922</v>
      </c>
      <c r="K468" s="36" t="s">
        <v>931</v>
      </c>
      <c r="L468" s="37">
        <v>86341</v>
      </c>
      <c r="M468" s="38" t="s">
        <v>922</v>
      </c>
    </row>
    <row r="469" spans="1:13" ht="15.5" thickTop="1" x14ac:dyDescent="0.75">
      <c r="A469" s="40"/>
      <c r="B469" s="40" t="s">
        <v>939</v>
      </c>
      <c r="C469" s="42"/>
      <c r="D469" s="42"/>
      <c r="E469" s="40"/>
      <c r="F469" s="40"/>
      <c r="G469" s="42"/>
      <c r="H469" s="42"/>
      <c r="I469" s="40"/>
      <c r="J469" s="40"/>
      <c r="K469" s="42"/>
      <c r="L469" s="42"/>
      <c r="M469" s="40"/>
    </row>
    <row r="470" spans="1:13" x14ac:dyDescent="0.75">
      <c r="A470" s="25" t="s">
        <v>778</v>
      </c>
    </row>
    <row r="471" spans="1:13" x14ac:dyDescent="0.75">
      <c r="A471" s="27"/>
    </row>
    <row r="472" spans="1:13" x14ac:dyDescent="0.75">
      <c r="A472" s="28"/>
      <c r="B472" s="28"/>
      <c r="C472" s="28"/>
      <c r="D472" s="28"/>
      <c r="E472" s="28"/>
      <c r="F472" s="28"/>
      <c r="G472" s="28"/>
      <c r="H472" s="28"/>
      <c r="I472" s="28"/>
      <c r="J472" s="28"/>
      <c r="K472" s="28"/>
      <c r="L472" s="28"/>
      <c r="M472" s="28"/>
    </row>
    <row r="473" spans="1:13" ht="15.5" thickBot="1" x14ac:dyDescent="0.9">
      <c r="A473" s="22" t="s">
        <v>922</v>
      </c>
      <c r="B473" s="22" t="s">
        <v>921</v>
      </c>
      <c r="C473" s="268">
        <v>2006</v>
      </c>
      <c r="D473" s="268"/>
      <c r="E473" s="22" t="s">
        <v>922</v>
      </c>
      <c r="F473" s="22" t="s">
        <v>922</v>
      </c>
      <c r="G473" s="268">
        <v>2005</v>
      </c>
      <c r="H473" s="268"/>
      <c r="I473" s="22" t="s">
        <v>922</v>
      </c>
      <c r="J473" s="22" t="s">
        <v>922</v>
      </c>
      <c r="K473" s="268">
        <v>2004</v>
      </c>
      <c r="L473" s="268"/>
      <c r="M473" s="22" t="s">
        <v>922</v>
      </c>
    </row>
    <row r="474" spans="1:13" x14ac:dyDescent="0.75">
      <c r="A474" s="35" t="s">
        <v>779</v>
      </c>
      <c r="B474" s="32" t="s">
        <v>921</v>
      </c>
      <c r="C474" s="36" t="s">
        <v>931</v>
      </c>
      <c r="D474" s="37">
        <v>118900</v>
      </c>
      <c r="E474" s="38" t="s">
        <v>922</v>
      </c>
      <c r="F474" s="32" t="s">
        <v>922</v>
      </c>
      <c r="G474" s="36" t="s">
        <v>931</v>
      </c>
      <c r="H474" s="37">
        <v>82997</v>
      </c>
      <c r="I474" s="38" t="s">
        <v>922</v>
      </c>
      <c r="J474" s="32" t="s">
        <v>922</v>
      </c>
      <c r="K474" s="36" t="s">
        <v>931</v>
      </c>
      <c r="L474" s="37">
        <v>75548</v>
      </c>
      <c r="M474" s="38" t="s">
        <v>922</v>
      </c>
    </row>
    <row r="475" spans="1:13" x14ac:dyDescent="0.75">
      <c r="A475" s="34" t="s">
        <v>780</v>
      </c>
      <c r="B475" s="22" t="s">
        <v>921</v>
      </c>
      <c r="C475" s="28"/>
      <c r="D475" s="28"/>
      <c r="E475" s="28"/>
      <c r="F475" s="22" t="s">
        <v>922</v>
      </c>
      <c r="G475" s="28"/>
      <c r="H475" s="28"/>
      <c r="I475" s="28"/>
      <c r="J475" s="22" t="s">
        <v>922</v>
      </c>
      <c r="K475" s="28"/>
      <c r="L475" s="28"/>
      <c r="M475" s="28"/>
    </row>
    <row r="476" spans="1:13" x14ac:dyDescent="0.75">
      <c r="A476" s="49" t="s">
        <v>781</v>
      </c>
      <c r="B476" s="32" t="s">
        <v>921</v>
      </c>
      <c r="C476" s="36" t="s">
        <v>922</v>
      </c>
      <c r="D476" s="44" t="s">
        <v>782</v>
      </c>
      <c r="E476" s="38" t="s">
        <v>964</v>
      </c>
      <c r="F476" s="32" t="s">
        <v>922</v>
      </c>
      <c r="G476" s="36" t="s">
        <v>922</v>
      </c>
      <c r="H476" s="37">
        <v>1639</v>
      </c>
      <c r="I476" s="38" t="s">
        <v>922</v>
      </c>
      <c r="J476" s="32" t="s">
        <v>922</v>
      </c>
      <c r="K476" s="36" t="s">
        <v>922</v>
      </c>
      <c r="L476" s="37">
        <v>2310</v>
      </c>
      <c r="M476" s="38" t="s">
        <v>922</v>
      </c>
    </row>
    <row r="477" spans="1:13" x14ac:dyDescent="0.75">
      <c r="A477" s="21" t="s">
        <v>783</v>
      </c>
      <c r="B477" s="22" t="s">
        <v>921</v>
      </c>
      <c r="C477" s="23" t="s">
        <v>922</v>
      </c>
      <c r="D477" s="39" t="s">
        <v>784</v>
      </c>
      <c r="E477" s="25" t="s">
        <v>964</v>
      </c>
      <c r="F477" s="22" t="s">
        <v>922</v>
      </c>
      <c r="G477" s="23" t="s">
        <v>922</v>
      </c>
      <c r="H477" s="39" t="s">
        <v>933</v>
      </c>
      <c r="I477" s="25" t="s">
        <v>922</v>
      </c>
      <c r="J477" s="22" t="s">
        <v>922</v>
      </c>
      <c r="K477" s="23" t="s">
        <v>922</v>
      </c>
      <c r="L477" s="39" t="s">
        <v>933</v>
      </c>
      <c r="M477" s="25" t="s">
        <v>922</v>
      </c>
    </row>
    <row r="478" spans="1:13" x14ac:dyDescent="0.75">
      <c r="A478" s="49" t="s">
        <v>1027</v>
      </c>
      <c r="B478" s="32" t="s">
        <v>921</v>
      </c>
      <c r="C478" s="36" t="s">
        <v>922</v>
      </c>
      <c r="D478" s="44" t="s">
        <v>785</v>
      </c>
      <c r="E478" s="38" t="s">
        <v>964</v>
      </c>
      <c r="F478" s="32" t="s">
        <v>922</v>
      </c>
      <c r="G478" s="36" t="s">
        <v>922</v>
      </c>
      <c r="H478" s="37">
        <v>3310</v>
      </c>
      <c r="I478" s="38" t="s">
        <v>922</v>
      </c>
      <c r="J478" s="32" t="s">
        <v>922</v>
      </c>
      <c r="K478" s="36" t="s">
        <v>922</v>
      </c>
      <c r="L478" s="44" t="s">
        <v>933</v>
      </c>
      <c r="M478" s="38" t="s">
        <v>922</v>
      </c>
    </row>
    <row r="479" spans="1:13" x14ac:dyDescent="0.75">
      <c r="A479" s="21" t="s">
        <v>786</v>
      </c>
      <c r="B479" s="22" t="s">
        <v>921</v>
      </c>
      <c r="C479" s="23" t="s">
        <v>922</v>
      </c>
      <c r="D479" s="39" t="s">
        <v>787</v>
      </c>
      <c r="E479" s="25" t="s">
        <v>964</v>
      </c>
      <c r="F479" s="22" t="s">
        <v>922</v>
      </c>
      <c r="G479" s="23" t="s">
        <v>922</v>
      </c>
      <c r="H479" s="39" t="s">
        <v>788</v>
      </c>
      <c r="I479" s="25" t="s">
        <v>964</v>
      </c>
      <c r="J479" s="22" t="s">
        <v>922</v>
      </c>
      <c r="K479" s="23" t="s">
        <v>922</v>
      </c>
      <c r="L479" s="39" t="s">
        <v>789</v>
      </c>
      <c r="M479" s="25" t="s">
        <v>964</v>
      </c>
    </row>
    <row r="480" spans="1:13" ht="15.5" thickBot="1" x14ac:dyDescent="0.9">
      <c r="A480" s="49" t="s">
        <v>790</v>
      </c>
      <c r="B480" s="32" t="s">
        <v>921</v>
      </c>
      <c r="C480" s="36" t="s">
        <v>922</v>
      </c>
      <c r="D480" s="44">
        <v>331</v>
      </c>
      <c r="E480" s="38" t="s">
        <v>922</v>
      </c>
      <c r="F480" s="32" t="s">
        <v>922</v>
      </c>
      <c r="G480" s="36" t="s">
        <v>922</v>
      </c>
      <c r="H480" s="37">
        <v>1684</v>
      </c>
      <c r="I480" s="38" t="s">
        <v>922</v>
      </c>
      <c r="J480" s="32" t="s">
        <v>922</v>
      </c>
      <c r="K480" s="36" t="s">
        <v>922</v>
      </c>
      <c r="L480" s="44" t="s">
        <v>791</v>
      </c>
      <c r="M480" s="38" t="s">
        <v>964</v>
      </c>
    </row>
    <row r="481" spans="1:13" x14ac:dyDescent="0.75">
      <c r="A481" s="40"/>
      <c r="B481" s="40" t="s">
        <v>939</v>
      </c>
      <c r="C481" s="41"/>
      <c r="D481" s="41"/>
      <c r="E481" s="40"/>
      <c r="F481" s="40"/>
      <c r="G481" s="41"/>
      <c r="H481" s="41"/>
      <c r="I481" s="40"/>
      <c r="J481" s="40"/>
      <c r="K481" s="41"/>
      <c r="L481" s="41"/>
      <c r="M481" s="40"/>
    </row>
    <row r="482" spans="1:13" x14ac:dyDescent="0.75">
      <c r="A482" s="34" t="s">
        <v>792</v>
      </c>
      <c r="B482" s="22" t="s">
        <v>921</v>
      </c>
      <c r="C482" s="23" t="s">
        <v>922</v>
      </c>
      <c r="D482" s="24">
        <v>107424</v>
      </c>
      <c r="E482" s="25" t="s">
        <v>922</v>
      </c>
      <c r="F482" s="22" t="s">
        <v>922</v>
      </c>
      <c r="G482" s="23" t="s">
        <v>922</v>
      </c>
      <c r="H482" s="24">
        <v>83625</v>
      </c>
      <c r="I482" s="25" t="s">
        <v>922</v>
      </c>
      <c r="J482" s="22" t="s">
        <v>922</v>
      </c>
      <c r="K482" s="23" t="s">
        <v>922</v>
      </c>
      <c r="L482" s="24">
        <v>71034</v>
      </c>
      <c r="M482" s="25" t="s">
        <v>922</v>
      </c>
    </row>
    <row r="483" spans="1:13" ht="15.5" thickBot="1" x14ac:dyDescent="0.9">
      <c r="A483" s="35" t="s">
        <v>793</v>
      </c>
      <c r="B483" s="32" t="s">
        <v>921</v>
      </c>
      <c r="C483" s="36" t="s">
        <v>922</v>
      </c>
      <c r="D483" s="37">
        <v>28461</v>
      </c>
      <c r="E483" s="38" t="s">
        <v>922</v>
      </c>
      <c r="F483" s="32" t="s">
        <v>922</v>
      </c>
      <c r="G483" s="36" t="s">
        <v>922</v>
      </c>
      <c r="H483" s="37">
        <v>17157</v>
      </c>
      <c r="I483" s="38" t="s">
        <v>922</v>
      </c>
      <c r="J483" s="32" t="s">
        <v>922</v>
      </c>
      <c r="K483" s="36" t="s">
        <v>922</v>
      </c>
      <c r="L483" s="37">
        <v>15307</v>
      </c>
      <c r="M483" s="38" t="s">
        <v>922</v>
      </c>
    </row>
    <row r="484" spans="1:13" x14ac:dyDescent="0.75">
      <c r="A484" s="40"/>
      <c r="B484" s="40" t="s">
        <v>939</v>
      </c>
      <c r="C484" s="41"/>
      <c r="D484" s="41"/>
      <c r="E484" s="40"/>
      <c r="F484" s="40"/>
      <c r="G484" s="41"/>
      <c r="H484" s="41"/>
      <c r="I484" s="40"/>
      <c r="J484" s="40"/>
      <c r="K484" s="41"/>
      <c r="L484" s="41"/>
      <c r="M484" s="40"/>
    </row>
    <row r="485" spans="1:13" ht="15.5" thickBot="1" x14ac:dyDescent="0.9">
      <c r="A485" s="34" t="s">
        <v>777</v>
      </c>
      <c r="B485" s="22" t="s">
        <v>921</v>
      </c>
      <c r="C485" s="23" t="s">
        <v>931</v>
      </c>
      <c r="D485" s="24">
        <v>135885</v>
      </c>
      <c r="E485" s="25" t="s">
        <v>922</v>
      </c>
      <c r="F485" s="22" t="s">
        <v>922</v>
      </c>
      <c r="G485" s="23" t="s">
        <v>931</v>
      </c>
      <c r="H485" s="24">
        <v>100782</v>
      </c>
      <c r="I485" s="25" t="s">
        <v>922</v>
      </c>
      <c r="J485" s="22" t="s">
        <v>922</v>
      </c>
      <c r="K485" s="23" t="s">
        <v>931</v>
      </c>
      <c r="L485" s="24">
        <v>86341</v>
      </c>
      <c r="M485" s="25" t="s">
        <v>922</v>
      </c>
    </row>
    <row r="486" spans="1:13" ht="15.5" thickTop="1" x14ac:dyDescent="0.75">
      <c r="A486" s="40"/>
      <c r="B486" s="40" t="s">
        <v>939</v>
      </c>
      <c r="C486" s="42"/>
      <c r="D486" s="42"/>
      <c r="E486" s="40"/>
      <c r="F486" s="40"/>
      <c r="G486" s="42"/>
      <c r="H486" s="42"/>
      <c r="I486" s="40"/>
      <c r="J486" s="40"/>
      <c r="K486" s="42"/>
      <c r="L486" s="42"/>
      <c r="M486" s="40"/>
    </row>
    <row r="487" spans="1:13" x14ac:dyDescent="0.75">
      <c r="A487" s="46" t="s">
        <v>922</v>
      </c>
    </row>
    <row r="488" spans="1:13" x14ac:dyDescent="0.75">
      <c r="A488" s="47">
        <v>49</v>
      </c>
    </row>
    <row r="492" spans="1:13" x14ac:dyDescent="0.75">
      <c r="A492" s="48" t="s">
        <v>971</v>
      </c>
    </row>
    <row r="494" spans="1:13" x14ac:dyDescent="0.75">
      <c r="A494" s="25" t="s">
        <v>794</v>
      </c>
    </row>
    <row r="495" spans="1:13" x14ac:dyDescent="0.75">
      <c r="A495" s="27"/>
    </row>
    <row r="496" spans="1:13" x14ac:dyDescent="0.75">
      <c r="A496" s="28"/>
      <c r="B496" s="28"/>
      <c r="C496" s="28"/>
      <c r="D496" s="28"/>
      <c r="E496" s="28"/>
      <c r="F496" s="28"/>
      <c r="G496" s="28"/>
      <c r="H496" s="28"/>
      <c r="I496" s="28"/>
    </row>
    <row r="497" spans="1:9" ht="15.5" thickBot="1" x14ac:dyDescent="0.9">
      <c r="A497" s="22" t="s">
        <v>922</v>
      </c>
      <c r="B497" s="22" t="s">
        <v>921</v>
      </c>
      <c r="C497" s="268">
        <v>2006</v>
      </c>
      <c r="D497" s="268"/>
      <c r="E497" s="22" t="s">
        <v>922</v>
      </c>
      <c r="F497" s="22" t="s">
        <v>922</v>
      </c>
      <c r="G497" s="268">
        <v>2005</v>
      </c>
      <c r="H497" s="268"/>
      <c r="I497" s="22" t="s">
        <v>922</v>
      </c>
    </row>
    <row r="498" spans="1:9" x14ac:dyDescent="0.75">
      <c r="A498" s="35" t="s">
        <v>795</v>
      </c>
      <c r="B498" s="32" t="s">
        <v>921</v>
      </c>
      <c r="C498" s="33"/>
      <c r="D498" s="33"/>
      <c r="E498" s="33"/>
      <c r="F498" s="32" t="s">
        <v>922</v>
      </c>
      <c r="G498" s="33"/>
      <c r="H498" s="33"/>
      <c r="I498" s="33"/>
    </row>
    <row r="499" spans="1:9" x14ac:dyDescent="0.75">
      <c r="A499" s="21" t="s">
        <v>796</v>
      </c>
      <c r="B499" s="22" t="s">
        <v>921</v>
      </c>
      <c r="C499" s="23" t="s">
        <v>931</v>
      </c>
      <c r="D499" s="24">
        <v>43303</v>
      </c>
      <c r="E499" s="25" t="s">
        <v>922</v>
      </c>
      <c r="F499" s="22" t="s">
        <v>922</v>
      </c>
      <c r="G499" s="23" t="s">
        <v>931</v>
      </c>
      <c r="H499" s="24">
        <v>34009</v>
      </c>
      <c r="I499" s="25" t="s">
        <v>922</v>
      </c>
    </row>
    <row r="500" spans="1:9" x14ac:dyDescent="0.75">
      <c r="A500" s="49" t="s">
        <v>797</v>
      </c>
      <c r="B500" s="32" t="s">
        <v>921</v>
      </c>
      <c r="C500" s="36" t="s">
        <v>922</v>
      </c>
      <c r="D500" s="37">
        <v>16889</v>
      </c>
      <c r="E500" s="38" t="s">
        <v>922</v>
      </c>
      <c r="F500" s="32" t="s">
        <v>922</v>
      </c>
      <c r="G500" s="36" t="s">
        <v>922</v>
      </c>
      <c r="H500" s="37">
        <v>14380</v>
      </c>
      <c r="I500" s="38" t="s">
        <v>922</v>
      </c>
    </row>
    <row r="501" spans="1:9" x14ac:dyDescent="0.75">
      <c r="A501" s="21" t="s">
        <v>1126</v>
      </c>
      <c r="B501" s="22" t="s">
        <v>921</v>
      </c>
      <c r="C501" s="23" t="s">
        <v>922</v>
      </c>
      <c r="D501" s="39" t="s">
        <v>933</v>
      </c>
      <c r="E501" s="25" t="s">
        <v>922</v>
      </c>
      <c r="F501" s="22" t="s">
        <v>922</v>
      </c>
      <c r="G501" s="23" t="s">
        <v>922</v>
      </c>
      <c r="H501" s="24">
        <v>2879</v>
      </c>
      <c r="I501" s="25" t="s">
        <v>922</v>
      </c>
    </row>
    <row r="502" spans="1:9" x14ac:dyDescent="0.75">
      <c r="A502" s="49" t="s">
        <v>798</v>
      </c>
      <c r="B502" s="32" t="s">
        <v>921</v>
      </c>
      <c r="C502" s="36" t="s">
        <v>922</v>
      </c>
      <c r="D502" s="44">
        <v>18</v>
      </c>
      <c r="E502" s="38" t="s">
        <v>922</v>
      </c>
      <c r="F502" s="32" t="s">
        <v>922</v>
      </c>
      <c r="G502" s="36" t="s">
        <v>922</v>
      </c>
      <c r="H502" s="44">
        <v>359</v>
      </c>
      <c r="I502" s="38" t="s">
        <v>922</v>
      </c>
    </row>
    <row r="503" spans="1:9" x14ac:dyDescent="0.75">
      <c r="A503" s="21" t="s">
        <v>799</v>
      </c>
      <c r="B503" s="22" t="s">
        <v>921</v>
      </c>
      <c r="C503" s="23" t="s">
        <v>922</v>
      </c>
      <c r="D503" s="24">
        <v>41717</v>
      </c>
      <c r="E503" s="25" t="s">
        <v>922</v>
      </c>
      <c r="F503" s="22" t="s">
        <v>922</v>
      </c>
      <c r="G503" s="23" t="s">
        <v>922</v>
      </c>
      <c r="H503" s="24">
        <v>31434</v>
      </c>
      <c r="I503" s="25" t="s">
        <v>922</v>
      </c>
    </row>
    <row r="504" spans="1:9" x14ac:dyDescent="0.75">
      <c r="A504" s="49" t="s">
        <v>800</v>
      </c>
      <c r="B504" s="32" t="s">
        <v>921</v>
      </c>
      <c r="C504" s="36" t="s">
        <v>922</v>
      </c>
      <c r="D504" s="37">
        <v>10461</v>
      </c>
      <c r="E504" s="38" t="s">
        <v>922</v>
      </c>
      <c r="F504" s="32" t="s">
        <v>922</v>
      </c>
      <c r="G504" s="36" t="s">
        <v>922</v>
      </c>
      <c r="H504" s="37">
        <v>16606</v>
      </c>
      <c r="I504" s="38" t="s">
        <v>922</v>
      </c>
    </row>
    <row r="505" spans="1:9" ht="15.5" thickBot="1" x14ac:dyDescent="0.9">
      <c r="A505" s="21" t="s">
        <v>801</v>
      </c>
      <c r="B505" s="22" t="s">
        <v>921</v>
      </c>
      <c r="C505" s="23" t="s">
        <v>922</v>
      </c>
      <c r="D505" s="24">
        <v>2810</v>
      </c>
      <c r="E505" s="25" t="s">
        <v>922</v>
      </c>
      <c r="F505" s="22" t="s">
        <v>922</v>
      </c>
      <c r="G505" s="23" t="s">
        <v>922</v>
      </c>
      <c r="H505" s="24">
        <v>7231</v>
      </c>
      <c r="I505" s="25" t="s">
        <v>922</v>
      </c>
    </row>
    <row r="506" spans="1:9" x14ac:dyDescent="0.75">
      <c r="A506" s="40"/>
      <c r="B506" s="40" t="s">
        <v>939</v>
      </c>
      <c r="C506" s="41"/>
      <c r="D506" s="41"/>
      <c r="E506" s="40"/>
      <c r="F506" s="40"/>
      <c r="G506" s="41"/>
      <c r="H506" s="41"/>
      <c r="I506" s="40"/>
    </row>
    <row r="507" spans="1:9" x14ac:dyDescent="0.75">
      <c r="A507" s="49" t="s">
        <v>802</v>
      </c>
      <c r="B507" s="32" t="s">
        <v>921</v>
      </c>
      <c r="C507" s="36" t="s">
        <v>922</v>
      </c>
      <c r="D507" s="37">
        <v>115198</v>
      </c>
      <c r="E507" s="38" t="s">
        <v>922</v>
      </c>
      <c r="F507" s="32" t="s">
        <v>922</v>
      </c>
      <c r="G507" s="36" t="s">
        <v>922</v>
      </c>
      <c r="H507" s="37">
        <v>106898</v>
      </c>
      <c r="I507" s="38" t="s">
        <v>922</v>
      </c>
    </row>
    <row r="508" spans="1:9" ht="15.5" thickBot="1" x14ac:dyDescent="0.9">
      <c r="A508" s="21" t="s">
        <v>803</v>
      </c>
      <c r="B508" s="22" t="s">
        <v>921</v>
      </c>
      <c r="C508" s="23" t="s">
        <v>922</v>
      </c>
      <c r="D508" s="39" t="s">
        <v>804</v>
      </c>
      <c r="E508" s="25" t="s">
        <v>964</v>
      </c>
      <c r="F508" s="22" t="s">
        <v>922</v>
      </c>
      <c r="G508" s="23" t="s">
        <v>922</v>
      </c>
      <c r="H508" s="39" t="s">
        <v>805</v>
      </c>
      <c r="I508" s="25" t="s">
        <v>964</v>
      </c>
    </row>
    <row r="509" spans="1:9" x14ac:dyDescent="0.75">
      <c r="A509" s="40"/>
      <c r="B509" s="40" t="s">
        <v>939</v>
      </c>
      <c r="C509" s="41"/>
      <c r="D509" s="41"/>
      <c r="E509" s="40"/>
      <c r="F509" s="40"/>
      <c r="G509" s="41"/>
      <c r="H509" s="41"/>
      <c r="I509" s="40"/>
    </row>
    <row r="510" spans="1:9" ht="15.5" thickBot="1" x14ac:dyDescent="0.9">
      <c r="A510" s="54"/>
      <c r="B510" s="32" t="s">
        <v>921</v>
      </c>
      <c r="C510" s="36" t="s">
        <v>922</v>
      </c>
      <c r="D510" s="37">
        <v>101927</v>
      </c>
      <c r="E510" s="38" t="s">
        <v>922</v>
      </c>
      <c r="F510" s="32" t="s">
        <v>922</v>
      </c>
      <c r="G510" s="36" t="s">
        <v>922</v>
      </c>
      <c r="H510" s="37">
        <v>89534</v>
      </c>
      <c r="I510" s="38" t="s">
        <v>922</v>
      </c>
    </row>
    <row r="511" spans="1:9" x14ac:dyDescent="0.75">
      <c r="A511" s="40"/>
      <c r="B511" s="40" t="s">
        <v>939</v>
      </c>
      <c r="C511" s="41"/>
      <c r="D511" s="41"/>
      <c r="E511" s="40"/>
      <c r="F511" s="40"/>
      <c r="G511" s="41"/>
      <c r="H511" s="41"/>
      <c r="I511" s="40"/>
    </row>
    <row r="512" spans="1:9" x14ac:dyDescent="0.75">
      <c r="A512" s="34" t="s">
        <v>806</v>
      </c>
      <c r="B512" s="22" t="s">
        <v>921</v>
      </c>
      <c r="C512" s="28"/>
      <c r="D512" s="28"/>
      <c r="E512" s="28"/>
      <c r="F512" s="22" t="s">
        <v>922</v>
      </c>
      <c r="G512" s="28"/>
      <c r="H512" s="28"/>
      <c r="I512" s="28"/>
    </row>
    <row r="513" spans="1:9" x14ac:dyDescent="0.75">
      <c r="A513" s="49" t="s">
        <v>807</v>
      </c>
      <c r="B513" s="32" t="s">
        <v>921</v>
      </c>
      <c r="C513" s="36" t="s">
        <v>922</v>
      </c>
      <c r="D513" s="44" t="s">
        <v>808</v>
      </c>
      <c r="E513" s="38" t="s">
        <v>964</v>
      </c>
      <c r="F513" s="32" t="s">
        <v>922</v>
      </c>
      <c r="G513" s="36" t="s">
        <v>922</v>
      </c>
      <c r="H513" s="44" t="s">
        <v>809</v>
      </c>
      <c r="I513" s="38" t="s">
        <v>964</v>
      </c>
    </row>
    <row r="514" spans="1:9" x14ac:dyDescent="0.75">
      <c r="A514" s="21" t="s">
        <v>1126</v>
      </c>
      <c r="B514" s="22" t="s">
        <v>921</v>
      </c>
      <c r="C514" s="23" t="s">
        <v>922</v>
      </c>
      <c r="D514" s="39" t="s">
        <v>810</v>
      </c>
      <c r="E514" s="25" t="s">
        <v>964</v>
      </c>
      <c r="F514" s="22" t="s">
        <v>922</v>
      </c>
      <c r="G514" s="23" t="s">
        <v>922</v>
      </c>
      <c r="H514" s="39" t="s">
        <v>933</v>
      </c>
      <c r="I514" s="25" t="s">
        <v>922</v>
      </c>
    </row>
    <row r="515" spans="1:9" x14ac:dyDescent="0.75">
      <c r="A515" s="49" t="s">
        <v>811</v>
      </c>
      <c r="B515" s="32" t="s">
        <v>921</v>
      </c>
      <c r="C515" s="36" t="s">
        <v>922</v>
      </c>
      <c r="D515" s="44" t="s">
        <v>812</v>
      </c>
      <c r="E515" s="38" t="s">
        <v>964</v>
      </c>
      <c r="F515" s="32" t="s">
        <v>922</v>
      </c>
      <c r="G515" s="36" t="s">
        <v>922</v>
      </c>
      <c r="H515" s="44" t="s">
        <v>813</v>
      </c>
      <c r="I515" s="38" t="s">
        <v>964</v>
      </c>
    </row>
    <row r="516" spans="1:9" ht="15.5" thickBot="1" x14ac:dyDescent="0.9">
      <c r="A516" s="21" t="s">
        <v>1004</v>
      </c>
      <c r="B516" s="22" t="s">
        <v>921</v>
      </c>
      <c r="C516" s="23" t="s">
        <v>922</v>
      </c>
      <c r="D516" s="39" t="s">
        <v>814</v>
      </c>
      <c r="E516" s="25" t="s">
        <v>964</v>
      </c>
      <c r="F516" s="22" t="s">
        <v>922</v>
      </c>
      <c r="G516" s="23" t="s">
        <v>922</v>
      </c>
      <c r="H516" s="39" t="s">
        <v>815</v>
      </c>
      <c r="I516" s="25" t="s">
        <v>964</v>
      </c>
    </row>
    <row r="517" spans="1:9" x14ac:dyDescent="0.75">
      <c r="A517" s="40"/>
      <c r="B517" s="40" t="s">
        <v>939</v>
      </c>
      <c r="C517" s="41"/>
      <c r="D517" s="41"/>
      <c r="E517" s="40"/>
      <c r="F517" s="40"/>
      <c r="G517" s="41"/>
      <c r="H517" s="41"/>
      <c r="I517" s="40"/>
    </row>
    <row r="518" spans="1:9" ht="15.5" thickBot="1" x14ac:dyDescent="0.9">
      <c r="A518" s="54"/>
      <c r="B518" s="32" t="s">
        <v>921</v>
      </c>
      <c r="C518" s="36" t="s">
        <v>922</v>
      </c>
      <c r="D518" s="44" t="s">
        <v>816</v>
      </c>
      <c r="E518" s="38" t="s">
        <v>964</v>
      </c>
      <c r="F518" s="32" t="s">
        <v>922</v>
      </c>
      <c r="G518" s="36" t="s">
        <v>922</v>
      </c>
      <c r="H518" s="44" t="s">
        <v>817</v>
      </c>
      <c r="I518" s="38" t="s">
        <v>964</v>
      </c>
    </row>
    <row r="519" spans="1:9" x14ac:dyDescent="0.75">
      <c r="A519" s="40"/>
      <c r="B519" s="40" t="s">
        <v>939</v>
      </c>
      <c r="C519" s="41"/>
      <c r="D519" s="41"/>
      <c r="E519" s="40"/>
      <c r="F519" s="40"/>
      <c r="G519" s="41"/>
      <c r="H519" s="41"/>
      <c r="I519" s="40"/>
    </row>
    <row r="520" spans="1:9" ht="15.5" thickBot="1" x14ac:dyDescent="0.9">
      <c r="A520" s="34" t="s">
        <v>818</v>
      </c>
      <c r="B520" s="22" t="s">
        <v>921</v>
      </c>
      <c r="C520" s="23" t="s">
        <v>931</v>
      </c>
      <c r="D520" s="24">
        <v>77561</v>
      </c>
      <c r="E520" s="25" t="s">
        <v>922</v>
      </c>
      <c r="F520" s="22" t="s">
        <v>922</v>
      </c>
      <c r="G520" s="23" t="s">
        <v>931</v>
      </c>
      <c r="H520" s="24">
        <v>62040</v>
      </c>
      <c r="I520" s="25" t="s">
        <v>922</v>
      </c>
    </row>
    <row r="521" spans="1:9" ht="15.5" thickTop="1" x14ac:dyDescent="0.75">
      <c r="A521" s="40"/>
      <c r="B521" s="40" t="s">
        <v>939</v>
      </c>
      <c r="C521" s="42"/>
      <c r="D521" s="42"/>
      <c r="E521" s="40"/>
      <c r="F521" s="40"/>
      <c r="G521" s="42"/>
      <c r="H521" s="42"/>
      <c r="I521" s="40"/>
    </row>
    <row r="522" spans="1:9" x14ac:dyDescent="0.75">
      <c r="A522" s="28"/>
      <c r="B522" s="271"/>
      <c r="C522" s="271"/>
      <c r="D522" s="271"/>
      <c r="E522" s="271"/>
      <c r="F522" s="271"/>
      <c r="G522" s="271"/>
      <c r="H522" s="271"/>
      <c r="I522" s="271"/>
    </row>
    <row r="523" spans="1:9" x14ac:dyDescent="0.75">
      <c r="A523" s="276" t="s">
        <v>819</v>
      </c>
      <c r="B523" s="269" t="s">
        <v>921</v>
      </c>
      <c r="C523" s="271"/>
      <c r="D523" s="271"/>
      <c r="E523" s="271"/>
      <c r="F523" s="269" t="s">
        <v>922</v>
      </c>
      <c r="G523" s="271"/>
      <c r="H523" s="271"/>
      <c r="I523" s="271"/>
    </row>
    <row r="524" spans="1:9" x14ac:dyDescent="0.75">
      <c r="A524" s="276"/>
      <c r="B524" s="269"/>
      <c r="C524" s="271"/>
      <c r="D524" s="271"/>
      <c r="E524" s="271"/>
      <c r="F524" s="269"/>
      <c r="G524" s="271"/>
      <c r="H524" s="271"/>
      <c r="I524" s="271"/>
    </row>
    <row r="525" spans="1:9" ht="15.5" thickBot="1" x14ac:dyDescent="0.9">
      <c r="A525" s="22" t="s">
        <v>922</v>
      </c>
      <c r="B525" s="22" t="s">
        <v>921</v>
      </c>
      <c r="C525" s="268">
        <v>2006</v>
      </c>
      <c r="D525" s="268"/>
      <c r="E525" s="22" t="s">
        <v>922</v>
      </c>
      <c r="F525" s="22" t="s">
        <v>922</v>
      </c>
      <c r="G525" s="268">
        <v>2005</v>
      </c>
      <c r="H525" s="268"/>
      <c r="I525" s="22" t="s">
        <v>922</v>
      </c>
    </row>
    <row r="526" spans="1:9" x14ac:dyDescent="0.75">
      <c r="A526" s="35" t="s">
        <v>820</v>
      </c>
      <c r="B526" s="32" t="s">
        <v>921</v>
      </c>
      <c r="C526" s="36" t="s">
        <v>931</v>
      </c>
      <c r="D526" s="37">
        <v>48149</v>
      </c>
      <c r="E526" s="38" t="s">
        <v>922</v>
      </c>
      <c r="F526" s="32" t="s">
        <v>922</v>
      </c>
      <c r="G526" s="36" t="s">
        <v>931</v>
      </c>
      <c r="H526" s="37">
        <v>39588</v>
      </c>
      <c r="I526" s="38" t="s">
        <v>922</v>
      </c>
    </row>
    <row r="527" spans="1:9" ht="15.5" thickBot="1" x14ac:dyDescent="0.9">
      <c r="A527" s="34" t="s">
        <v>821</v>
      </c>
      <c r="B527" s="22" t="s">
        <v>921</v>
      </c>
      <c r="C527" s="23" t="s">
        <v>922</v>
      </c>
      <c r="D527" s="24">
        <v>29412</v>
      </c>
      <c r="E527" s="25" t="s">
        <v>922</v>
      </c>
      <c r="F527" s="22" t="s">
        <v>922</v>
      </c>
      <c r="G527" s="23" t="s">
        <v>922</v>
      </c>
      <c r="H527" s="24">
        <v>22452</v>
      </c>
      <c r="I527" s="25" t="s">
        <v>922</v>
      </c>
    </row>
    <row r="528" spans="1:9" x14ac:dyDescent="0.75">
      <c r="A528" s="40"/>
      <c r="B528" s="40" t="s">
        <v>939</v>
      </c>
      <c r="C528" s="41"/>
      <c r="D528" s="41"/>
      <c r="E528" s="40"/>
      <c r="F528" s="40"/>
      <c r="G528" s="41"/>
      <c r="H528" s="41"/>
      <c r="I528" s="40"/>
    </row>
    <row r="529" spans="1:9" ht="15.5" thickBot="1" x14ac:dyDescent="0.9">
      <c r="A529" s="35" t="s">
        <v>818</v>
      </c>
      <c r="B529" s="32" t="s">
        <v>921</v>
      </c>
      <c r="C529" s="36" t="s">
        <v>931</v>
      </c>
      <c r="D529" s="37">
        <v>77561</v>
      </c>
      <c r="E529" s="38" t="s">
        <v>922</v>
      </c>
      <c r="F529" s="32" t="s">
        <v>922</v>
      </c>
      <c r="G529" s="36" t="s">
        <v>931</v>
      </c>
      <c r="H529" s="37">
        <v>62040</v>
      </c>
      <c r="I529" s="38" t="s">
        <v>922</v>
      </c>
    </row>
    <row r="530" spans="1:9" ht="15.5" thickTop="1" x14ac:dyDescent="0.75">
      <c r="A530" s="40"/>
      <c r="B530" s="40" t="s">
        <v>939</v>
      </c>
      <c r="C530" s="42"/>
      <c r="D530" s="42"/>
      <c r="E530" s="40"/>
      <c r="F530" s="40"/>
      <c r="G530" s="42"/>
      <c r="H530" s="42"/>
      <c r="I530" s="40"/>
    </row>
    <row r="531" spans="1:9" x14ac:dyDescent="0.75">
      <c r="A531" s="25" t="s">
        <v>822</v>
      </c>
    </row>
    <row r="532" spans="1:9" x14ac:dyDescent="0.75">
      <c r="A532" s="26" t="s">
        <v>823</v>
      </c>
    </row>
    <row r="533" spans="1:9" x14ac:dyDescent="0.75">
      <c r="A533" s="25" t="s">
        <v>824</v>
      </c>
    </row>
    <row r="534" spans="1:9" x14ac:dyDescent="0.75">
      <c r="A534" s="25" t="s">
        <v>825</v>
      </c>
    </row>
    <row r="535" spans="1:9" x14ac:dyDescent="0.75">
      <c r="A535" s="46" t="s">
        <v>922</v>
      </c>
    </row>
    <row r="536" spans="1:9" x14ac:dyDescent="0.75">
      <c r="A536" s="47">
        <v>50</v>
      </c>
    </row>
    <row r="540" spans="1:9" x14ac:dyDescent="0.75">
      <c r="A540" s="48" t="s">
        <v>971</v>
      </c>
    </row>
    <row r="542" spans="1:9" x14ac:dyDescent="0.75">
      <c r="A542" s="26" t="s">
        <v>826</v>
      </c>
    </row>
    <row r="543" spans="1:9" x14ac:dyDescent="0.75">
      <c r="A543" s="45" t="s">
        <v>827</v>
      </c>
    </row>
    <row r="544" spans="1:9" x14ac:dyDescent="0.75">
      <c r="A544" s="25" t="s">
        <v>828</v>
      </c>
    </row>
    <row r="545" spans="1:11" x14ac:dyDescent="0.75">
      <c r="A545" s="27"/>
    </row>
    <row r="546" spans="1:11" x14ac:dyDescent="0.75">
      <c r="A546" s="28"/>
      <c r="B546" s="28"/>
      <c r="C546" s="28"/>
      <c r="D546" s="28"/>
      <c r="E546" s="28"/>
      <c r="F546" s="28"/>
      <c r="G546" s="28"/>
      <c r="H546" s="28"/>
      <c r="I546" s="28"/>
      <c r="J546" s="28"/>
      <c r="K546" s="28"/>
    </row>
    <row r="547" spans="1:11" x14ac:dyDescent="0.75">
      <c r="A547" s="275" t="s">
        <v>829</v>
      </c>
      <c r="B547" s="269" t="s">
        <v>921</v>
      </c>
      <c r="C547" s="270" t="s">
        <v>830</v>
      </c>
      <c r="D547" s="270"/>
      <c r="E547" s="269" t="s">
        <v>921</v>
      </c>
      <c r="F547" s="270" t="s">
        <v>832</v>
      </c>
      <c r="G547" s="269" t="s">
        <v>921</v>
      </c>
      <c r="H547" s="270" t="s">
        <v>833</v>
      </c>
      <c r="I547" s="269" t="s">
        <v>921</v>
      </c>
      <c r="J547" s="270" t="s">
        <v>1009</v>
      </c>
      <c r="K547" s="270"/>
    </row>
    <row r="548" spans="1:11" ht="15.5" thickBot="1" x14ac:dyDescent="0.9">
      <c r="A548" s="275"/>
      <c r="B548" s="269"/>
      <c r="C548" s="268" t="s">
        <v>831</v>
      </c>
      <c r="D548" s="268"/>
      <c r="E548" s="269"/>
      <c r="F548" s="268"/>
      <c r="G548" s="269"/>
      <c r="H548" s="268"/>
      <c r="I548" s="269"/>
      <c r="J548" s="268" t="s">
        <v>1143</v>
      </c>
      <c r="K548" s="268"/>
    </row>
    <row r="549" spans="1:11" x14ac:dyDescent="0.75">
      <c r="A549" s="58" t="s">
        <v>834</v>
      </c>
      <c r="B549" s="32" t="s">
        <v>921</v>
      </c>
      <c r="C549" s="33"/>
      <c r="D549" s="33"/>
      <c r="E549" s="32" t="s">
        <v>921</v>
      </c>
      <c r="F549" s="33"/>
      <c r="G549" s="32" t="s">
        <v>921</v>
      </c>
      <c r="H549" s="33"/>
      <c r="I549" s="32" t="s">
        <v>921</v>
      </c>
      <c r="J549" s="33"/>
      <c r="K549" s="33"/>
    </row>
    <row r="550" spans="1:11" ht="27" x14ac:dyDescent="0.75">
      <c r="A550" s="34" t="s">
        <v>835</v>
      </c>
      <c r="B550" s="22" t="s">
        <v>921</v>
      </c>
      <c r="C550" s="23" t="s">
        <v>931</v>
      </c>
      <c r="D550" s="39">
        <v>0.15</v>
      </c>
      <c r="E550" s="22" t="s">
        <v>921</v>
      </c>
      <c r="F550" s="39" t="s">
        <v>836</v>
      </c>
      <c r="G550" s="22" t="s">
        <v>921</v>
      </c>
      <c r="H550" s="39" t="s">
        <v>837</v>
      </c>
      <c r="I550" s="22" t="s">
        <v>921</v>
      </c>
      <c r="J550" s="23" t="s">
        <v>931</v>
      </c>
      <c r="K550" s="24">
        <v>20918</v>
      </c>
    </row>
    <row r="551" spans="1:11" x14ac:dyDescent="0.75">
      <c r="A551" s="35" t="s">
        <v>835</v>
      </c>
      <c r="B551" s="32" t="s">
        <v>921</v>
      </c>
      <c r="C551" s="36" t="s">
        <v>922</v>
      </c>
      <c r="D551" s="44">
        <v>2</v>
      </c>
      <c r="E551" s="32" t="s">
        <v>921</v>
      </c>
      <c r="F551" s="59">
        <v>38730</v>
      </c>
      <c r="G551" s="32" t="s">
        <v>921</v>
      </c>
      <c r="H551" s="59">
        <v>38740</v>
      </c>
      <c r="I551" s="32" t="s">
        <v>921</v>
      </c>
      <c r="J551" s="36" t="s">
        <v>922</v>
      </c>
      <c r="K551" s="37">
        <v>277904</v>
      </c>
    </row>
    <row r="552" spans="1:11" x14ac:dyDescent="0.75">
      <c r="A552" s="34" t="s">
        <v>838</v>
      </c>
      <c r="B552" s="22" t="s">
        <v>921</v>
      </c>
      <c r="C552" s="23" t="s">
        <v>922</v>
      </c>
      <c r="D552" s="39">
        <v>0.15</v>
      </c>
      <c r="E552" s="22" t="s">
        <v>921</v>
      </c>
      <c r="F552" s="60">
        <v>38821</v>
      </c>
      <c r="G552" s="22" t="s">
        <v>921</v>
      </c>
      <c r="H552" s="60">
        <v>38831</v>
      </c>
      <c r="I552" s="22" t="s">
        <v>921</v>
      </c>
      <c r="J552" s="23" t="s">
        <v>922</v>
      </c>
      <c r="K552" s="24">
        <v>21004</v>
      </c>
    </row>
    <row r="553" spans="1:11" x14ac:dyDescent="0.75">
      <c r="A553" s="35" t="s">
        <v>839</v>
      </c>
      <c r="B553" s="32" t="s">
        <v>921</v>
      </c>
      <c r="C553" s="36" t="s">
        <v>922</v>
      </c>
      <c r="D553" s="44">
        <v>0.15</v>
      </c>
      <c r="E553" s="32" t="s">
        <v>921</v>
      </c>
      <c r="F553" s="59">
        <v>38912</v>
      </c>
      <c r="G553" s="32" t="s">
        <v>921</v>
      </c>
      <c r="H553" s="59">
        <v>38922</v>
      </c>
      <c r="I553" s="32" t="s">
        <v>921</v>
      </c>
      <c r="J553" s="36" t="s">
        <v>922</v>
      </c>
      <c r="K553" s="37">
        <v>21186</v>
      </c>
    </row>
    <row r="554" spans="1:11" x14ac:dyDescent="0.75">
      <c r="A554" s="28"/>
      <c r="B554" s="271"/>
      <c r="C554" s="271"/>
      <c r="D554" s="271"/>
      <c r="E554" s="271"/>
      <c r="F554" s="271"/>
      <c r="G554" s="271"/>
      <c r="H554" s="271"/>
      <c r="I554" s="271"/>
      <c r="J554" s="271"/>
      <c r="K554" s="271"/>
    </row>
    <row r="555" spans="1:11" x14ac:dyDescent="0.75">
      <c r="A555" s="61" t="s">
        <v>840</v>
      </c>
      <c r="B555" s="22" t="s">
        <v>921</v>
      </c>
      <c r="C555" s="28"/>
      <c r="D555" s="28"/>
      <c r="E555" s="22" t="s">
        <v>921</v>
      </c>
      <c r="F555" s="28"/>
      <c r="G555" s="22" t="s">
        <v>921</v>
      </c>
      <c r="H555" s="28"/>
      <c r="I555" s="22" t="s">
        <v>921</v>
      </c>
      <c r="J555" s="28"/>
      <c r="K555" s="28"/>
    </row>
    <row r="556" spans="1:11" x14ac:dyDescent="0.75">
      <c r="A556" s="35" t="s">
        <v>841</v>
      </c>
      <c r="B556" s="32" t="s">
        <v>921</v>
      </c>
      <c r="C556" s="36" t="s">
        <v>931</v>
      </c>
      <c r="D556" s="44">
        <v>0.1</v>
      </c>
      <c r="E556" s="32" t="s">
        <v>921</v>
      </c>
      <c r="F556" s="59">
        <v>38359</v>
      </c>
      <c r="G556" s="32" t="s">
        <v>921</v>
      </c>
      <c r="H556" s="59">
        <v>38369</v>
      </c>
      <c r="I556" s="32" t="s">
        <v>921</v>
      </c>
      <c r="J556" s="36" t="s">
        <v>931</v>
      </c>
      <c r="K556" s="37">
        <v>12088</v>
      </c>
    </row>
    <row r="557" spans="1:11" x14ac:dyDescent="0.75">
      <c r="A557" s="34" t="s">
        <v>842</v>
      </c>
      <c r="B557" s="22" t="s">
        <v>921</v>
      </c>
      <c r="C557" s="23" t="s">
        <v>922</v>
      </c>
      <c r="D557" s="39">
        <v>0.13</v>
      </c>
      <c r="E557" s="22" t="s">
        <v>921</v>
      </c>
      <c r="F557" s="60">
        <v>38457</v>
      </c>
      <c r="G557" s="22" t="s">
        <v>921</v>
      </c>
      <c r="H557" s="60">
        <v>38467</v>
      </c>
      <c r="I557" s="22" t="s">
        <v>921</v>
      </c>
      <c r="J557" s="23" t="s">
        <v>922</v>
      </c>
      <c r="K557" s="24">
        <v>16345</v>
      </c>
    </row>
    <row r="558" spans="1:11" x14ac:dyDescent="0.75">
      <c r="A558" s="35" t="s">
        <v>843</v>
      </c>
      <c r="B558" s="32" t="s">
        <v>921</v>
      </c>
      <c r="C558" s="36" t="s">
        <v>922</v>
      </c>
      <c r="D558" s="44">
        <v>0.13</v>
      </c>
      <c r="E558" s="32" t="s">
        <v>921</v>
      </c>
      <c r="F558" s="59">
        <v>38548</v>
      </c>
      <c r="G558" s="32" t="s">
        <v>921</v>
      </c>
      <c r="H558" s="59">
        <v>38558</v>
      </c>
      <c r="I558" s="32" t="s">
        <v>921</v>
      </c>
      <c r="J558" s="36" t="s">
        <v>922</v>
      </c>
      <c r="K558" s="37">
        <v>16834</v>
      </c>
    </row>
    <row r="559" spans="1:11" ht="27" x14ac:dyDescent="0.75">
      <c r="A559" s="34" t="s">
        <v>844</v>
      </c>
      <c r="B559" s="22" t="s">
        <v>921</v>
      </c>
      <c r="C559" s="23" t="s">
        <v>922</v>
      </c>
      <c r="D559" s="39">
        <v>0.13</v>
      </c>
      <c r="E559" s="22" t="s">
        <v>921</v>
      </c>
      <c r="F559" s="39" t="s">
        <v>845</v>
      </c>
      <c r="G559" s="22" t="s">
        <v>921</v>
      </c>
      <c r="H559" s="39" t="s">
        <v>846</v>
      </c>
      <c r="I559" s="22" t="s">
        <v>921</v>
      </c>
      <c r="J559" s="23" t="s">
        <v>922</v>
      </c>
      <c r="K559" s="24">
        <v>17063</v>
      </c>
    </row>
    <row r="560" spans="1:11" x14ac:dyDescent="0.75">
      <c r="A560" s="25" t="s">
        <v>847</v>
      </c>
    </row>
    <row r="561" spans="1:10" x14ac:dyDescent="0.75">
      <c r="A561" s="25" t="s">
        <v>848</v>
      </c>
    </row>
    <row r="562" spans="1:10" x14ac:dyDescent="0.75">
      <c r="A562" s="45" t="s">
        <v>849</v>
      </c>
    </row>
    <row r="563" spans="1:10" x14ac:dyDescent="0.75">
      <c r="A563" s="25" t="s">
        <v>337</v>
      </c>
    </row>
    <row r="564" spans="1:10" x14ac:dyDescent="0.75">
      <c r="A564" s="25" t="s">
        <v>338</v>
      </c>
    </row>
    <row r="565" spans="1:10" x14ac:dyDescent="0.75">
      <c r="A565" s="26" t="s">
        <v>339</v>
      </c>
    </row>
    <row r="566" spans="1:10" x14ac:dyDescent="0.75">
      <c r="A566" s="25" t="s">
        <v>340</v>
      </c>
    </row>
    <row r="567" spans="1:10" x14ac:dyDescent="0.75">
      <c r="A567" s="46" t="s">
        <v>922</v>
      </c>
    </row>
    <row r="568" spans="1:10" x14ac:dyDescent="0.75">
      <c r="A568" s="47">
        <v>51</v>
      </c>
    </row>
    <row r="572" spans="1:10" x14ac:dyDescent="0.75">
      <c r="A572" s="48" t="s">
        <v>971</v>
      </c>
    </row>
    <row r="574" spans="1:10" x14ac:dyDescent="0.75">
      <c r="A574" s="25" t="s">
        <v>341</v>
      </c>
    </row>
    <row r="575" spans="1:10" x14ac:dyDescent="0.75">
      <c r="A575" s="27"/>
    </row>
    <row r="576" spans="1:10" x14ac:dyDescent="0.75">
      <c r="A576" s="28"/>
      <c r="B576" s="28"/>
      <c r="C576" s="28"/>
      <c r="D576" s="28"/>
      <c r="E576" s="28"/>
      <c r="F576" s="28"/>
      <c r="G576" s="28"/>
      <c r="H576" s="28"/>
      <c r="I576" s="28"/>
      <c r="J576" s="28"/>
    </row>
    <row r="577" spans="1:10" ht="15.5" thickBot="1" x14ac:dyDescent="0.9">
      <c r="A577" s="22" t="s">
        <v>922</v>
      </c>
      <c r="B577" s="22" t="s">
        <v>921</v>
      </c>
      <c r="C577" s="268">
        <v>2006</v>
      </c>
      <c r="D577" s="268"/>
      <c r="E577" s="22" t="s">
        <v>921</v>
      </c>
      <c r="F577" s="268">
        <v>2005</v>
      </c>
      <c r="G577" s="268"/>
      <c r="H577" s="22" t="s">
        <v>921</v>
      </c>
      <c r="I577" s="268">
        <v>2004</v>
      </c>
      <c r="J577" s="268"/>
    </row>
    <row r="578" spans="1:10" x14ac:dyDescent="0.75">
      <c r="A578" s="35" t="s">
        <v>342</v>
      </c>
      <c r="B578" s="32" t="s">
        <v>921</v>
      </c>
      <c r="C578" s="36" t="s">
        <v>931</v>
      </c>
      <c r="D578" s="37">
        <v>203828</v>
      </c>
      <c r="E578" s="32" t="s">
        <v>921</v>
      </c>
      <c r="F578" s="36" t="s">
        <v>931</v>
      </c>
      <c r="G578" s="37">
        <v>136351</v>
      </c>
      <c r="H578" s="32" t="s">
        <v>921</v>
      </c>
      <c r="I578" s="36" t="s">
        <v>931</v>
      </c>
      <c r="J578" s="37">
        <v>129512</v>
      </c>
    </row>
    <row r="579" spans="1:10" ht="15.5" thickBot="1" x14ac:dyDescent="0.9">
      <c r="A579" s="34" t="s">
        <v>343</v>
      </c>
      <c r="B579" s="22" t="s">
        <v>921</v>
      </c>
      <c r="C579" s="23" t="s">
        <v>922</v>
      </c>
      <c r="D579" s="39">
        <v>283</v>
      </c>
      <c r="E579" s="22" t="s">
        <v>921</v>
      </c>
      <c r="F579" s="23" t="s">
        <v>922</v>
      </c>
      <c r="G579" s="24">
        <v>2539</v>
      </c>
      <c r="H579" s="22" t="s">
        <v>921</v>
      </c>
      <c r="I579" s="23" t="s">
        <v>922</v>
      </c>
      <c r="J579" s="24">
        <v>4697</v>
      </c>
    </row>
    <row r="580" spans="1:10" x14ac:dyDescent="0.75">
      <c r="A580" s="40"/>
      <c r="B580" s="40" t="s">
        <v>939</v>
      </c>
      <c r="C580" s="41"/>
      <c r="D580" s="41"/>
      <c r="E580" s="40" t="s">
        <v>939</v>
      </c>
      <c r="F580" s="41"/>
      <c r="G580" s="41"/>
      <c r="H580" s="40" t="s">
        <v>939</v>
      </c>
      <c r="I580" s="41"/>
      <c r="J580" s="41"/>
    </row>
    <row r="581" spans="1:10" ht="15.5" thickBot="1" x14ac:dyDescent="0.9">
      <c r="A581" s="35" t="s">
        <v>344</v>
      </c>
      <c r="B581" s="32" t="s">
        <v>921</v>
      </c>
      <c r="C581" s="36" t="s">
        <v>931</v>
      </c>
      <c r="D581" s="37">
        <v>204111</v>
      </c>
      <c r="E581" s="32" t="s">
        <v>921</v>
      </c>
      <c r="F581" s="36" t="s">
        <v>931</v>
      </c>
      <c r="G581" s="37">
        <v>138890</v>
      </c>
      <c r="H581" s="32" t="s">
        <v>921</v>
      </c>
      <c r="I581" s="36" t="s">
        <v>931</v>
      </c>
      <c r="J581" s="37">
        <v>134209</v>
      </c>
    </row>
    <row r="582" spans="1:10" ht="15.5" thickTop="1" x14ac:dyDescent="0.75">
      <c r="A582" s="40"/>
      <c r="B582" s="40" t="s">
        <v>939</v>
      </c>
      <c r="C582" s="42"/>
      <c r="D582" s="42"/>
      <c r="E582" s="40" t="s">
        <v>939</v>
      </c>
      <c r="F582" s="42"/>
      <c r="G582" s="42"/>
      <c r="H582" s="40" t="s">
        <v>939</v>
      </c>
      <c r="I582" s="42"/>
      <c r="J582" s="42"/>
    </row>
    <row r="583" spans="1:10" ht="15.5" thickBot="1" x14ac:dyDescent="0.9">
      <c r="A583" s="34" t="s">
        <v>345</v>
      </c>
      <c r="B583" s="22" t="s">
        <v>921</v>
      </c>
      <c r="C583" s="23" t="s">
        <v>922</v>
      </c>
      <c r="D583" s="24">
        <v>139328</v>
      </c>
      <c r="E583" s="22" t="s">
        <v>921</v>
      </c>
      <c r="F583" s="23" t="s">
        <v>922</v>
      </c>
      <c r="G583" s="24">
        <v>130090</v>
      </c>
      <c r="H583" s="22" t="s">
        <v>921</v>
      </c>
      <c r="I583" s="23" t="s">
        <v>922</v>
      </c>
      <c r="J583" s="24">
        <v>122648</v>
      </c>
    </row>
    <row r="584" spans="1:10" ht="15.5" thickTop="1" x14ac:dyDescent="0.75">
      <c r="A584" s="40"/>
      <c r="B584" s="40" t="s">
        <v>939</v>
      </c>
      <c r="C584" s="42"/>
      <c r="D584" s="42"/>
      <c r="E584" s="40" t="s">
        <v>939</v>
      </c>
      <c r="F584" s="42"/>
      <c r="G584" s="42"/>
      <c r="H584" s="40" t="s">
        <v>939</v>
      </c>
      <c r="I584" s="42"/>
      <c r="J584" s="42"/>
    </row>
    <row r="585" spans="1:10" x14ac:dyDescent="0.75">
      <c r="A585" s="35" t="s">
        <v>346</v>
      </c>
      <c r="B585" s="32" t="s">
        <v>921</v>
      </c>
      <c r="C585" s="33"/>
      <c r="D585" s="33"/>
      <c r="E585" s="32" t="s">
        <v>921</v>
      </c>
      <c r="F585" s="33"/>
      <c r="G585" s="33"/>
      <c r="H585" s="32" t="s">
        <v>921</v>
      </c>
      <c r="I585" s="33"/>
      <c r="J585" s="33"/>
    </row>
    <row r="586" spans="1:10" x14ac:dyDescent="0.75">
      <c r="A586" s="21" t="s">
        <v>347</v>
      </c>
      <c r="B586" s="22" t="s">
        <v>921</v>
      </c>
      <c r="C586" s="23" t="s">
        <v>922</v>
      </c>
      <c r="D586" s="39">
        <v>363</v>
      </c>
      <c r="E586" s="22" t="s">
        <v>921</v>
      </c>
      <c r="F586" s="23" t="s">
        <v>922</v>
      </c>
      <c r="G586" s="24">
        <v>3414</v>
      </c>
      <c r="H586" s="22" t="s">
        <v>921</v>
      </c>
      <c r="I586" s="23" t="s">
        <v>922</v>
      </c>
      <c r="J586" s="24">
        <v>6562</v>
      </c>
    </row>
    <row r="587" spans="1:10" ht="15.5" thickBot="1" x14ac:dyDescent="0.9">
      <c r="A587" s="49" t="s">
        <v>348</v>
      </c>
      <c r="B587" s="32" t="s">
        <v>921</v>
      </c>
      <c r="C587" s="36" t="s">
        <v>922</v>
      </c>
      <c r="D587" s="37">
        <v>5391</v>
      </c>
      <c r="E587" s="32" t="s">
        <v>921</v>
      </c>
      <c r="F587" s="36" t="s">
        <v>922</v>
      </c>
      <c r="G587" s="37">
        <v>6446</v>
      </c>
      <c r="H587" s="32" t="s">
        <v>921</v>
      </c>
      <c r="I587" s="36" t="s">
        <v>922</v>
      </c>
      <c r="J587" s="37">
        <v>6244</v>
      </c>
    </row>
    <row r="588" spans="1:10" x14ac:dyDescent="0.75">
      <c r="A588" s="40"/>
      <c r="B588" s="40" t="s">
        <v>939</v>
      </c>
      <c r="C588" s="41"/>
      <c r="D588" s="41"/>
      <c r="E588" s="40" t="s">
        <v>939</v>
      </c>
      <c r="F588" s="41"/>
      <c r="G588" s="41"/>
      <c r="H588" s="40" t="s">
        <v>939</v>
      </c>
      <c r="I588" s="41"/>
      <c r="J588" s="41"/>
    </row>
    <row r="589" spans="1:10" ht="27.25" thickBot="1" x14ac:dyDescent="0.9">
      <c r="A589" s="34" t="s">
        <v>349</v>
      </c>
      <c r="B589" s="22" t="s">
        <v>921</v>
      </c>
      <c r="C589" s="23" t="s">
        <v>922</v>
      </c>
      <c r="D589" s="24">
        <v>145082</v>
      </c>
      <c r="E589" s="22" t="s">
        <v>921</v>
      </c>
      <c r="F589" s="23" t="s">
        <v>922</v>
      </c>
      <c r="G589" s="24">
        <v>139950</v>
      </c>
      <c r="H589" s="22" t="s">
        <v>921</v>
      </c>
      <c r="I589" s="23" t="s">
        <v>922</v>
      </c>
      <c r="J589" s="24">
        <v>135454</v>
      </c>
    </row>
    <row r="590" spans="1:10" ht="15.5" thickTop="1" x14ac:dyDescent="0.75">
      <c r="A590" s="40"/>
      <c r="B590" s="40" t="s">
        <v>939</v>
      </c>
      <c r="C590" s="42"/>
      <c r="D590" s="42"/>
      <c r="E590" s="40" t="s">
        <v>939</v>
      </c>
      <c r="F590" s="42"/>
      <c r="G590" s="42"/>
      <c r="H590" s="40" t="s">
        <v>939</v>
      </c>
      <c r="I590" s="42"/>
      <c r="J590" s="42"/>
    </row>
    <row r="591" spans="1:10" ht="15.5" thickBot="1" x14ac:dyDescent="0.9">
      <c r="A591" s="35" t="s">
        <v>991</v>
      </c>
      <c r="B591" s="32" t="s">
        <v>921</v>
      </c>
      <c r="C591" s="36" t="s">
        <v>931</v>
      </c>
      <c r="D591" s="44">
        <v>1.46</v>
      </c>
      <c r="E591" s="32" t="s">
        <v>921</v>
      </c>
      <c r="F591" s="36" t="s">
        <v>931</v>
      </c>
      <c r="G591" s="44">
        <v>1.05</v>
      </c>
      <c r="H591" s="32" t="s">
        <v>921</v>
      </c>
      <c r="I591" s="36" t="s">
        <v>931</v>
      </c>
      <c r="J591" s="44">
        <v>1.06</v>
      </c>
    </row>
    <row r="592" spans="1:10" ht="15.5" thickTop="1" x14ac:dyDescent="0.75">
      <c r="A592" s="40"/>
      <c r="B592" s="40" t="s">
        <v>939</v>
      </c>
      <c r="C592" s="42"/>
      <c r="D592" s="42"/>
      <c r="E592" s="40" t="s">
        <v>939</v>
      </c>
      <c r="F592" s="42"/>
      <c r="G592" s="42"/>
      <c r="H592" s="40" t="s">
        <v>939</v>
      </c>
      <c r="I592" s="42"/>
      <c r="J592" s="42"/>
    </row>
    <row r="593" spans="1:10" ht="15.5" thickBot="1" x14ac:dyDescent="0.9">
      <c r="A593" s="34" t="s">
        <v>993</v>
      </c>
      <c r="B593" s="22" t="s">
        <v>921</v>
      </c>
      <c r="C593" s="23" t="s">
        <v>931</v>
      </c>
      <c r="D593" s="39">
        <v>1.41</v>
      </c>
      <c r="E593" s="22" t="s">
        <v>921</v>
      </c>
      <c r="F593" s="23" t="s">
        <v>931</v>
      </c>
      <c r="G593" s="39">
        <v>0.99</v>
      </c>
      <c r="H593" s="22" t="s">
        <v>921</v>
      </c>
      <c r="I593" s="23" t="s">
        <v>931</v>
      </c>
      <c r="J593" s="39">
        <v>0.99</v>
      </c>
    </row>
    <row r="594" spans="1:10" ht="15.5" thickTop="1" x14ac:dyDescent="0.75">
      <c r="A594" s="40"/>
      <c r="B594" s="40" t="s">
        <v>939</v>
      </c>
      <c r="C594" s="42"/>
      <c r="D594" s="42"/>
      <c r="E594" s="40" t="s">
        <v>939</v>
      </c>
      <c r="F594" s="42"/>
      <c r="G594" s="42"/>
      <c r="H594" s="40" t="s">
        <v>939</v>
      </c>
      <c r="I594" s="42"/>
      <c r="J594" s="42"/>
    </row>
    <row r="595" spans="1:10" x14ac:dyDescent="0.75">
      <c r="A595" s="25" t="s">
        <v>350</v>
      </c>
    </row>
    <row r="596" spans="1:10" x14ac:dyDescent="0.75">
      <c r="A596" s="26" t="s">
        <v>351</v>
      </c>
    </row>
    <row r="597" spans="1:10" x14ac:dyDescent="0.75">
      <c r="A597" s="25" t="s">
        <v>352</v>
      </c>
    </row>
    <row r="598" spans="1:10" x14ac:dyDescent="0.75">
      <c r="A598" s="45" t="s">
        <v>353</v>
      </c>
    </row>
    <row r="599" spans="1:10" x14ac:dyDescent="0.75">
      <c r="A599" s="25" t="s">
        <v>354</v>
      </c>
    </row>
    <row r="600" spans="1:10" x14ac:dyDescent="0.75">
      <c r="A600" s="46" t="s">
        <v>922</v>
      </c>
    </row>
    <row r="601" spans="1:10" x14ac:dyDescent="0.75">
      <c r="A601" s="47">
        <v>52</v>
      </c>
    </row>
    <row r="605" spans="1:10" x14ac:dyDescent="0.75">
      <c r="A605" s="48" t="s">
        <v>971</v>
      </c>
    </row>
    <row r="607" spans="1:10" x14ac:dyDescent="0.75">
      <c r="A607" s="25" t="s">
        <v>355</v>
      </c>
    </row>
    <row r="608" spans="1:10" x14ac:dyDescent="0.75">
      <c r="A608" s="27"/>
    </row>
    <row r="609" spans="1:12" x14ac:dyDescent="0.75">
      <c r="A609" s="28"/>
      <c r="B609" s="28"/>
      <c r="C609" s="28"/>
      <c r="D609" s="28"/>
      <c r="E609" s="28"/>
      <c r="F609" s="28"/>
      <c r="G609" s="28"/>
      <c r="H609" s="28"/>
      <c r="I609" s="28"/>
      <c r="J609" s="28"/>
      <c r="K609" s="28"/>
      <c r="L609" s="28"/>
    </row>
    <row r="610" spans="1:12" x14ac:dyDescent="0.75">
      <c r="A610" s="269" t="s">
        <v>922</v>
      </c>
      <c r="B610" s="269" t="s">
        <v>921</v>
      </c>
      <c r="C610" s="29" t="s">
        <v>356</v>
      </c>
      <c r="D610" s="269" t="s">
        <v>922</v>
      </c>
      <c r="E610" s="269" t="s">
        <v>922</v>
      </c>
      <c r="F610" s="270" t="s">
        <v>358</v>
      </c>
      <c r="G610" s="270"/>
      <c r="H610" s="269" t="s">
        <v>921</v>
      </c>
      <c r="I610" s="29" t="s">
        <v>358</v>
      </c>
      <c r="J610" s="269" t="s">
        <v>921</v>
      </c>
      <c r="K610" s="270" t="s">
        <v>363</v>
      </c>
      <c r="L610" s="270"/>
    </row>
    <row r="611" spans="1:12" x14ac:dyDescent="0.75">
      <c r="A611" s="269"/>
      <c r="B611" s="269"/>
      <c r="C611" s="29" t="s">
        <v>357</v>
      </c>
      <c r="D611" s="269"/>
      <c r="E611" s="269"/>
      <c r="F611" s="270" t="s">
        <v>359</v>
      </c>
      <c r="G611" s="270"/>
      <c r="H611" s="269"/>
      <c r="I611" s="29" t="s">
        <v>359</v>
      </c>
      <c r="J611" s="269"/>
      <c r="K611" s="270" t="s">
        <v>364</v>
      </c>
      <c r="L611" s="270"/>
    </row>
    <row r="612" spans="1:12" x14ac:dyDescent="0.75">
      <c r="A612" s="269"/>
      <c r="B612" s="269"/>
      <c r="C612" s="29" t="s">
        <v>998</v>
      </c>
      <c r="D612" s="269"/>
      <c r="E612" s="269"/>
      <c r="F612" s="270" t="s">
        <v>360</v>
      </c>
      <c r="G612" s="270"/>
      <c r="H612" s="269"/>
      <c r="I612" s="29" t="s">
        <v>361</v>
      </c>
      <c r="J612" s="269"/>
      <c r="K612" s="270" t="s">
        <v>1145</v>
      </c>
      <c r="L612" s="270"/>
    </row>
    <row r="613" spans="1:12" ht="22" thickBot="1" x14ac:dyDescent="0.9">
      <c r="A613" s="269"/>
      <c r="B613" s="269"/>
      <c r="C613" s="62"/>
      <c r="D613" s="269"/>
      <c r="E613" s="269"/>
      <c r="F613" s="268"/>
      <c r="G613" s="268"/>
      <c r="H613" s="269"/>
      <c r="I613" s="30" t="s">
        <v>362</v>
      </c>
      <c r="J613" s="269"/>
      <c r="K613" s="268"/>
      <c r="L613" s="268"/>
    </row>
    <row r="614" spans="1:12" x14ac:dyDescent="0.75">
      <c r="A614" s="35" t="s">
        <v>365</v>
      </c>
      <c r="B614" s="32" t="s">
        <v>921</v>
      </c>
      <c r="C614" s="37">
        <v>15728</v>
      </c>
      <c r="D614" s="38" t="s">
        <v>922</v>
      </c>
      <c r="E614" s="32" t="s">
        <v>922</v>
      </c>
      <c r="F614" s="36" t="s">
        <v>931</v>
      </c>
      <c r="G614" s="44">
        <v>17.53</v>
      </c>
      <c r="H614" s="32" t="s">
        <v>921</v>
      </c>
      <c r="I614" s="33"/>
      <c r="J614" s="32" t="s">
        <v>921</v>
      </c>
      <c r="K614" s="33"/>
      <c r="L614" s="33"/>
    </row>
    <row r="615" spans="1:12" x14ac:dyDescent="0.75">
      <c r="A615" s="34" t="s">
        <v>366</v>
      </c>
      <c r="B615" s="22" t="s">
        <v>921</v>
      </c>
      <c r="C615" s="24">
        <v>5240</v>
      </c>
      <c r="D615" s="25" t="s">
        <v>922</v>
      </c>
      <c r="E615" s="22" t="s">
        <v>922</v>
      </c>
      <c r="F615" s="23" t="s">
        <v>922</v>
      </c>
      <c r="G615" s="39">
        <v>39.54</v>
      </c>
      <c r="H615" s="22" t="s">
        <v>921</v>
      </c>
      <c r="I615" s="28"/>
      <c r="J615" s="22" t="s">
        <v>921</v>
      </c>
      <c r="K615" s="28"/>
      <c r="L615" s="28"/>
    </row>
    <row r="616" spans="1:12" x14ac:dyDescent="0.75">
      <c r="A616" s="35" t="s">
        <v>367</v>
      </c>
      <c r="B616" s="32" t="s">
        <v>921</v>
      </c>
      <c r="C616" s="44" t="s">
        <v>368</v>
      </c>
      <c r="D616" s="38" t="s">
        <v>964</v>
      </c>
      <c r="E616" s="32" t="s">
        <v>922</v>
      </c>
      <c r="F616" s="36" t="s">
        <v>922</v>
      </c>
      <c r="G616" s="44">
        <v>14.13</v>
      </c>
      <c r="H616" s="32" t="s">
        <v>921</v>
      </c>
      <c r="I616" s="33"/>
      <c r="J616" s="32" t="s">
        <v>921</v>
      </c>
      <c r="K616" s="33"/>
      <c r="L616" s="33"/>
    </row>
    <row r="617" spans="1:12" ht="15.5" thickBot="1" x14ac:dyDescent="0.9">
      <c r="A617" s="34" t="s">
        <v>369</v>
      </c>
      <c r="B617" s="22" t="s">
        <v>921</v>
      </c>
      <c r="C617" s="39" t="s">
        <v>370</v>
      </c>
      <c r="D617" s="25" t="s">
        <v>964</v>
      </c>
      <c r="E617" s="22" t="s">
        <v>922</v>
      </c>
      <c r="F617" s="23" t="s">
        <v>922</v>
      </c>
      <c r="G617" s="39">
        <v>23.9</v>
      </c>
      <c r="H617" s="22" t="s">
        <v>921</v>
      </c>
      <c r="I617" s="28"/>
      <c r="J617" s="22" t="s">
        <v>921</v>
      </c>
      <c r="K617" s="28"/>
      <c r="L617" s="28"/>
    </row>
    <row r="618" spans="1:12" x14ac:dyDescent="0.75">
      <c r="A618" s="40"/>
      <c r="B618" s="40" t="s">
        <v>939</v>
      </c>
      <c r="C618" s="41"/>
      <c r="D618" s="40"/>
      <c r="E618" s="40"/>
      <c r="F618" s="41"/>
      <c r="G618" s="41"/>
      <c r="H618" s="40" t="s">
        <v>939</v>
      </c>
      <c r="I618" s="40"/>
      <c r="J618" s="40" t="s">
        <v>939</v>
      </c>
      <c r="K618" s="40"/>
      <c r="L618" s="40"/>
    </row>
    <row r="619" spans="1:12" x14ac:dyDescent="0.75">
      <c r="A619" s="35" t="s">
        <v>371</v>
      </c>
      <c r="B619" s="32" t="s">
        <v>921</v>
      </c>
      <c r="C619" s="37">
        <v>16140</v>
      </c>
      <c r="D619" s="38" t="s">
        <v>922</v>
      </c>
      <c r="E619" s="32" t="s">
        <v>922</v>
      </c>
      <c r="F619" s="36" t="s">
        <v>931</v>
      </c>
      <c r="G619" s="44">
        <v>25.69</v>
      </c>
      <c r="H619" s="32" t="s">
        <v>921</v>
      </c>
      <c r="I619" s="33"/>
      <c r="J619" s="32" t="s">
        <v>921</v>
      </c>
      <c r="K619" s="33"/>
      <c r="L619" s="33"/>
    </row>
    <row r="620" spans="1:12" x14ac:dyDescent="0.75">
      <c r="A620" s="34" t="s">
        <v>366</v>
      </c>
      <c r="B620" s="22" t="s">
        <v>921</v>
      </c>
      <c r="C620" s="24">
        <v>12112</v>
      </c>
      <c r="D620" s="25" t="s">
        <v>922</v>
      </c>
      <c r="E620" s="22" t="s">
        <v>922</v>
      </c>
      <c r="F620" s="23" t="s">
        <v>922</v>
      </c>
      <c r="G620" s="39">
        <v>59.82</v>
      </c>
      <c r="H620" s="22" t="s">
        <v>921</v>
      </c>
      <c r="I620" s="28"/>
      <c r="J620" s="22" t="s">
        <v>921</v>
      </c>
      <c r="K620" s="28"/>
      <c r="L620" s="28"/>
    </row>
    <row r="621" spans="1:12" x14ac:dyDescent="0.75">
      <c r="A621" s="35" t="s">
        <v>367</v>
      </c>
      <c r="B621" s="32" t="s">
        <v>921</v>
      </c>
      <c r="C621" s="44" t="s">
        <v>372</v>
      </c>
      <c r="D621" s="38" t="s">
        <v>964</v>
      </c>
      <c r="E621" s="32" t="s">
        <v>922</v>
      </c>
      <c r="F621" s="36" t="s">
        <v>922</v>
      </c>
      <c r="G621" s="44">
        <v>21.64</v>
      </c>
      <c r="H621" s="32" t="s">
        <v>921</v>
      </c>
      <c r="I621" s="33"/>
      <c r="J621" s="32" t="s">
        <v>921</v>
      </c>
      <c r="K621" s="33"/>
      <c r="L621" s="33"/>
    </row>
    <row r="622" spans="1:12" ht="15.5" thickBot="1" x14ac:dyDescent="0.9">
      <c r="A622" s="34" t="s">
        <v>369</v>
      </c>
      <c r="B622" s="22" t="s">
        <v>921</v>
      </c>
      <c r="C622" s="39" t="s">
        <v>373</v>
      </c>
      <c r="D622" s="25" t="s">
        <v>964</v>
      </c>
      <c r="E622" s="22" t="s">
        <v>922</v>
      </c>
      <c r="F622" s="23" t="s">
        <v>922</v>
      </c>
      <c r="G622" s="39">
        <v>37.33</v>
      </c>
      <c r="H622" s="22" t="s">
        <v>921</v>
      </c>
      <c r="I622" s="28"/>
      <c r="J622" s="22" t="s">
        <v>921</v>
      </c>
      <c r="K622" s="28"/>
      <c r="L622" s="28"/>
    </row>
    <row r="623" spans="1:12" x14ac:dyDescent="0.75">
      <c r="A623" s="40"/>
      <c r="B623" s="40" t="s">
        <v>939</v>
      </c>
      <c r="C623" s="41"/>
      <c r="D623" s="40"/>
      <c r="E623" s="40"/>
      <c r="F623" s="41"/>
      <c r="G623" s="41"/>
      <c r="H623" s="40" t="s">
        <v>939</v>
      </c>
      <c r="I623" s="40"/>
      <c r="J623" s="40" t="s">
        <v>939</v>
      </c>
      <c r="K623" s="40"/>
      <c r="L623" s="40"/>
    </row>
    <row r="624" spans="1:12" x14ac:dyDescent="0.75">
      <c r="A624" s="35" t="s">
        <v>374</v>
      </c>
      <c r="B624" s="32" t="s">
        <v>921</v>
      </c>
      <c r="C624" s="37">
        <v>22545</v>
      </c>
      <c r="D624" s="38" t="s">
        <v>922</v>
      </c>
      <c r="E624" s="32" t="s">
        <v>922</v>
      </c>
      <c r="F624" s="36" t="s">
        <v>931</v>
      </c>
      <c r="G624" s="44">
        <v>44.58</v>
      </c>
      <c r="H624" s="32" t="s">
        <v>921</v>
      </c>
      <c r="I624" s="33"/>
      <c r="J624" s="32" t="s">
        <v>921</v>
      </c>
      <c r="K624" s="33"/>
      <c r="L624" s="33"/>
    </row>
    <row r="625" spans="1:16" x14ac:dyDescent="0.75">
      <c r="A625" s="34" t="s">
        <v>366</v>
      </c>
      <c r="B625" s="22" t="s">
        <v>921</v>
      </c>
      <c r="C625" s="24">
        <v>1444</v>
      </c>
      <c r="D625" s="25" t="s">
        <v>922</v>
      </c>
      <c r="E625" s="22" t="s">
        <v>922</v>
      </c>
      <c r="F625" s="23" t="s">
        <v>922</v>
      </c>
      <c r="G625" s="39">
        <v>69</v>
      </c>
      <c r="H625" s="22" t="s">
        <v>921</v>
      </c>
      <c r="I625" s="28"/>
      <c r="J625" s="22" t="s">
        <v>921</v>
      </c>
      <c r="K625" s="28"/>
      <c r="L625" s="28"/>
    </row>
    <row r="626" spans="1:16" x14ac:dyDescent="0.75">
      <c r="A626" s="35" t="s">
        <v>367</v>
      </c>
      <c r="B626" s="32" t="s">
        <v>921</v>
      </c>
      <c r="C626" s="44" t="s">
        <v>375</v>
      </c>
      <c r="D626" s="38" t="s">
        <v>964</v>
      </c>
      <c r="E626" s="32" t="s">
        <v>922</v>
      </c>
      <c r="F626" s="36" t="s">
        <v>922</v>
      </c>
      <c r="G626" s="44">
        <v>36</v>
      </c>
      <c r="H626" s="32" t="s">
        <v>921</v>
      </c>
      <c r="I626" s="33"/>
      <c r="J626" s="32" t="s">
        <v>921</v>
      </c>
      <c r="K626" s="33"/>
      <c r="L626" s="33"/>
    </row>
    <row r="627" spans="1:16" x14ac:dyDescent="0.75">
      <c r="A627" s="34" t="s">
        <v>369</v>
      </c>
      <c r="B627" s="22" t="s">
        <v>921</v>
      </c>
      <c r="C627" s="39" t="s">
        <v>376</v>
      </c>
      <c r="D627" s="25" t="s">
        <v>964</v>
      </c>
      <c r="E627" s="22" t="s">
        <v>922</v>
      </c>
      <c r="F627" s="23" t="s">
        <v>922</v>
      </c>
      <c r="G627" s="39">
        <v>56.57</v>
      </c>
      <c r="H627" s="22" t="s">
        <v>921</v>
      </c>
      <c r="I627" s="28"/>
      <c r="J627" s="22" t="s">
        <v>921</v>
      </c>
      <c r="K627" s="28"/>
      <c r="L627" s="28"/>
    </row>
    <row r="628" spans="1:16" ht="15.5" thickBot="1" x14ac:dyDescent="0.9">
      <c r="A628" s="35" t="s">
        <v>377</v>
      </c>
      <c r="B628" s="32" t="s">
        <v>921</v>
      </c>
      <c r="C628" s="44" t="s">
        <v>378</v>
      </c>
      <c r="D628" s="38" t="s">
        <v>964</v>
      </c>
      <c r="E628" s="32" t="s">
        <v>922</v>
      </c>
      <c r="F628" s="36" t="s">
        <v>922</v>
      </c>
      <c r="G628" s="44">
        <v>64.52</v>
      </c>
      <c r="H628" s="32" t="s">
        <v>921</v>
      </c>
      <c r="I628" s="33"/>
      <c r="J628" s="32" t="s">
        <v>921</v>
      </c>
      <c r="K628" s="33"/>
      <c r="L628" s="33"/>
    </row>
    <row r="629" spans="1:16" x14ac:dyDescent="0.75">
      <c r="A629" s="40"/>
      <c r="B629" s="40" t="s">
        <v>939</v>
      </c>
      <c r="C629" s="41"/>
      <c r="D629" s="40"/>
      <c r="E629" s="40"/>
      <c r="F629" s="41"/>
      <c r="G629" s="41"/>
      <c r="H629" s="40" t="s">
        <v>939</v>
      </c>
      <c r="I629" s="41"/>
      <c r="J629" s="40" t="s">
        <v>939</v>
      </c>
      <c r="K629" s="41"/>
      <c r="L629" s="41"/>
    </row>
    <row r="630" spans="1:16" ht="15.5" thickBot="1" x14ac:dyDescent="0.9">
      <c r="A630" s="34" t="s">
        <v>379</v>
      </c>
      <c r="B630" s="22" t="s">
        <v>921</v>
      </c>
      <c r="C630" s="24">
        <v>18275</v>
      </c>
      <c r="D630" s="25" t="s">
        <v>922</v>
      </c>
      <c r="E630" s="22" t="s">
        <v>922</v>
      </c>
      <c r="F630" s="23" t="s">
        <v>931</v>
      </c>
      <c r="G630" s="39">
        <v>48.82</v>
      </c>
      <c r="H630" s="22" t="s">
        <v>921</v>
      </c>
      <c r="I630" s="39">
        <v>4.74</v>
      </c>
      <c r="J630" s="22" t="s">
        <v>921</v>
      </c>
      <c r="K630" s="23" t="s">
        <v>931</v>
      </c>
      <c r="L630" s="24">
        <v>243726</v>
      </c>
    </row>
    <row r="631" spans="1:16" x14ac:dyDescent="0.75">
      <c r="A631" s="40"/>
      <c r="B631" s="40" t="s">
        <v>939</v>
      </c>
      <c r="C631" s="41"/>
      <c r="D631" s="40"/>
      <c r="E631" s="40"/>
      <c r="F631" s="41"/>
      <c r="G631" s="41"/>
      <c r="H631" s="40" t="s">
        <v>939</v>
      </c>
      <c r="I631" s="41"/>
      <c r="J631" s="40" t="s">
        <v>939</v>
      </c>
      <c r="K631" s="41"/>
      <c r="L631" s="41"/>
    </row>
    <row r="632" spans="1:16" ht="15.5" thickBot="1" x14ac:dyDescent="0.9">
      <c r="A632" s="35" t="s">
        <v>380</v>
      </c>
      <c r="B632" s="32" t="s">
        <v>921</v>
      </c>
      <c r="C632" s="37">
        <v>18031</v>
      </c>
      <c r="D632" s="38" t="s">
        <v>922</v>
      </c>
      <c r="E632" s="32" t="s">
        <v>922</v>
      </c>
      <c r="F632" s="36" t="s">
        <v>931</v>
      </c>
      <c r="G632" s="44">
        <v>48.55</v>
      </c>
      <c r="H632" s="32" t="s">
        <v>921</v>
      </c>
      <c r="I632" s="44">
        <v>4.75</v>
      </c>
      <c r="J632" s="32" t="s">
        <v>921</v>
      </c>
      <c r="K632" s="36" t="s">
        <v>931</v>
      </c>
      <c r="L632" s="37">
        <v>243691</v>
      </c>
    </row>
    <row r="633" spans="1:16" x14ac:dyDescent="0.75">
      <c r="A633" s="40"/>
      <c r="B633" s="40" t="s">
        <v>939</v>
      </c>
      <c r="C633" s="41"/>
      <c r="D633" s="40"/>
      <c r="E633" s="40"/>
      <c r="F633" s="41"/>
      <c r="G633" s="41"/>
      <c r="H633" s="40" t="s">
        <v>939</v>
      </c>
      <c r="I633" s="41"/>
      <c r="J633" s="40" t="s">
        <v>939</v>
      </c>
      <c r="K633" s="41"/>
      <c r="L633" s="41"/>
    </row>
    <row r="634" spans="1:16" ht="15.5" thickBot="1" x14ac:dyDescent="0.9">
      <c r="A634" s="34" t="s">
        <v>381</v>
      </c>
      <c r="B634" s="22" t="s">
        <v>921</v>
      </c>
      <c r="C634" s="24">
        <v>16551</v>
      </c>
      <c r="D634" s="25" t="s">
        <v>922</v>
      </c>
      <c r="E634" s="22" t="s">
        <v>922</v>
      </c>
      <c r="F634" s="23" t="s">
        <v>931</v>
      </c>
      <c r="G634" s="39">
        <v>47.11</v>
      </c>
      <c r="H634" s="22" t="s">
        <v>921</v>
      </c>
      <c r="I634" s="39">
        <v>4.75</v>
      </c>
      <c r="J634" s="22" t="s">
        <v>921</v>
      </c>
      <c r="K634" s="23" t="s">
        <v>931</v>
      </c>
      <c r="L634" s="24">
        <v>239831</v>
      </c>
    </row>
    <row r="635" spans="1:16" ht="15.5" thickTop="1" x14ac:dyDescent="0.75">
      <c r="A635" s="40"/>
      <c r="B635" s="40" t="s">
        <v>939</v>
      </c>
      <c r="C635" s="42"/>
      <c r="D635" s="40"/>
      <c r="E635" s="40"/>
      <c r="F635" s="42"/>
      <c r="G635" s="42"/>
      <c r="H635" s="40" t="s">
        <v>939</v>
      </c>
      <c r="I635" s="42"/>
      <c r="J635" s="40" t="s">
        <v>939</v>
      </c>
      <c r="K635" s="42"/>
      <c r="L635" s="42"/>
    </row>
    <row r="636" spans="1:16" x14ac:dyDescent="0.75">
      <c r="A636" s="25" t="s">
        <v>382</v>
      </c>
    </row>
    <row r="637" spans="1:16" x14ac:dyDescent="0.75">
      <c r="A637" s="25" t="s">
        <v>383</v>
      </c>
    </row>
    <row r="638" spans="1:16" x14ac:dyDescent="0.75">
      <c r="A638" s="27"/>
    </row>
    <row r="639" spans="1:16" x14ac:dyDescent="0.75">
      <c r="A639" s="28"/>
      <c r="B639" s="28"/>
      <c r="C639" s="28"/>
      <c r="D639" s="28"/>
      <c r="E639" s="28"/>
      <c r="F639" s="28"/>
      <c r="G639" s="28"/>
      <c r="H639" s="28"/>
      <c r="I639" s="28"/>
      <c r="J639" s="28"/>
      <c r="K639" s="28"/>
      <c r="L639" s="28"/>
      <c r="M639" s="28"/>
      <c r="N639" s="28"/>
      <c r="O639" s="28"/>
      <c r="P639" s="28"/>
    </row>
    <row r="640" spans="1:16" ht="15.5" thickBot="1" x14ac:dyDescent="0.9">
      <c r="A640" s="269" t="s">
        <v>922</v>
      </c>
      <c r="B640" s="269"/>
      <c r="C640" s="269"/>
      <c r="D640" s="269"/>
      <c r="E640" s="22" t="s">
        <v>922</v>
      </c>
      <c r="F640" s="22" t="s">
        <v>922</v>
      </c>
      <c r="G640" s="22" t="s">
        <v>922</v>
      </c>
      <c r="H640" s="268" t="s">
        <v>384</v>
      </c>
      <c r="I640" s="268"/>
      <c r="J640" s="268"/>
      <c r="K640" s="268"/>
      <c r="L640" s="22" t="s">
        <v>922</v>
      </c>
      <c r="M640" s="268" t="s">
        <v>385</v>
      </c>
      <c r="N640" s="268"/>
      <c r="O640" s="268"/>
      <c r="P640" s="268"/>
    </row>
    <row r="641" spans="1:16" x14ac:dyDescent="0.75">
      <c r="A641" s="270" t="s">
        <v>386</v>
      </c>
      <c r="B641" s="270"/>
      <c r="C641" s="270"/>
      <c r="D641" s="270"/>
      <c r="E641" s="269" t="s">
        <v>922</v>
      </c>
      <c r="F641" s="270" t="s">
        <v>356</v>
      </c>
      <c r="G641" s="269" t="s">
        <v>922</v>
      </c>
      <c r="H641" s="29" t="s">
        <v>388</v>
      </c>
      <c r="I641" s="273" t="s">
        <v>922</v>
      </c>
      <c r="J641" s="274" t="s">
        <v>358</v>
      </c>
      <c r="K641" s="274"/>
      <c r="L641" s="269" t="s">
        <v>922</v>
      </c>
      <c r="M641" s="274" t="s">
        <v>356</v>
      </c>
      <c r="N641" s="273" t="s">
        <v>922</v>
      </c>
      <c r="O641" s="274" t="s">
        <v>358</v>
      </c>
      <c r="P641" s="274"/>
    </row>
    <row r="642" spans="1:16" ht="15.5" thickBot="1" x14ac:dyDescent="0.9">
      <c r="A642" s="268" t="s">
        <v>387</v>
      </c>
      <c r="B642" s="268"/>
      <c r="C642" s="268"/>
      <c r="D642" s="268"/>
      <c r="E642" s="269"/>
      <c r="F642" s="270"/>
      <c r="G642" s="269"/>
      <c r="H642" s="29" t="s">
        <v>389</v>
      </c>
      <c r="I642" s="269"/>
      <c r="J642" s="270" t="s">
        <v>390</v>
      </c>
      <c r="K642" s="270"/>
      <c r="L642" s="269"/>
      <c r="M642" s="270"/>
      <c r="N642" s="269"/>
      <c r="O642" s="270" t="s">
        <v>390</v>
      </c>
      <c r="P642" s="270"/>
    </row>
    <row r="643" spans="1:16" ht="15.5" thickBot="1" x14ac:dyDescent="0.9">
      <c r="A643" s="30" t="s">
        <v>391</v>
      </c>
      <c r="B643" s="22" t="s">
        <v>922</v>
      </c>
      <c r="C643" s="272" t="s">
        <v>392</v>
      </c>
      <c r="D643" s="272"/>
      <c r="E643" s="22" t="s">
        <v>922</v>
      </c>
      <c r="F643" s="30" t="s">
        <v>998</v>
      </c>
      <c r="G643" s="22" t="s">
        <v>922</v>
      </c>
      <c r="H643" s="30" t="s">
        <v>393</v>
      </c>
      <c r="I643" s="22" t="s">
        <v>922</v>
      </c>
      <c r="J643" s="268" t="s">
        <v>360</v>
      </c>
      <c r="K643" s="268"/>
      <c r="L643" s="22" t="s">
        <v>922</v>
      </c>
      <c r="M643" s="30" t="s">
        <v>394</v>
      </c>
      <c r="N643" s="22" t="s">
        <v>922</v>
      </c>
      <c r="O643" s="268" t="s">
        <v>360</v>
      </c>
      <c r="P643" s="268"/>
    </row>
    <row r="644" spans="1:16" x14ac:dyDescent="0.75">
      <c r="A644" s="63">
        <v>10.47</v>
      </c>
      <c r="B644" s="32" t="s">
        <v>922</v>
      </c>
      <c r="C644" s="36" t="s">
        <v>931</v>
      </c>
      <c r="D644" s="44">
        <v>20.48</v>
      </c>
      <c r="E644" s="32" t="s">
        <v>922</v>
      </c>
      <c r="F644" s="37">
        <v>1554</v>
      </c>
      <c r="G644" s="32" t="s">
        <v>922</v>
      </c>
      <c r="H644" s="44">
        <v>1.19</v>
      </c>
      <c r="I644" s="32" t="s">
        <v>922</v>
      </c>
      <c r="J644" s="36" t="s">
        <v>931</v>
      </c>
      <c r="K644" s="44">
        <v>11.38</v>
      </c>
      <c r="L644" s="32" t="s">
        <v>922</v>
      </c>
      <c r="M644" s="37">
        <v>1554</v>
      </c>
      <c r="N644" s="32" t="s">
        <v>922</v>
      </c>
      <c r="O644" s="36" t="s">
        <v>931</v>
      </c>
      <c r="P644" s="44">
        <v>11.38</v>
      </c>
    </row>
    <row r="645" spans="1:16" x14ac:dyDescent="0.75">
      <c r="A645" s="64" t="s">
        <v>395</v>
      </c>
      <c r="B645" s="22" t="s">
        <v>922</v>
      </c>
      <c r="C645" s="23" t="s">
        <v>922</v>
      </c>
      <c r="D645" s="39">
        <v>38.31</v>
      </c>
      <c r="E645" s="22" t="s">
        <v>922</v>
      </c>
      <c r="F645" s="24">
        <v>2721</v>
      </c>
      <c r="G645" s="22" t="s">
        <v>922</v>
      </c>
      <c r="H645" s="39">
        <v>3.17</v>
      </c>
      <c r="I645" s="22" t="s">
        <v>922</v>
      </c>
      <c r="J645" s="23" t="s">
        <v>922</v>
      </c>
      <c r="K645" s="39">
        <v>26.16</v>
      </c>
      <c r="L645" s="22" t="s">
        <v>922</v>
      </c>
      <c r="M645" s="24">
        <v>2683</v>
      </c>
      <c r="N645" s="22" t="s">
        <v>922</v>
      </c>
      <c r="O645" s="23" t="s">
        <v>922</v>
      </c>
      <c r="P645" s="39">
        <v>26.13</v>
      </c>
    </row>
    <row r="646" spans="1:16" x14ac:dyDescent="0.75">
      <c r="A646" s="65" t="s">
        <v>396</v>
      </c>
      <c r="B646" s="32" t="s">
        <v>922</v>
      </c>
      <c r="C646" s="36" t="s">
        <v>922</v>
      </c>
      <c r="D646" s="44">
        <v>39.61</v>
      </c>
      <c r="E646" s="32" t="s">
        <v>922</v>
      </c>
      <c r="F646" s="37">
        <v>2632</v>
      </c>
      <c r="G646" s="32" t="s">
        <v>922</v>
      </c>
      <c r="H646" s="44">
        <v>4.6100000000000003</v>
      </c>
      <c r="I646" s="32" t="s">
        <v>922</v>
      </c>
      <c r="J646" s="36" t="s">
        <v>922</v>
      </c>
      <c r="K646" s="44">
        <v>39.61</v>
      </c>
      <c r="L646" s="32" t="s">
        <v>922</v>
      </c>
      <c r="M646" s="37">
        <v>2596</v>
      </c>
      <c r="N646" s="32" t="s">
        <v>922</v>
      </c>
      <c r="O646" s="36" t="s">
        <v>922</v>
      </c>
      <c r="P646" s="44">
        <v>39.61</v>
      </c>
    </row>
    <row r="647" spans="1:16" x14ac:dyDescent="0.75">
      <c r="A647" s="64" t="s">
        <v>397</v>
      </c>
      <c r="B647" s="22" t="s">
        <v>922</v>
      </c>
      <c r="C647" s="23" t="s">
        <v>922</v>
      </c>
      <c r="D647" s="39">
        <v>54.17</v>
      </c>
      <c r="E647" s="22" t="s">
        <v>922</v>
      </c>
      <c r="F647" s="24">
        <v>4753</v>
      </c>
      <c r="G647" s="22" t="s">
        <v>922</v>
      </c>
      <c r="H647" s="39">
        <v>5.57</v>
      </c>
      <c r="I647" s="22" t="s">
        <v>922</v>
      </c>
      <c r="J647" s="23" t="s">
        <v>922</v>
      </c>
      <c r="K647" s="39">
        <v>53.56</v>
      </c>
      <c r="L647" s="22" t="s">
        <v>922</v>
      </c>
      <c r="M647" s="24">
        <v>4588</v>
      </c>
      <c r="N647" s="22" t="s">
        <v>922</v>
      </c>
      <c r="O647" s="23" t="s">
        <v>922</v>
      </c>
      <c r="P647" s="39">
        <v>53.77</v>
      </c>
    </row>
    <row r="648" spans="1:16" x14ac:dyDescent="0.75">
      <c r="A648" s="65" t="s">
        <v>398</v>
      </c>
      <c r="B648" s="32" t="s">
        <v>922</v>
      </c>
      <c r="C648" s="36" t="s">
        <v>922</v>
      </c>
      <c r="D648" s="44">
        <v>66.81</v>
      </c>
      <c r="E648" s="32" t="s">
        <v>922</v>
      </c>
      <c r="F648" s="37">
        <v>5206</v>
      </c>
      <c r="G648" s="32" t="s">
        <v>922</v>
      </c>
      <c r="H648" s="44">
        <v>5.97</v>
      </c>
      <c r="I648" s="32" t="s">
        <v>922</v>
      </c>
      <c r="J648" s="36" t="s">
        <v>922</v>
      </c>
      <c r="K648" s="44">
        <v>66.69</v>
      </c>
      <c r="L648" s="32" t="s">
        <v>922</v>
      </c>
      <c r="M648" s="37">
        <v>5130</v>
      </c>
      <c r="N648" s="32" t="s">
        <v>922</v>
      </c>
      <c r="O648" s="36" t="s">
        <v>922</v>
      </c>
      <c r="P648" s="44">
        <v>66.739999999999995</v>
      </c>
    </row>
    <row r="649" spans="1:16" ht="15.5" thickBot="1" x14ac:dyDescent="0.9">
      <c r="A649" s="64" t="s">
        <v>399</v>
      </c>
      <c r="B649" s="22" t="s">
        <v>922</v>
      </c>
      <c r="C649" s="23" t="s">
        <v>922</v>
      </c>
      <c r="D649" s="39">
        <v>73.14</v>
      </c>
      <c r="E649" s="22" t="s">
        <v>922</v>
      </c>
      <c r="F649" s="24">
        <v>1409</v>
      </c>
      <c r="G649" s="22" t="s">
        <v>922</v>
      </c>
      <c r="H649" s="39">
        <v>4.62</v>
      </c>
      <c r="I649" s="22" t="s">
        <v>922</v>
      </c>
      <c r="J649" s="23" t="s">
        <v>922</v>
      </c>
      <c r="K649" s="39">
        <v>69</v>
      </c>
      <c r="L649" s="22" t="s">
        <v>922</v>
      </c>
      <c r="M649" s="39" t="s">
        <v>933</v>
      </c>
      <c r="N649" s="22" t="s">
        <v>922</v>
      </c>
      <c r="O649" s="23" t="s">
        <v>922</v>
      </c>
      <c r="P649" s="39" t="s">
        <v>400</v>
      </c>
    </row>
    <row r="650" spans="1:16" x14ac:dyDescent="0.75">
      <c r="A650" s="40"/>
      <c r="B650" s="40"/>
      <c r="C650" s="40"/>
      <c r="D650" s="40"/>
      <c r="E650" s="40"/>
      <c r="F650" s="41"/>
      <c r="G650" s="40"/>
      <c r="H650" s="41"/>
      <c r="I650" s="40"/>
      <c r="J650" s="41"/>
      <c r="K650" s="41"/>
      <c r="L650" s="40"/>
      <c r="M650" s="41"/>
      <c r="N650" s="40"/>
      <c r="O650" s="41"/>
      <c r="P650" s="41"/>
    </row>
    <row r="651" spans="1:16" ht="15.5" thickBot="1" x14ac:dyDescent="0.9">
      <c r="A651" s="65" t="s">
        <v>401</v>
      </c>
      <c r="B651" s="32" t="s">
        <v>922</v>
      </c>
      <c r="C651" s="33"/>
      <c r="D651" s="33"/>
      <c r="E651" s="32" t="s">
        <v>922</v>
      </c>
      <c r="F651" s="37">
        <v>18275</v>
      </c>
      <c r="G651" s="32" t="s">
        <v>922</v>
      </c>
      <c r="H651" s="44">
        <v>4.74</v>
      </c>
      <c r="I651" s="32" t="s">
        <v>922</v>
      </c>
      <c r="J651" s="36" t="s">
        <v>931</v>
      </c>
      <c r="K651" s="44">
        <v>48.82</v>
      </c>
      <c r="L651" s="32" t="s">
        <v>922</v>
      </c>
      <c r="M651" s="37">
        <v>16551</v>
      </c>
      <c r="N651" s="32" t="s">
        <v>922</v>
      </c>
      <c r="O651" s="36" t="s">
        <v>931</v>
      </c>
      <c r="P651" s="44">
        <v>47.11</v>
      </c>
    </row>
    <row r="652" spans="1:16" ht="15.5" thickTop="1" x14ac:dyDescent="0.75">
      <c r="A652" s="40"/>
      <c r="B652" s="40"/>
      <c r="C652" s="40"/>
      <c r="D652" s="40"/>
      <c r="E652" s="40"/>
      <c r="F652" s="42"/>
      <c r="G652" s="40"/>
      <c r="H652" s="42"/>
      <c r="I652" s="40"/>
      <c r="J652" s="42"/>
      <c r="K652" s="42"/>
      <c r="L652" s="40"/>
      <c r="M652" s="42"/>
      <c r="N652" s="40"/>
      <c r="O652" s="42"/>
      <c r="P652" s="42"/>
    </row>
    <row r="653" spans="1:16" x14ac:dyDescent="0.75">
      <c r="A653" s="25" t="s">
        <v>402</v>
      </c>
    </row>
    <row r="654" spans="1:16" x14ac:dyDescent="0.75">
      <c r="A654" s="25" t="s">
        <v>403</v>
      </c>
    </row>
    <row r="655" spans="1:16" x14ac:dyDescent="0.75">
      <c r="A655" s="46" t="s">
        <v>922</v>
      </c>
    </row>
    <row r="656" spans="1:16" x14ac:dyDescent="0.75">
      <c r="A656" s="47">
        <v>53</v>
      </c>
    </row>
    <row r="660" spans="1:10" x14ac:dyDescent="0.75">
      <c r="A660" s="48" t="s">
        <v>971</v>
      </c>
    </row>
    <row r="662" spans="1:10" x14ac:dyDescent="0.75">
      <c r="A662" s="25" t="s">
        <v>404</v>
      </c>
    </row>
    <row r="663" spans="1:10" x14ac:dyDescent="0.75">
      <c r="A663" s="25" t="s">
        <v>405</v>
      </c>
    </row>
    <row r="664" spans="1:10" x14ac:dyDescent="0.75">
      <c r="A664" s="27"/>
    </row>
    <row r="665" spans="1:10" x14ac:dyDescent="0.75">
      <c r="A665" s="28"/>
      <c r="B665" s="28"/>
      <c r="C665" s="28"/>
      <c r="D665" s="28"/>
      <c r="E665" s="28"/>
      <c r="F665" s="28"/>
      <c r="G665" s="28"/>
      <c r="H665" s="28"/>
      <c r="I665" s="28"/>
      <c r="J665" s="28"/>
    </row>
    <row r="666" spans="1:10" ht="15.5" thickBot="1" x14ac:dyDescent="0.9">
      <c r="A666" s="22" t="s">
        <v>922</v>
      </c>
      <c r="B666" s="22" t="s">
        <v>921</v>
      </c>
      <c r="C666" s="30">
        <v>2006</v>
      </c>
      <c r="D666" s="22" t="s">
        <v>922</v>
      </c>
      <c r="E666" s="22" t="s">
        <v>922</v>
      </c>
      <c r="F666" s="30">
        <v>2005</v>
      </c>
      <c r="G666" s="22" t="s">
        <v>922</v>
      </c>
      <c r="H666" s="22" t="s">
        <v>922</v>
      </c>
      <c r="I666" s="30">
        <v>2004</v>
      </c>
      <c r="J666" s="22" t="s">
        <v>922</v>
      </c>
    </row>
    <row r="667" spans="1:10" x14ac:dyDescent="0.75">
      <c r="A667" s="35" t="s">
        <v>406</v>
      </c>
      <c r="B667" s="32" t="s">
        <v>921</v>
      </c>
      <c r="C667" s="44">
        <v>1.26</v>
      </c>
      <c r="D667" s="38" t="s">
        <v>407</v>
      </c>
      <c r="E667" s="32" t="s">
        <v>922</v>
      </c>
      <c r="F667" s="44">
        <v>0.84</v>
      </c>
      <c r="G667" s="38" t="s">
        <v>407</v>
      </c>
      <c r="H667" s="32" t="s">
        <v>922</v>
      </c>
      <c r="I667" s="44">
        <v>0.76</v>
      </c>
      <c r="J667" s="38" t="s">
        <v>407</v>
      </c>
    </row>
    <row r="668" spans="1:10" x14ac:dyDescent="0.75">
      <c r="A668" s="34" t="s">
        <v>408</v>
      </c>
      <c r="B668" s="22" t="s">
        <v>921</v>
      </c>
      <c r="C668" s="39">
        <v>5.04</v>
      </c>
      <c r="D668" s="25" t="s">
        <v>407</v>
      </c>
      <c r="E668" s="22" t="s">
        <v>922</v>
      </c>
      <c r="F668" s="39">
        <v>4.1399999999999997</v>
      </c>
      <c r="G668" s="25" t="s">
        <v>407</v>
      </c>
      <c r="H668" s="22" t="s">
        <v>922</v>
      </c>
      <c r="I668" s="39">
        <v>4.72</v>
      </c>
      <c r="J668" s="25" t="s">
        <v>407</v>
      </c>
    </row>
    <row r="669" spans="1:10" x14ac:dyDescent="0.75">
      <c r="A669" s="35" t="s">
        <v>409</v>
      </c>
      <c r="B669" s="32" t="s">
        <v>921</v>
      </c>
      <c r="C669" s="44">
        <v>29.4</v>
      </c>
      <c r="D669" s="38" t="s">
        <v>407</v>
      </c>
      <c r="E669" s="32" t="s">
        <v>922</v>
      </c>
      <c r="F669" s="44">
        <v>48.3</v>
      </c>
      <c r="G669" s="38" t="s">
        <v>407</v>
      </c>
      <c r="H669" s="32" t="s">
        <v>922</v>
      </c>
      <c r="I669" s="44">
        <v>49.48</v>
      </c>
      <c r="J669" s="38" t="s">
        <v>407</v>
      </c>
    </row>
    <row r="670" spans="1:10" x14ac:dyDescent="0.75">
      <c r="A670" s="34" t="s">
        <v>410</v>
      </c>
      <c r="B670" s="22" t="s">
        <v>921</v>
      </c>
      <c r="C670" s="39">
        <v>3.22</v>
      </c>
      <c r="D670" s="25" t="s">
        <v>922</v>
      </c>
      <c r="E670" s="22" t="s">
        <v>922</v>
      </c>
      <c r="F670" s="39">
        <v>2.1</v>
      </c>
      <c r="G670" s="25" t="s">
        <v>922</v>
      </c>
      <c r="H670" s="22" t="s">
        <v>922</v>
      </c>
      <c r="I670" s="39">
        <v>3.3</v>
      </c>
      <c r="J670" s="25" t="s">
        <v>922</v>
      </c>
    </row>
    <row r="671" spans="1:10" x14ac:dyDescent="0.75">
      <c r="A671" s="25" t="s">
        <v>411</v>
      </c>
    </row>
    <row r="672" spans="1:10" x14ac:dyDescent="0.75">
      <c r="A672" s="25" t="s">
        <v>1161</v>
      </c>
    </row>
    <row r="673" spans="1:9" x14ac:dyDescent="0.75">
      <c r="A673" s="25" t="s">
        <v>412</v>
      </c>
    </row>
    <row r="674" spans="1:9" x14ac:dyDescent="0.75">
      <c r="A674" s="27"/>
    </row>
    <row r="675" spans="1:9" x14ac:dyDescent="0.75">
      <c r="A675" s="28"/>
      <c r="B675" s="28"/>
      <c r="C675" s="28"/>
      <c r="D675" s="28"/>
      <c r="E675" s="28"/>
      <c r="F675" s="28"/>
      <c r="G675" s="28"/>
      <c r="H675" s="28"/>
      <c r="I675" s="28"/>
    </row>
    <row r="676" spans="1:9" ht="15.5" thickBot="1" x14ac:dyDescent="0.9">
      <c r="A676" s="22" t="s">
        <v>922</v>
      </c>
      <c r="B676" s="22" t="s">
        <v>921</v>
      </c>
      <c r="C676" s="268">
        <v>2005</v>
      </c>
      <c r="D676" s="268"/>
      <c r="E676" s="22" t="s">
        <v>922</v>
      </c>
      <c r="F676" s="22" t="s">
        <v>922</v>
      </c>
      <c r="G676" s="268">
        <v>2004</v>
      </c>
      <c r="H676" s="268"/>
      <c r="I676" s="22" t="s">
        <v>922</v>
      </c>
    </row>
    <row r="677" spans="1:9" x14ac:dyDescent="0.75">
      <c r="A677" s="35" t="s">
        <v>413</v>
      </c>
      <c r="B677" s="32" t="s">
        <v>921</v>
      </c>
      <c r="C677" s="36" t="s">
        <v>931</v>
      </c>
      <c r="D677" s="37">
        <v>136351</v>
      </c>
      <c r="E677" s="38" t="s">
        <v>922</v>
      </c>
      <c r="F677" s="32" t="s">
        <v>922</v>
      </c>
      <c r="G677" s="36" t="s">
        <v>931</v>
      </c>
      <c r="H677" s="37">
        <v>129512</v>
      </c>
      <c r="I677" s="38" t="s">
        <v>922</v>
      </c>
    </row>
    <row r="678" spans="1:9" x14ac:dyDescent="0.75">
      <c r="A678" s="34" t="s">
        <v>414</v>
      </c>
      <c r="B678" s="22" t="s">
        <v>921</v>
      </c>
      <c r="C678" s="23" t="s">
        <v>922</v>
      </c>
      <c r="D678" s="24">
        <v>15309</v>
      </c>
      <c r="E678" s="25" t="s">
        <v>922</v>
      </c>
      <c r="F678" s="22" t="s">
        <v>922</v>
      </c>
      <c r="G678" s="23" t="s">
        <v>922</v>
      </c>
      <c r="H678" s="39" t="s">
        <v>933</v>
      </c>
      <c r="I678" s="25" t="s">
        <v>922</v>
      </c>
    </row>
    <row r="679" spans="1:9" ht="15.5" thickBot="1" x14ac:dyDescent="0.9">
      <c r="A679" s="35" t="s">
        <v>415</v>
      </c>
      <c r="B679" s="32" t="s">
        <v>921</v>
      </c>
      <c r="C679" s="36" t="s">
        <v>922</v>
      </c>
      <c r="D679" s="44" t="s">
        <v>416</v>
      </c>
      <c r="E679" s="38" t="s">
        <v>964</v>
      </c>
      <c r="F679" s="32" t="s">
        <v>922</v>
      </c>
      <c r="G679" s="36" t="s">
        <v>922</v>
      </c>
      <c r="H679" s="44" t="s">
        <v>417</v>
      </c>
      <c r="I679" s="38" t="s">
        <v>964</v>
      </c>
    </row>
    <row r="680" spans="1:9" x14ac:dyDescent="0.75">
      <c r="A680" s="40"/>
      <c r="B680" s="40" t="s">
        <v>939</v>
      </c>
      <c r="C680" s="41"/>
      <c r="D680" s="41"/>
      <c r="E680" s="40"/>
      <c r="F680" s="40"/>
      <c r="G680" s="41"/>
      <c r="H680" s="41"/>
      <c r="I680" s="40"/>
    </row>
    <row r="681" spans="1:9" ht="15.5" thickBot="1" x14ac:dyDescent="0.9">
      <c r="A681" s="34" t="s">
        <v>418</v>
      </c>
      <c r="B681" s="22" t="s">
        <v>921</v>
      </c>
      <c r="C681" s="23" t="s">
        <v>931</v>
      </c>
      <c r="D681" s="39" t="s">
        <v>419</v>
      </c>
      <c r="E681" s="25" t="s">
        <v>964</v>
      </c>
      <c r="F681" s="22" t="s">
        <v>922</v>
      </c>
      <c r="G681" s="23" t="s">
        <v>931</v>
      </c>
      <c r="H681" s="24">
        <v>105624</v>
      </c>
      <c r="I681" s="25" t="s">
        <v>922</v>
      </c>
    </row>
    <row r="682" spans="1:9" ht="15.5" thickTop="1" x14ac:dyDescent="0.75">
      <c r="A682" s="40"/>
      <c r="B682" s="40" t="s">
        <v>939</v>
      </c>
      <c r="C682" s="42"/>
      <c r="D682" s="42"/>
      <c r="E682" s="40"/>
      <c r="F682" s="40"/>
      <c r="G682" s="42"/>
      <c r="H682" s="42"/>
      <c r="I682" s="40"/>
    </row>
    <row r="683" spans="1:9" x14ac:dyDescent="0.75">
      <c r="A683" s="35" t="s">
        <v>420</v>
      </c>
      <c r="B683" s="32" t="s">
        <v>921</v>
      </c>
      <c r="C683" s="33"/>
      <c r="D683" s="33"/>
      <c r="E683" s="33"/>
      <c r="F683" s="32" t="s">
        <v>922</v>
      </c>
      <c r="G683" s="33"/>
      <c r="H683" s="33"/>
      <c r="I683" s="33"/>
    </row>
    <row r="684" spans="1:9" x14ac:dyDescent="0.75">
      <c r="A684" s="21" t="s">
        <v>421</v>
      </c>
      <c r="B684" s="22" t="s">
        <v>921</v>
      </c>
      <c r="C684" s="23" t="s">
        <v>931</v>
      </c>
      <c r="D684" s="39">
        <v>1.05</v>
      </c>
      <c r="E684" s="25" t="s">
        <v>922</v>
      </c>
      <c r="F684" s="22" t="s">
        <v>922</v>
      </c>
      <c r="G684" s="23" t="s">
        <v>931</v>
      </c>
      <c r="H684" s="39">
        <v>1.06</v>
      </c>
      <c r="I684" s="25" t="s">
        <v>922</v>
      </c>
    </row>
    <row r="685" spans="1:9" x14ac:dyDescent="0.75">
      <c r="A685" s="49" t="s">
        <v>422</v>
      </c>
      <c r="B685" s="32" t="s">
        <v>921</v>
      </c>
      <c r="C685" s="36" t="s">
        <v>922</v>
      </c>
      <c r="D685" s="44">
        <v>0.12</v>
      </c>
      <c r="E685" s="38" t="s">
        <v>922</v>
      </c>
      <c r="F685" s="32" t="s">
        <v>922</v>
      </c>
      <c r="G685" s="36" t="s">
        <v>922</v>
      </c>
      <c r="H685" s="44" t="s">
        <v>933</v>
      </c>
      <c r="I685" s="38" t="s">
        <v>922</v>
      </c>
    </row>
    <row r="686" spans="1:9" ht="15.5" thickBot="1" x14ac:dyDescent="0.9">
      <c r="A686" s="21" t="s">
        <v>423</v>
      </c>
      <c r="B686" s="22" t="s">
        <v>921</v>
      </c>
      <c r="C686" s="23" t="s">
        <v>922</v>
      </c>
      <c r="D686" s="39" t="s">
        <v>424</v>
      </c>
      <c r="E686" s="25" t="s">
        <v>964</v>
      </c>
      <c r="F686" s="22" t="s">
        <v>922</v>
      </c>
      <c r="G686" s="23" t="s">
        <v>922</v>
      </c>
      <c r="H686" s="39" t="s">
        <v>425</v>
      </c>
      <c r="I686" s="25" t="s">
        <v>964</v>
      </c>
    </row>
    <row r="687" spans="1:9" x14ac:dyDescent="0.75">
      <c r="A687" s="40"/>
      <c r="B687" s="40" t="s">
        <v>939</v>
      </c>
      <c r="C687" s="41"/>
      <c r="D687" s="41"/>
      <c r="E687" s="40"/>
      <c r="F687" s="40"/>
      <c r="G687" s="41"/>
      <c r="H687" s="41"/>
      <c r="I687" s="40"/>
    </row>
    <row r="688" spans="1:9" ht="15.5" thickBot="1" x14ac:dyDescent="0.9">
      <c r="A688" s="49" t="s">
        <v>426</v>
      </c>
      <c r="B688" s="32" t="s">
        <v>921</v>
      </c>
      <c r="C688" s="36" t="s">
        <v>931</v>
      </c>
      <c r="D688" s="44" t="s">
        <v>427</v>
      </c>
      <c r="E688" s="38" t="s">
        <v>964</v>
      </c>
      <c r="F688" s="32" t="s">
        <v>922</v>
      </c>
      <c r="G688" s="36" t="s">
        <v>931</v>
      </c>
      <c r="H688" s="44">
        <v>0.86</v>
      </c>
      <c r="I688" s="38" t="s">
        <v>922</v>
      </c>
    </row>
    <row r="689" spans="1:9" ht="15.5" thickTop="1" x14ac:dyDescent="0.75">
      <c r="A689" s="40"/>
      <c r="B689" s="40" t="s">
        <v>939</v>
      </c>
      <c r="C689" s="42"/>
      <c r="D689" s="42"/>
      <c r="E689" s="40"/>
      <c r="F689" s="40"/>
      <c r="G689" s="42"/>
      <c r="H689" s="42"/>
      <c r="I689" s="40"/>
    </row>
    <row r="690" spans="1:9" x14ac:dyDescent="0.75">
      <c r="A690" s="34" t="s">
        <v>428</v>
      </c>
      <c r="B690" s="22" t="s">
        <v>921</v>
      </c>
      <c r="C690" s="28"/>
      <c r="D690" s="28"/>
      <c r="E690" s="28"/>
      <c r="F690" s="22" t="s">
        <v>922</v>
      </c>
      <c r="G690" s="28"/>
      <c r="H690" s="28"/>
      <c r="I690" s="28"/>
    </row>
    <row r="691" spans="1:9" x14ac:dyDescent="0.75">
      <c r="A691" s="49" t="s">
        <v>421</v>
      </c>
      <c r="B691" s="32" t="s">
        <v>921</v>
      </c>
      <c r="C691" s="36" t="s">
        <v>931</v>
      </c>
      <c r="D691" s="44">
        <v>0.99</v>
      </c>
      <c r="E691" s="38" t="s">
        <v>922</v>
      </c>
      <c r="F691" s="32" t="s">
        <v>922</v>
      </c>
      <c r="G691" s="36" t="s">
        <v>931</v>
      </c>
      <c r="H691" s="44">
        <v>0.99</v>
      </c>
      <c r="I691" s="38" t="s">
        <v>922</v>
      </c>
    </row>
    <row r="692" spans="1:9" x14ac:dyDescent="0.75">
      <c r="A692" s="21" t="s">
        <v>422</v>
      </c>
      <c r="B692" s="22" t="s">
        <v>921</v>
      </c>
      <c r="C692" s="23" t="s">
        <v>922</v>
      </c>
      <c r="D692" s="39">
        <v>0.12</v>
      </c>
      <c r="E692" s="25" t="s">
        <v>922</v>
      </c>
      <c r="F692" s="22" t="s">
        <v>922</v>
      </c>
      <c r="G692" s="23" t="s">
        <v>922</v>
      </c>
      <c r="H692" s="39" t="s">
        <v>933</v>
      </c>
      <c r="I692" s="25" t="s">
        <v>922</v>
      </c>
    </row>
    <row r="693" spans="1:9" ht="15.5" thickBot="1" x14ac:dyDescent="0.9">
      <c r="A693" s="49" t="s">
        <v>423</v>
      </c>
      <c r="B693" s="32" t="s">
        <v>921</v>
      </c>
      <c r="C693" s="36" t="s">
        <v>922</v>
      </c>
      <c r="D693" s="44" t="s">
        <v>429</v>
      </c>
      <c r="E693" s="38" t="s">
        <v>964</v>
      </c>
      <c r="F693" s="32" t="s">
        <v>922</v>
      </c>
      <c r="G693" s="36" t="s">
        <v>922</v>
      </c>
      <c r="H693" s="44" t="s">
        <v>430</v>
      </c>
      <c r="I693" s="38" t="s">
        <v>964</v>
      </c>
    </row>
    <row r="694" spans="1:9" x14ac:dyDescent="0.75">
      <c r="A694" s="40"/>
      <c r="B694" s="40" t="s">
        <v>939</v>
      </c>
      <c r="C694" s="41"/>
      <c r="D694" s="41"/>
      <c r="E694" s="40"/>
      <c r="F694" s="40"/>
      <c r="G694" s="41"/>
      <c r="H694" s="41"/>
      <c r="I694" s="40"/>
    </row>
    <row r="695" spans="1:9" ht="15.5" thickBot="1" x14ac:dyDescent="0.9">
      <c r="A695" s="21" t="s">
        <v>431</v>
      </c>
      <c r="B695" s="22" t="s">
        <v>921</v>
      </c>
      <c r="C695" s="23" t="s">
        <v>931</v>
      </c>
      <c r="D695" s="39" t="s">
        <v>425</v>
      </c>
      <c r="E695" s="25" t="s">
        <v>964</v>
      </c>
      <c r="F695" s="22" t="s">
        <v>922</v>
      </c>
      <c r="G695" s="23" t="s">
        <v>931</v>
      </c>
      <c r="H695" s="39">
        <v>0.82</v>
      </c>
      <c r="I695" s="25" t="s">
        <v>922</v>
      </c>
    </row>
    <row r="696" spans="1:9" ht="15.5" thickTop="1" x14ac:dyDescent="0.75">
      <c r="A696" s="40"/>
      <c r="B696" s="40" t="s">
        <v>939</v>
      </c>
      <c r="C696" s="42"/>
      <c r="D696" s="42"/>
      <c r="E696" s="40"/>
      <c r="F696" s="40"/>
      <c r="G696" s="42"/>
      <c r="H696" s="42"/>
      <c r="I696" s="40"/>
    </row>
    <row r="697" spans="1:9" x14ac:dyDescent="0.75">
      <c r="A697" s="25" t="s">
        <v>432</v>
      </c>
    </row>
    <row r="698" spans="1:9" x14ac:dyDescent="0.75">
      <c r="A698" s="46" t="s">
        <v>922</v>
      </c>
    </row>
    <row r="699" spans="1:9" x14ac:dyDescent="0.75">
      <c r="A699" s="47">
        <v>54</v>
      </c>
    </row>
    <row r="703" spans="1:9" x14ac:dyDescent="0.75">
      <c r="A703" s="48" t="s">
        <v>971</v>
      </c>
    </row>
    <row r="705" spans="1:1" x14ac:dyDescent="0.75">
      <c r="A705" s="45" t="s">
        <v>433</v>
      </c>
    </row>
    <row r="706" spans="1:1" x14ac:dyDescent="0.75">
      <c r="A706" s="25" t="s">
        <v>434</v>
      </c>
    </row>
    <row r="707" spans="1:1" x14ac:dyDescent="0.75">
      <c r="A707" s="26" t="s">
        <v>435</v>
      </c>
    </row>
    <row r="708" spans="1:1" x14ac:dyDescent="0.75">
      <c r="A708" s="25" t="s">
        <v>436</v>
      </c>
    </row>
    <row r="709" spans="1:1" x14ac:dyDescent="0.75">
      <c r="A709" s="26" t="s">
        <v>437</v>
      </c>
    </row>
    <row r="710" spans="1:1" x14ac:dyDescent="0.75">
      <c r="A710" s="25" t="s">
        <v>438</v>
      </c>
    </row>
    <row r="711" spans="1:1" x14ac:dyDescent="0.75">
      <c r="A711" s="25" t="s">
        <v>439</v>
      </c>
    </row>
    <row r="712" spans="1:1" x14ac:dyDescent="0.75">
      <c r="A712" s="25" t="s">
        <v>440</v>
      </c>
    </row>
    <row r="713" spans="1:1" x14ac:dyDescent="0.75">
      <c r="A713" s="46" t="s">
        <v>922</v>
      </c>
    </row>
    <row r="714" spans="1:1" x14ac:dyDescent="0.75">
      <c r="A714" s="47">
        <v>55</v>
      </c>
    </row>
    <row r="718" spans="1:1" x14ac:dyDescent="0.75">
      <c r="A718" s="48" t="s">
        <v>971</v>
      </c>
    </row>
    <row r="720" spans="1:1" x14ac:dyDescent="0.75">
      <c r="A720" s="25" t="s">
        <v>441</v>
      </c>
    </row>
    <row r="721" spans="1:17" x14ac:dyDescent="0.75">
      <c r="A721" s="27"/>
    </row>
    <row r="722" spans="1:17" x14ac:dyDescent="0.75">
      <c r="A722" s="28"/>
      <c r="B722" s="28"/>
      <c r="C722" s="28"/>
      <c r="D722" s="28"/>
      <c r="E722" s="28"/>
      <c r="F722" s="28"/>
      <c r="G722" s="28"/>
      <c r="H722" s="28"/>
      <c r="I722" s="28"/>
      <c r="J722" s="28"/>
      <c r="K722" s="28"/>
      <c r="L722" s="28"/>
      <c r="M722" s="28"/>
      <c r="N722" s="28"/>
      <c r="O722" s="28"/>
      <c r="P722" s="28"/>
      <c r="Q722" s="28"/>
    </row>
    <row r="723" spans="1:17" x14ac:dyDescent="0.75">
      <c r="A723" s="269" t="s">
        <v>922</v>
      </c>
      <c r="B723" s="269" t="s">
        <v>921</v>
      </c>
      <c r="C723" s="270" t="s">
        <v>442</v>
      </c>
      <c r="D723" s="270"/>
      <c r="E723" s="269" t="s">
        <v>922</v>
      </c>
      <c r="F723" s="269" t="s">
        <v>922</v>
      </c>
      <c r="G723" s="270" t="s">
        <v>444</v>
      </c>
      <c r="H723" s="270"/>
      <c r="I723" s="269" t="s">
        <v>922</v>
      </c>
      <c r="J723" s="269" t="s">
        <v>922</v>
      </c>
      <c r="K723" s="270" t="s">
        <v>445</v>
      </c>
      <c r="L723" s="270"/>
      <c r="M723" s="269" t="s">
        <v>922</v>
      </c>
      <c r="N723" s="269" t="s">
        <v>922</v>
      </c>
      <c r="O723" s="270" t="s">
        <v>446</v>
      </c>
      <c r="P723" s="270"/>
      <c r="Q723" s="269" t="s">
        <v>922</v>
      </c>
    </row>
    <row r="724" spans="1:17" ht="15.5" thickBot="1" x14ac:dyDescent="0.9">
      <c r="A724" s="269"/>
      <c r="B724" s="269"/>
      <c r="C724" s="268" t="s">
        <v>443</v>
      </c>
      <c r="D724" s="268"/>
      <c r="E724" s="269"/>
      <c r="F724" s="269"/>
      <c r="G724" s="268" t="s">
        <v>443</v>
      </c>
      <c r="H724" s="268"/>
      <c r="I724" s="269"/>
      <c r="J724" s="269"/>
      <c r="K724" s="268" t="s">
        <v>443</v>
      </c>
      <c r="L724" s="268"/>
      <c r="M724" s="269"/>
      <c r="N724" s="269"/>
      <c r="O724" s="268" t="s">
        <v>443</v>
      </c>
      <c r="P724" s="268"/>
      <c r="Q724" s="269"/>
    </row>
    <row r="725" spans="1:17" x14ac:dyDescent="0.75">
      <c r="A725" s="43" t="s">
        <v>447</v>
      </c>
      <c r="B725" s="32" t="s">
        <v>921</v>
      </c>
      <c r="C725" s="33"/>
      <c r="D725" s="33"/>
      <c r="E725" s="33"/>
      <c r="F725" s="32" t="s">
        <v>922</v>
      </c>
      <c r="G725" s="33"/>
      <c r="H725" s="33"/>
      <c r="I725" s="33"/>
      <c r="J725" s="32" t="s">
        <v>922</v>
      </c>
      <c r="K725" s="33"/>
      <c r="L725" s="33"/>
      <c r="M725" s="33"/>
      <c r="N725" s="32" t="s">
        <v>922</v>
      </c>
      <c r="O725" s="33"/>
      <c r="P725" s="33"/>
      <c r="Q725" s="33"/>
    </row>
    <row r="726" spans="1:17" x14ac:dyDescent="0.75">
      <c r="A726" s="34" t="s">
        <v>975</v>
      </c>
      <c r="B726" s="22" t="s">
        <v>921</v>
      </c>
      <c r="C726" s="23" t="s">
        <v>931</v>
      </c>
      <c r="D726" s="24">
        <v>1666953</v>
      </c>
      <c r="E726" s="25" t="s">
        <v>922</v>
      </c>
      <c r="F726" s="22" t="s">
        <v>922</v>
      </c>
      <c r="G726" s="23" t="s">
        <v>931</v>
      </c>
      <c r="H726" s="24">
        <v>1311520</v>
      </c>
      <c r="I726" s="25" t="s">
        <v>922</v>
      </c>
      <c r="J726" s="22" t="s">
        <v>922</v>
      </c>
      <c r="K726" s="23" t="s">
        <v>931</v>
      </c>
      <c r="L726" s="24">
        <v>1337886</v>
      </c>
      <c r="M726" s="25" t="s">
        <v>922</v>
      </c>
      <c r="N726" s="22" t="s">
        <v>922</v>
      </c>
      <c r="O726" s="23" t="s">
        <v>931</v>
      </c>
      <c r="P726" s="24">
        <v>1291017</v>
      </c>
      <c r="Q726" s="25" t="s">
        <v>922</v>
      </c>
    </row>
    <row r="727" spans="1:17" ht="15.5" thickBot="1" x14ac:dyDescent="0.9">
      <c r="A727" s="35" t="s">
        <v>976</v>
      </c>
      <c r="B727" s="32" t="s">
        <v>921</v>
      </c>
      <c r="C727" s="36" t="s">
        <v>922</v>
      </c>
      <c r="D727" s="37">
        <v>1092018</v>
      </c>
      <c r="E727" s="38" t="s">
        <v>922</v>
      </c>
      <c r="F727" s="32" t="s">
        <v>922</v>
      </c>
      <c r="G727" s="36" t="s">
        <v>922</v>
      </c>
      <c r="H727" s="37">
        <v>848020</v>
      </c>
      <c r="I727" s="38" t="s">
        <v>922</v>
      </c>
      <c r="J727" s="32" t="s">
        <v>922</v>
      </c>
      <c r="K727" s="36" t="s">
        <v>922</v>
      </c>
      <c r="L727" s="37">
        <v>866260</v>
      </c>
      <c r="M727" s="38" t="s">
        <v>922</v>
      </c>
      <c r="N727" s="32" t="s">
        <v>922</v>
      </c>
      <c r="O727" s="36" t="s">
        <v>922</v>
      </c>
      <c r="P727" s="37">
        <v>841436</v>
      </c>
      <c r="Q727" s="38" t="s">
        <v>922</v>
      </c>
    </row>
    <row r="728" spans="1:17" x14ac:dyDescent="0.75">
      <c r="A728" s="40"/>
      <c r="B728" s="40" t="s">
        <v>939</v>
      </c>
      <c r="C728" s="41"/>
      <c r="D728" s="41"/>
      <c r="E728" s="40"/>
      <c r="F728" s="40"/>
      <c r="G728" s="41"/>
      <c r="H728" s="41"/>
      <c r="I728" s="40"/>
      <c r="J728" s="40"/>
      <c r="K728" s="41"/>
      <c r="L728" s="41"/>
      <c r="M728" s="40"/>
      <c r="N728" s="40"/>
      <c r="O728" s="41"/>
      <c r="P728" s="41"/>
      <c r="Q728" s="40"/>
    </row>
    <row r="729" spans="1:17" x14ac:dyDescent="0.75">
      <c r="A729" s="21" t="s">
        <v>977</v>
      </c>
      <c r="B729" s="22" t="s">
        <v>921</v>
      </c>
      <c r="C729" s="23" t="s">
        <v>922</v>
      </c>
      <c r="D729" s="24">
        <v>574935</v>
      </c>
      <c r="E729" s="25" t="s">
        <v>922</v>
      </c>
      <c r="F729" s="22" t="s">
        <v>922</v>
      </c>
      <c r="G729" s="23" t="s">
        <v>922</v>
      </c>
      <c r="H729" s="24">
        <v>463500</v>
      </c>
      <c r="I729" s="25" t="s">
        <v>922</v>
      </c>
      <c r="J729" s="22" t="s">
        <v>922</v>
      </c>
      <c r="K729" s="23" t="s">
        <v>922</v>
      </c>
      <c r="L729" s="24">
        <v>471626</v>
      </c>
      <c r="M729" s="25" t="s">
        <v>922</v>
      </c>
      <c r="N729" s="22" t="s">
        <v>922</v>
      </c>
      <c r="O729" s="23" t="s">
        <v>922</v>
      </c>
      <c r="P729" s="24">
        <v>449581</v>
      </c>
      <c r="Q729" s="25" t="s">
        <v>922</v>
      </c>
    </row>
    <row r="730" spans="1:17" x14ac:dyDescent="0.75">
      <c r="A730" s="35" t="s">
        <v>978</v>
      </c>
      <c r="B730" s="32" t="s">
        <v>921</v>
      </c>
      <c r="C730" s="36" t="s">
        <v>922</v>
      </c>
      <c r="D730" s="37">
        <v>424438</v>
      </c>
      <c r="E730" s="38" t="s">
        <v>922</v>
      </c>
      <c r="F730" s="32" t="s">
        <v>922</v>
      </c>
      <c r="G730" s="36" t="s">
        <v>922</v>
      </c>
      <c r="H730" s="37">
        <v>330470</v>
      </c>
      <c r="I730" s="38" t="s">
        <v>922</v>
      </c>
      <c r="J730" s="32" t="s">
        <v>922</v>
      </c>
      <c r="K730" s="36" t="s">
        <v>922</v>
      </c>
      <c r="L730" s="37">
        <v>335555</v>
      </c>
      <c r="M730" s="38" t="s">
        <v>922</v>
      </c>
      <c r="N730" s="32" t="s">
        <v>922</v>
      </c>
      <c r="O730" s="36" t="s">
        <v>922</v>
      </c>
      <c r="P730" s="37">
        <v>331505</v>
      </c>
      <c r="Q730" s="38" t="s">
        <v>922</v>
      </c>
    </row>
    <row r="731" spans="1:17" x14ac:dyDescent="0.75">
      <c r="A731" s="34" t="s">
        <v>979</v>
      </c>
      <c r="B731" s="22" t="s">
        <v>921</v>
      </c>
      <c r="C731" s="23" t="s">
        <v>922</v>
      </c>
      <c r="D731" s="24">
        <v>50889</v>
      </c>
      <c r="E731" s="25" t="s">
        <v>922</v>
      </c>
      <c r="F731" s="22" t="s">
        <v>922</v>
      </c>
      <c r="G731" s="23" t="s">
        <v>922</v>
      </c>
      <c r="H731" s="24">
        <v>43421</v>
      </c>
      <c r="I731" s="25" t="s">
        <v>922</v>
      </c>
      <c r="J731" s="22" t="s">
        <v>922</v>
      </c>
      <c r="K731" s="23" t="s">
        <v>922</v>
      </c>
      <c r="L731" s="24">
        <v>43955</v>
      </c>
      <c r="M731" s="25" t="s">
        <v>922</v>
      </c>
      <c r="N731" s="22" t="s">
        <v>922</v>
      </c>
      <c r="O731" s="23" t="s">
        <v>922</v>
      </c>
      <c r="P731" s="24">
        <v>42979</v>
      </c>
      <c r="Q731" s="25" t="s">
        <v>922</v>
      </c>
    </row>
    <row r="732" spans="1:17" ht="15.5" thickBot="1" x14ac:dyDescent="0.9">
      <c r="A732" s="35" t="s">
        <v>980</v>
      </c>
      <c r="B732" s="32" t="s">
        <v>921</v>
      </c>
      <c r="C732" s="36" t="s">
        <v>922</v>
      </c>
      <c r="D732" s="37">
        <v>8491</v>
      </c>
      <c r="E732" s="38" t="s">
        <v>922</v>
      </c>
      <c r="F732" s="32" t="s">
        <v>922</v>
      </c>
      <c r="G732" s="36" t="s">
        <v>922</v>
      </c>
      <c r="H732" s="37">
        <v>7324</v>
      </c>
      <c r="I732" s="38" t="s">
        <v>922</v>
      </c>
      <c r="J732" s="32" t="s">
        <v>922</v>
      </c>
      <c r="K732" s="36" t="s">
        <v>922</v>
      </c>
      <c r="L732" s="37">
        <v>7860</v>
      </c>
      <c r="M732" s="38" t="s">
        <v>922</v>
      </c>
      <c r="N732" s="32" t="s">
        <v>922</v>
      </c>
      <c r="O732" s="36" t="s">
        <v>922</v>
      </c>
      <c r="P732" s="37">
        <v>13746</v>
      </c>
      <c r="Q732" s="38" t="s">
        <v>922</v>
      </c>
    </row>
    <row r="733" spans="1:17" x14ac:dyDescent="0.75">
      <c r="A733" s="40"/>
      <c r="B733" s="40" t="s">
        <v>939</v>
      </c>
      <c r="C733" s="41"/>
      <c r="D733" s="41"/>
      <c r="E733" s="40"/>
      <c r="F733" s="40"/>
      <c r="G733" s="41"/>
      <c r="H733" s="41"/>
      <c r="I733" s="40"/>
      <c r="J733" s="40"/>
      <c r="K733" s="41"/>
      <c r="L733" s="41"/>
      <c r="M733" s="40"/>
      <c r="N733" s="40"/>
      <c r="O733" s="41"/>
      <c r="P733" s="41"/>
      <c r="Q733" s="40"/>
    </row>
    <row r="734" spans="1:17" x14ac:dyDescent="0.75">
      <c r="A734" s="21" t="s">
        <v>981</v>
      </c>
      <c r="B734" s="22" t="s">
        <v>921</v>
      </c>
      <c r="C734" s="23" t="s">
        <v>922</v>
      </c>
      <c r="D734" s="24">
        <v>91117</v>
      </c>
      <c r="E734" s="25" t="s">
        <v>922</v>
      </c>
      <c r="F734" s="22" t="s">
        <v>922</v>
      </c>
      <c r="G734" s="23" t="s">
        <v>922</v>
      </c>
      <c r="H734" s="24">
        <v>82285</v>
      </c>
      <c r="I734" s="25" t="s">
        <v>922</v>
      </c>
      <c r="J734" s="22" t="s">
        <v>922</v>
      </c>
      <c r="K734" s="23" t="s">
        <v>922</v>
      </c>
      <c r="L734" s="24">
        <v>84256</v>
      </c>
      <c r="M734" s="25" t="s">
        <v>922</v>
      </c>
      <c r="N734" s="22" t="s">
        <v>922</v>
      </c>
      <c r="O734" s="23" t="s">
        <v>922</v>
      </c>
      <c r="P734" s="24">
        <v>61351</v>
      </c>
      <c r="Q734" s="25" t="s">
        <v>922</v>
      </c>
    </row>
    <row r="735" spans="1:17" x14ac:dyDescent="0.75">
      <c r="A735" s="35" t="s">
        <v>448</v>
      </c>
      <c r="B735" s="32" t="s">
        <v>921</v>
      </c>
      <c r="C735" s="33"/>
      <c r="D735" s="33"/>
      <c r="E735" s="33"/>
      <c r="F735" s="32" t="s">
        <v>922</v>
      </c>
      <c r="G735" s="33"/>
      <c r="H735" s="33"/>
      <c r="I735" s="33"/>
      <c r="J735" s="32" t="s">
        <v>922</v>
      </c>
      <c r="K735" s="33"/>
      <c r="L735" s="33"/>
      <c r="M735" s="33"/>
      <c r="N735" s="32" t="s">
        <v>922</v>
      </c>
      <c r="O735" s="33"/>
      <c r="P735" s="33"/>
      <c r="Q735" s="33"/>
    </row>
    <row r="736" spans="1:17" x14ac:dyDescent="0.75">
      <c r="A736" s="34" t="s">
        <v>983</v>
      </c>
      <c r="B736" s="22" t="s">
        <v>921</v>
      </c>
      <c r="C736" s="23" t="s">
        <v>922</v>
      </c>
      <c r="D736" s="39" t="s">
        <v>449</v>
      </c>
      <c r="E736" s="25" t="s">
        <v>964</v>
      </c>
      <c r="F736" s="22" t="s">
        <v>922</v>
      </c>
      <c r="G736" s="23" t="s">
        <v>922</v>
      </c>
      <c r="H736" s="39" t="s">
        <v>933</v>
      </c>
      <c r="I736" s="25" t="s">
        <v>922</v>
      </c>
      <c r="J736" s="22" t="s">
        <v>922</v>
      </c>
      <c r="K736" s="23" t="s">
        <v>922</v>
      </c>
      <c r="L736" s="39" t="s">
        <v>450</v>
      </c>
      <c r="M736" s="25" t="s">
        <v>964</v>
      </c>
      <c r="N736" s="22" t="s">
        <v>922</v>
      </c>
      <c r="O736" s="23" t="s">
        <v>922</v>
      </c>
      <c r="P736" s="39" t="s">
        <v>451</v>
      </c>
      <c r="Q736" s="25" t="s">
        <v>964</v>
      </c>
    </row>
    <row r="737" spans="1:17" ht="15.5" thickBot="1" x14ac:dyDescent="0.9">
      <c r="A737" s="35" t="s">
        <v>987</v>
      </c>
      <c r="B737" s="32" t="s">
        <v>921</v>
      </c>
      <c r="C737" s="36" t="s">
        <v>922</v>
      </c>
      <c r="D737" s="37">
        <v>6082</v>
      </c>
      <c r="E737" s="38" t="s">
        <v>922</v>
      </c>
      <c r="F737" s="32" t="s">
        <v>922</v>
      </c>
      <c r="G737" s="36" t="s">
        <v>922</v>
      </c>
      <c r="H737" s="37">
        <v>4068</v>
      </c>
      <c r="I737" s="38" t="s">
        <v>922</v>
      </c>
      <c r="J737" s="32" t="s">
        <v>922</v>
      </c>
      <c r="K737" s="36" t="s">
        <v>922</v>
      </c>
      <c r="L737" s="37">
        <v>5581</v>
      </c>
      <c r="M737" s="38" t="s">
        <v>922</v>
      </c>
      <c r="N737" s="32" t="s">
        <v>922</v>
      </c>
      <c r="O737" s="36" t="s">
        <v>922</v>
      </c>
      <c r="P737" s="37">
        <v>5005</v>
      </c>
      <c r="Q737" s="38" t="s">
        <v>922</v>
      </c>
    </row>
    <row r="738" spans="1:17" x14ac:dyDescent="0.75">
      <c r="A738" s="40"/>
      <c r="B738" s="40" t="s">
        <v>939</v>
      </c>
      <c r="C738" s="41"/>
      <c r="D738" s="41"/>
      <c r="E738" s="40"/>
      <c r="F738" s="40"/>
      <c r="G738" s="41"/>
      <c r="H738" s="41"/>
      <c r="I738" s="40"/>
      <c r="J738" s="40"/>
      <c r="K738" s="41"/>
      <c r="L738" s="41"/>
      <c r="M738" s="40"/>
      <c r="N738" s="40"/>
      <c r="O738" s="41"/>
      <c r="P738" s="41"/>
      <c r="Q738" s="40"/>
    </row>
    <row r="739" spans="1:17" x14ac:dyDescent="0.75">
      <c r="A739" s="34" t="s">
        <v>988</v>
      </c>
      <c r="B739" s="22" t="s">
        <v>921</v>
      </c>
      <c r="C739" s="23" t="s">
        <v>922</v>
      </c>
      <c r="D739" s="24">
        <v>97196</v>
      </c>
      <c r="E739" s="25" t="s">
        <v>922</v>
      </c>
      <c r="F739" s="22" t="s">
        <v>922</v>
      </c>
      <c r="G739" s="23" t="s">
        <v>922</v>
      </c>
      <c r="H739" s="24">
        <v>86353</v>
      </c>
      <c r="I739" s="25" t="s">
        <v>922</v>
      </c>
      <c r="J739" s="22" t="s">
        <v>922</v>
      </c>
      <c r="K739" s="23" t="s">
        <v>922</v>
      </c>
      <c r="L739" s="24">
        <v>89829</v>
      </c>
      <c r="M739" s="25" t="s">
        <v>922</v>
      </c>
      <c r="N739" s="22" t="s">
        <v>922</v>
      </c>
      <c r="O739" s="23" t="s">
        <v>922</v>
      </c>
      <c r="P739" s="24">
        <v>66335</v>
      </c>
      <c r="Q739" s="25" t="s">
        <v>922</v>
      </c>
    </row>
    <row r="740" spans="1:17" ht="15.5" thickBot="1" x14ac:dyDescent="0.9">
      <c r="A740" s="35" t="s">
        <v>989</v>
      </c>
      <c r="B740" s="32" t="s">
        <v>921</v>
      </c>
      <c r="C740" s="36" t="s">
        <v>922</v>
      </c>
      <c r="D740" s="37">
        <v>38878</v>
      </c>
      <c r="E740" s="38" t="s">
        <v>922</v>
      </c>
      <c r="F740" s="32" t="s">
        <v>922</v>
      </c>
      <c r="G740" s="36" t="s">
        <v>922</v>
      </c>
      <c r="H740" s="37">
        <v>34542</v>
      </c>
      <c r="I740" s="38" t="s">
        <v>922</v>
      </c>
      <c r="J740" s="32" t="s">
        <v>922</v>
      </c>
      <c r="K740" s="36" t="s">
        <v>922</v>
      </c>
      <c r="L740" s="37">
        <v>35931</v>
      </c>
      <c r="M740" s="38" t="s">
        <v>922</v>
      </c>
      <c r="N740" s="32" t="s">
        <v>922</v>
      </c>
      <c r="O740" s="36" t="s">
        <v>922</v>
      </c>
      <c r="P740" s="37">
        <v>26534</v>
      </c>
      <c r="Q740" s="38" t="s">
        <v>922</v>
      </c>
    </row>
    <row r="741" spans="1:17" x14ac:dyDescent="0.75">
      <c r="A741" s="40"/>
      <c r="B741" s="40" t="s">
        <v>939</v>
      </c>
      <c r="C741" s="41"/>
      <c r="D741" s="41"/>
      <c r="E741" s="40"/>
      <c r="F741" s="40"/>
      <c r="G741" s="41"/>
      <c r="H741" s="41"/>
      <c r="I741" s="40"/>
      <c r="J741" s="40"/>
      <c r="K741" s="41"/>
      <c r="L741" s="41"/>
      <c r="M741" s="40"/>
      <c r="N741" s="40"/>
      <c r="O741" s="41"/>
      <c r="P741" s="41"/>
      <c r="Q741" s="40"/>
    </row>
    <row r="742" spans="1:17" ht="15.5" thickBot="1" x14ac:dyDescent="0.9">
      <c r="A742" s="21" t="s">
        <v>990</v>
      </c>
      <c r="B742" s="22" t="s">
        <v>921</v>
      </c>
      <c r="C742" s="23" t="s">
        <v>931</v>
      </c>
      <c r="D742" s="24">
        <v>58318</v>
      </c>
      <c r="E742" s="25" t="s">
        <v>922</v>
      </c>
      <c r="F742" s="22" t="s">
        <v>922</v>
      </c>
      <c r="G742" s="23" t="s">
        <v>931</v>
      </c>
      <c r="H742" s="24">
        <v>51811</v>
      </c>
      <c r="I742" s="25" t="s">
        <v>922</v>
      </c>
      <c r="J742" s="22" t="s">
        <v>922</v>
      </c>
      <c r="K742" s="23" t="s">
        <v>931</v>
      </c>
      <c r="L742" s="24">
        <v>53898</v>
      </c>
      <c r="M742" s="25" t="s">
        <v>922</v>
      </c>
      <c r="N742" s="22" t="s">
        <v>922</v>
      </c>
      <c r="O742" s="23" t="s">
        <v>931</v>
      </c>
      <c r="P742" s="24">
        <v>39801</v>
      </c>
      <c r="Q742" s="25" t="s">
        <v>922</v>
      </c>
    </row>
    <row r="743" spans="1:17" ht="15.5" thickTop="1" x14ac:dyDescent="0.75">
      <c r="A743" s="40"/>
      <c r="B743" s="40" t="s">
        <v>939</v>
      </c>
      <c r="C743" s="42"/>
      <c r="D743" s="42"/>
      <c r="E743" s="40"/>
      <c r="F743" s="40"/>
      <c r="G743" s="42"/>
      <c r="H743" s="42"/>
      <c r="I743" s="40"/>
      <c r="J743" s="40"/>
      <c r="K743" s="42"/>
      <c r="L743" s="42"/>
      <c r="M743" s="40"/>
      <c r="N743" s="40"/>
      <c r="O743" s="42"/>
      <c r="P743" s="42"/>
      <c r="Q743" s="40"/>
    </row>
    <row r="744" spans="1:17" ht="15.5" thickBot="1" x14ac:dyDescent="0.9">
      <c r="A744" s="35" t="s">
        <v>991</v>
      </c>
      <c r="B744" s="32" t="s">
        <v>921</v>
      </c>
      <c r="C744" s="36" t="s">
        <v>931</v>
      </c>
      <c r="D744" s="44">
        <v>0.42</v>
      </c>
      <c r="E744" s="38" t="s">
        <v>922</v>
      </c>
      <c r="F744" s="32" t="s">
        <v>922</v>
      </c>
      <c r="G744" s="36" t="s">
        <v>931</v>
      </c>
      <c r="H744" s="44">
        <v>0.37</v>
      </c>
      <c r="I744" s="38" t="s">
        <v>922</v>
      </c>
      <c r="J744" s="32" t="s">
        <v>922</v>
      </c>
      <c r="K744" s="36" t="s">
        <v>931</v>
      </c>
      <c r="L744" s="44">
        <v>0.38</v>
      </c>
      <c r="M744" s="38" t="s">
        <v>922</v>
      </c>
      <c r="N744" s="32" t="s">
        <v>922</v>
      </c>
      <c r="O744" s="36" t="s">
        <v>931</v>
      </c>
      <c r="P744" s="44">
        <v>0.28999999999999998</v>
      </c>
      <c r="Q744" s="38" t="s">
        <v>922</v>
      </c>
    </row>
    <row r="745" spans="1:17" ht="15.5" thickTop="1" x14ac:dyDescent="0.75">
      <c r="A745" s="40"/>
      <c r="B745" s="40" t="s">
        <v>939</v>
      </c>
      <c r="C745" s="42"/>
      <c r="D745" s="42"/>
      <c r="E745" s="40"/>
      <c r="F745" s="40"/>
      <c r="G745" s="42"/>
      <c r="H745" s="42"/>
      <c r="I745" s="40"/>
      <c r="J745" s="40"/>
      <c r="K745" s="42"/>
      <c r="L745" s="42"/>
      <c r="M745" s="40"/>
      <c r="N745" s="40"/>
      <c r="O745" s="42"/>
      <c r="P745" s="42"/>
      <c r="Q745" s="40"/>
    </row>
    <row r="746" spans="1:17" ht="15.5" thickBot="1" x14ac:dyDescent="0.9">
      <c r="A746" s="34" t="s">
        <v>993</v>
      </c>
      <c r="B746" s="22" t="s">
        <v>921</v>
      </c>
      <c r="C746" s="23" t="s">
        <v>931</v>
      </c>
      <c r="D746" s="39">
        <v>0.4</v>
      </c>
      <c r="E746" s="25" t="s">
        <v>922</v>
      </c>
      <c r="F746" s="22" t="s">
        <v>922</v>
      </c>
      <c r="G746" s="23" t="s">
        <v>931</v>
      </c>
      <c r="H746" s="39">
        <v>0.36</v>
      </c>
      <c r="I746" s="25" t="s">
        <v>922</v>
      </c>
      <c r="J746" s="22" t="s">
        <v>922</v>
      </c>
      <c r="K746" s="23" t="s">
        <v>931</v>
      </c>
      <c r="L746" s="39">
        <v>0.37</v>
      </c>
      <c r="M746" s="25" t="s">
        <v>922</v>
      </c>
      <c r="N746" s="22" t="s">
        <v>922</v>
      </c>
      <c r="O746" s="23" t="s">
        <v>931</v>
      </c>
      <c r="P746" s="39">
        <v>0.28000000000000003</v>
      </c>
      <c r="Q746" s="25" t="s">
        <v>922</v>
      </c>
    </row>
    <row r="747" spans="1:17" ht="15.5" thickTop="1" x14ac:dyDescent="0.75">
      <c r="A747" s="40"/>
      <c r="B747" s="40" t="s">
        <v>939</v>
      </c>
      <c r="C747" s="42"/>
      <c r="D747" s="42"/>
      <c r="E747" s="40"/>
      <c r="F747" s="40"/>
      <c r="G747" s="42"/>
      <c r="H747" s="42"/>
      <c r="I747" s="40"/>
      <c r="J747" s="40"/>
      <c r="K747" s="42"/>
      <c r="L747" s="42"/>
      <c r="M747" s="40"/>
      <c r="N747" s="40"/>
      <c r="O747" s="42"/>
      <c r="P747" s="42"/>
      <c r="Q747" s="40"/>
    </row>
    <row r="748" spans="1:17" ht="15.5" thickBot="1" x14ac:dyDescent="0.9">
      <c r="A748" s="35" t="s">
        <v>995</v>
      </c>
      <c r="B748" s="32" t="s">
        <v>921</v>
      </c>
      <c r="C748" s="36" t="s">
        <v>931</v>
      </c>
      <c r="D748" s="44">
        <v>2.15</v>
      </c>
      <c r="E748" s="38" t="s">
        <v>922</v>
      </c>
      <c r="F748" s="32" t="s">
        <v>922</v>
      </c>
      <c r="G748" s="36" t="s">
        <v>931</v>
      </c>
      <c r="H748" s="44">
        <v>0.15</v>
      </c>
      <c r="I748" s="38" t="s">
        <v>922</v>
      </c>
      <c r="J748" s="32" t="s">
        <v>922</v>
      </c>
      <c r="K748" s="36" t="s">
        <v>931</v>
      </c>
      <c r="L748" s="44">
        <v>0.15</v>
      </c>
      <c r="M748" s="38" t="s">
        <v>922</v>
      </c>
      <c r="N748" s="32" t="s">
        <v>922</v>
      </c>
      <c r="O748" s="36" t="s">
        <v>931</v>
      </c>
      <c r="P748" s="44" t="s">
        <v>933</v>
      </c>
      <c r="Q748" s="38" t="s">
        <v>922</v>
      </c>
    </row>
    <row r="749" spans="1:17" ht="15.5" thickTop="1" x14ac:dyDescent="0.75">
      <c r="A749" s="40"/>
      <c r="B749" s="40" t="s">
        <v>939</v>
      </c>
      <c r="C749" s="42"/>
      <c r="D749" s="42"/>
      <c r="E749" s="40"/>
      <c r="F749" s="40"/>
      <c r="G749" s="42"/>
      <c r="H749" s="42"/>
      <c r="I749" s="40"/>
      <c r="J749" s="40"/>
      <c r="K749" s="42"/>
      <c r="L749" s="42"/>
      <c r="M749" s="40"/>
      <c r="N749" s="40"/>
      <c r="O749" s="42"/>
      <c r="P749" s="42"/>
      <c r="Q749" s="40"/>
    </row>
    <row r="750" spans="1:17" x14ac:dyDescent="0.75">
      <c r="A750" s="28"/>
      <c r="B750" s="271"/>
      <c r="C750" s="271"/>
      <c r="D750" s="271"/>
      <c r="E750" s="271"/>
      <c r="F750" s="271"/>
      <c r="G750" s="271"/>
      <c r="H750" s="271"/>
      <c r="I750" s="271"/>
      <c r="J750" s="271"/>
      <c r="K750" s="271"/>
      <c r="L750" s="271"/>
      <c r="M750" s="271"/>
      <c r="N750" s="271"/>
      <c r="O750" s="271"/>
      <c r="P750" s="271"/>
      <c r="Q750" s="271"/>
    </row>
    <row r="751" spans="1:17" x14ac:dyDescent="0.75">
      <c r="A751" s="269" t="s">
        <v>922</v>
      </c>
      <c r="B751" s="269" t="s">
        <v>921</v>
      </c>
      <c r="C751" s="270" t="s">
        <v>442</v>
      </c>
      <c r="D751" s="270"/>
      <c r="E751" s="269" t="s">
        <v>922</v>
      </c>
      <c r="F751" s="269" t="s">
        <v>922</v>
      </c>
      <c r="G751" s="270" t="s">
        <v>444</v>
      </c>
      <c r="H751" s="270"/>
      <c r="I751" s="269" t="s">
        <v>922</v>
      </c>
      <c r="J751" s="269" t="s">
        <v>922</v>
      </c>
      <c r="K751" s="270" t="s">
        <v>445</v>
      </c>
      <c r="L751" s="270"/>
      <c r="M751" s="269" t="s">
        <v>922</v>
      </c>
      <c r="N751" s="269" t="s">
        <v>922</v>
      </c>
      <c r="O751" s="270" t="s">
        <v>446</v>
      </c>
      <c r="P751" s="270"/>
      <c r="Q751" s="269" t="s">
        <v>922</v>
      </c>
    </row>
    <row r="752" spans="1:17" ht="15.5" thickBot="1" x14ac:dyDescent="0.9">
      <c r="A752" s="269"/>
      <c r="B752" s="269"/>
      <c r="C752" s="268" t="s">
        <v>443</v>
      </c>
      <c r="D752" s="268"/>
      <c r="E752" s="269"/>
      <c r="F752" s="269"/>
      <c r="G752" s="268" t="s">
        <v>443</v>
      </c>
      <c r="H752" s="268"/>
      <c r="I752" s="269"/>
      <c r="J752" s="269"/>
      <c r="K752" s="268" t="s">
        <v>443</v>
      </c>
      <c r="L752" s="268"/>
      <c r="M752" s="269"/>
      <c r="N752" s="269"/>
      <c r="O752" s="268" t="s">
        <v>443</v>
      </c>
      <c r="P752" s="268"/>
      <c r="Q752" s="269"/>
    </row>
    <row r="753" spans="1:17" x14ac:dyDescent="0.75">
      <c r="A753" s="43" t="s">
        <v>452</v>
      </c>
      <c r="B753" s="32" t="s">
        <v>921</v>
      </c>
      <c r="C753" s="33"/>
      <c r="D753" s="33"/>
      <c r="E753" s="33"/>
      <c r="F753" s="32" t="s">
        <v>922</v>
      </c>
      <c r="G753" s="33"/>
      <c r="H753" s="33"/>
      <c r="I753" s="33"/>
      <c r="J753" s="32" t="s">
        <v>922</v>
      </c>
      <c r="K753" s="33"/>
      <c r="L753" s="33"/>
      <c r="M753" s="33"/>
      <c r="N753" s="32" t="s">
        <v>922</v>
      </c>
      <c r="O753" s="33"/>
      <c r="P753" s="33"/>
      <c r="Q753" s="33"/>
    </row>
    <row r="754" spans="1:17" x14ac:dyDescent="0.75">
      <c r="A754" s="34" t="s">
        <v>975</v>
      </c>
      <c r="B754" s="22" t="s">
        <v>921</v>
      </c>
      <c r="C754" s="23" t="s">
        <v>931</v>
      </c>
      <c r="D754" s="24">
        <v>1368328</v>
      </c>
      <c r="E754" s="25" t="s">
        <v>922</v>
      </c>
      <c r="F754" s="22" t="s">
        <v>922</v>
      </c>
      <c r="G754" s="23" t="s">
        <v>931</v>
      </c>
      <c r="H754" s="24">
        <v>1085158</v>
      </c>
      <c r="I754" s="25" t="s">
        <v>922</v>
      </c>
      <c r="J754" s="22" t="s">
        <v>922</v>
      </c>
      <c r="K754" s="23" t="s">
        <v>931</v>
      </c>
      <c r="L754" s="24">
        <v>1132736</v>
      </c>
      <c r="M754" s="25" t="s">
        <v>922</v>
      </c>
      <c r="N754" s="22" t="s">
        <v>922</v>
      </c>
      <c r="O754" s="23" t="s">
        <v>931</v>
      </c>
      <c r="P754" s="24">
        <v>1115067</v>
      </c>
      <c r="Q754" s="25" t="s">
        <v>922</v>
      </c>
    </row>
    <row r="755" spans="1:17" ht="15.5" thickBot="1" x14ac:dyDescent="0.9">
      <c r="A755" s="35" t="s">
        <v>976</v>
      </c>
      <c r="B755" s="32" t="s">
        <v>921</v>
      </c>
      <c r="C755" s="36" t="s">
        <v>922</v>
      </c>
      <c r="D755" s="37">
        <v>895486</v>
      </c>
      <c r="E755" s="38" t="s">
        <v>922</v>
      </c>
      <c r="F755" s="32" t="s">
        <v>922</v>
      </c>
      <c r="G755" s="36" t="s">
        <v>922</v>
      </c>
      <c r="H755" s="37">
        <v>697686</v>
      </c>
      <c r="I755" s="38" t="s">
        <v>922</v>
      </c>
      <c r="J755" s="32" t="s">
        <v>922</v>
      </c>
      <c r="K755" s="36" t="s">
        <v>922</v>
      </c>
      <c r="L755" s="37">
        <v>733931</v>
      </c>
      <c r="M755" s="38" t="s">
        <v>922</v>
      </c>
      <c r="N755" s="32" t="s">
        <v>922</v>
      </c>
      <c r="O755" s="36" t="s">
        <v>922</v>
      </c>
      <c r="P755" s="37">
        <v>725081</v>
      </c>
      <c r="Q755" s="38" t="s">
        <v>922</v>
      </c>
    </row>
    <row r="756" spans="1:17" x14ac:dyDescent="0.75">
      <c r="A756" s="40"/>
      <c r="B756" s="40" t="s">
        <v>939</v>
      </c>
      <c r="C756" s="41"/>
      <c r="D756" s="41"/>
      <c r="E756" s="40"/>
      <c r="F756" s="40"/>
      <c r="G756" s="41"/>
      <c r="H756" s="41"/>
      <c r="I756" s="40"/>
      <c r="J756" s="40"/>
      <c r="K756" s="41"/>
      <c r="L756" s="41"/>
      <c r="M756" s="40"/>
      <c r="N756" s="40"/>
      <c r="O756" s="41"/>
      <c r="P756" s="41"/>
      <c r="Q756" s="40"/>
    </row>
    <row r="757" spans="1:17" x14ac:dyDescent="0.75">
      <c r="A757" s="21" t="s">
        <v>977</v>
      </c>
      <c r="B757" s="22" t="s">
        <v>921</v>
      </c>
      <c r="C757" s="23" t="s">
        <v>922</v>
      </c>
      <c r="D757" s="24">
        <v>472842</v>
      </c>
      <c r="E757" s="25" t="s">
        <v>922</v>
      </c>
      <c r="F757" s="22" t="s">
        <v>922</v>
      </c>
      <c r="G757" s="23" t="s">
        <v>922</v>
      </c>
      <c r="H757" s="24">
        <v>387472</v>
      </c>
      <c r="I757" s="25" t="s">
        <v>922</v>
      </c>
      <c r="J757" s="22" t="s">
        <v>922</v>
      </c>
      <c r="K757" s="23" t="s">
        <v>922</v>
      </c>
      <c r="L757" s="24">
        <v>398805</v>
      </c>
      <c r="M757" s="25" t="s">
        <v>922</v>
      </c>
      <c r="N757" s="22" t="s">
        <v>922</v>
      </c>
      <c r="O757" s="23" t="s">
        <v>922</v>
      </c>
      <c r="P757" s="24">
        <v>389986</v>
      </c>
      <c r="Q757" s="25" t="s">
        <v>922</v>
      </c>
    </row>
    <row r="758" spans="1:17" x14ac:dyDescent="0.75">
      <c r="A758" s="35" t="s">
        <v>978</v>
      </c>
      <c r="B758" s="32" t="s">
        <v>921</v>
      </c>
      <c r="C758" s="36" t="s">
        <v>922</v>
      </c>
      <c r="D758" s="37">
        <v>348380</v>
      </c>
      <c r="E758" s="38" t="s">
        <v>922</v>
      </c>
      <c r="F758" s="32" t="s">
        <v>922</v>
      </c>
      <c r="G758" s="36" t="s">
        <v>922</v>
      </c>
      <c r="H758" s="37">
        <v>276313</v>
      </c>
      <c r="I758" s="38" t="s">
        <v>922</v>
      </c>
      <c r="J758" s="32" t="s">
        <v>922</v>
      </c>
      <c r="K758" s="36" t="s">
        <v>922</v>
      </c>
      <c r="L758" s="37">
        <v>285804</v>
      </c>
      <c r="M758" s="38" t="s">
        <v>922</v>
      </c>
      <c r="N758" s="32" t="s">
        <v>922</v>
      </c>
      <c r="O758" s="36" t="s">
        <v>922</v>
      </c>
      <c r="P758" s="37">
        <v>312976</v>
      </c>
      <c r="Q758" s="38" t="s">
        <v>922</v>
      </c>
    </row>
    <row r="759" spans="1:17" x14ac:dyDescent="0.75">
      <c r="A759" s="34" t="s">
        <v>979</v>
      </c>
      <c r="B759" s="22" t="s">
        <v>921</v>
      </c>
      <c r="C759" s="23" t="s">
        <v>922</v>
      </c>
      <c r="D759" s="24">
        <v>40401</v>
      </c>
      <c r="E759" s="25" t="s">
        <v>922</v>
      </c>
      <c r="F759" s="22" t="s">
        <v>922</v>
      </c>
      <c r="G759" s="23" t="s">
        <v>922</v>
      </c>
      <c r="H759" s="24">
        <v>34773</v>
      </c>
      <c r="I759" s="25" t="s">
        <v>922</v>
      </c>
      <c r="J759" s="22" t="s">
        <v>922</v>
      </c>
      <c r="K759" s="23" t="s">
        <v>922</v>
      </c>
      <c r="L759" s="24">
        <v>39618</v>
      </c>
      <c r="M759" s="25" t="s">
        <v>922</v>
      </c>
      <c r="N759" s="22" t="s">
        <v>922</v>
      </c>
      <c r="O759" s="23" t="s">
        <v>922</v>
      </c>
      <c r="P759" s="24">
        <v>44072</v>
      </c>
      <c r="Q759" s="25" t="s">
        <v>922</v>
      </c>
    </row>
    <row r="760" spans="1:17" ht="15.5" thickBot="1" x14ac:dyDescent="0.9">
      <c r="A760" s="35" t="s">
        <v>980</v>
      </c>
      <c r="B760" s="32" t="s">
        <v>921</v>
      </c>
      <c r="C760" s="36" t="s">
        <v>922</v>
      </c>
      <c r="D760" s="37">
        <v>6599</v>
      </c>
      <c r="E760" s="38" t="s">
        <v>922</v>
      </c>
      <c r="F760" s="32" t="s">
        <v>922</v>
      </c>
      <c r="G760" s="36" t="s">
        <v>922</v>
      </c>
      <c r="H760" s="37">
        <v>10265</v>
      </c>
      <c r="I760" s="38" t="s">
        <v>922</v>
      </c>
      <c r="J760" s="32" t="s">
        <v>922</v>
      </c>
      <c r="K760" s="36" t="s">
        <v>922</v>
      </c>
      <c r="L760" s="37">
        <v>8777</v>
      </c>
      <c r="M760" s="38" t="s">
        <v>922</v>
      </c>
      <c r="N760" s="32" t="s">
        <v>922</v>
      </c>
      <c r="O760" s="36" t="s">
        <v>922</v>
      </c>
      <c r="P760" s="37">
        <v>11394</v>
      </c>
      <c r="Q760" s="38" t="s">
        <v>922</v>
      </c>
    </row>
    <row r="761" spans="1:17" x14ac:dyDescent="0.75">
      <c r="A761" s="40"/>
      <c r="B761" s="40" t="s">
        <v>939</v>
      </c>
      <c r="C761" s="41"/>
      <c r="D761" s="41"/>
      <c r="E761" s="40"/>
      <c r="F761" s="40"/>
      <c r="G761" s="41"/>
      <c r="H761" s="41"/>
      <c r="I761" s="40"/>
      <c r="J761" s="40"/>
      <c r="K761" s="41"/>
      <c r="L761" s="41"/>
      <c r="M761" s="40"/>
      <c r="N761" s="40"/>
      <c r="O761" s="41"/>
      <c r="P761" s="41"/>
      <c r="Q761" s="40"/>
    </row>
    <row r="762" spans="1:17" x14ac:dyDescent="0.75">
      <c r="A762" s="21" t="s">
        <v>981</v>
      </c>
      <c r="B762" s="22" t="s">
        <v>921</v>
      </c>
      <c r="C762" s="23" t="s">
        <v>922</v>
      </c>
      <c r="D762" s="24">
        <v>77462</v>
      </c>
      <c r="E762" s="25" t="s">
        <v>922</v>
      </c>
      <c r="F762" s="22" t="s">
        <v>922</v>
      </c>
      <c r="G762" s="23" t="s">
        <v>922</v>
      </c>
      <c r="H762" s="24">
        <v>66121</v>
      </c>
      <c r="I762" s="25" t="s">
        <v>922</v>
      </c>
      <c r="J762" s="22" t="s">
        <v>922</v>
      </c>
      <c r="K762" s="23" t="s">
        <v>922</v>
      </c>
      <c r="L762" s="24">
        <v>64606</v>
      </c>
      <c r="M762" s="25" t="s">
        <v>922</v>
      </c>
      <c r="N762" s="22" t="s">
        <v>922</v>
      </c>
      <c r="O762" s="23" t="s">
        <v>922</v>
      </c>
      <c r="P762" s="24">
        <v>21544</v>
      </c>
      <c r="Q762" s="25" t="s">
        <v>922</v>
      </c>
    </row>
    <row r="763" spans="1:17" x14ac:dyDescent="0.75">
      <c r="A763" s="35" t="s">
        <v>448</v>
      </c>
      <c r="B763" s="32" t="s">
        <v>921</v>
      </c>
      <c r="C763" s="33"/>
      <c r="D763" s="33"/>
      <c r="E763" s="33"/>
      <c r="F763" s="32" t="s">
        <v>922</v>
      </c>
      <c r="G763" s="33"/>
      <c r="H763" s="33"/>
      <c r="I763" s="33"/>
      <c r="J763" s="32" t="s">
        <v>922</v>
      </c>
      <c r="K763" s="33"/>
      <c r="L763" s="33"/>
      <c r="M763" s="33"/>
      <c r="N763" s="32" t="s">
        <v>922</v>
      </c>
      <c r="O763" s="33"/>
      <c r="P763" s="33"/>
      <c r="Q763" s="33"/>
    </row>
    <row r="764" spans="1:17" x14ac:dyDescent="0.75">
      <c r="A764" s="34" t="s">
        <v>983</v>
      </c>
      <c r="B764" s="22" t="s">
        <v>921</v>
      </c>
      <c r="C764" s="23" t="s">
        <v>922</v>
      </c>
      <c r="D764" s="39" t="s">
        <v>453</v>
      </c>
      <c r="E764" s="25" t="s">
        <v>964</v>
      </c>
      <c r="F764" s="22" t="s">
        <v>922</v>
      </c>
      <c r="G764" s="23" t="s">
        <v>922</v>
      </c>
      <c r="H764" s="39" t="s">
        <v>454</v>
      </c>
      <c r="I764" s="25" t="s">
        <v>964</v>
      </c>
      <c r="J764" s="22" t="s">
        <v>922</v>
      </c>
      <c r="K764" s="23" t="s">
        <v>922</v>
      </c>
      <c r="L764" s="39" t="s">
        <v>455</v>
      </c>
      <c r="M764" s="25" t="s">
        <v>964</v>
      </c>
      <c r="N764" s="22" t="s">
        <v>922</v>
      </c>
      <c r="O764" s="23" t="s">
        <v>922</v>
      </c>
      <c r="P764" s="39" t="s">
        <v>456</v>
      </c>
      <c r="Q764" s="25" t="s">
        <v>964</v>
      </c>
    </row>
    <row r="765" spans="1:17" ht="15.5" thickBot="1" x14ac:dyDescent="0.9">
      <c r="A765" s="35" t="s">
        <v>987</v>
      </c>
      <c r="B765" s="32" t="s">
        <v>921</v>
      </c>
      <c r="C765" s="36" t="s">
        <v>922</v>
      </c>
      <c r="D765" s="37">
        <v>1194</v>
      </c>
      <c r="E765" s="38" t="s">
        <v>922</v>
      </c>
      <c r="F765" s="32" t="s">
        <v>922</v>
      </c>
      <c r="G765" s="36" t="s">
        <v>922</v>
      </c>
      <c r="H765" s="37">
        <v>2113</v>
      </c>
      <c r="I765" s="38" t="s">
        <v>922</v>
      </c>
      <c r="J765" s="32" t="s">
        <v>922</v>
      </c>
      <c r="K765" s="36" t="s">
        <v>922</v>
      </c>
      <c r="L765" s="37">
        <v>2868</v>
      </c>
      <c r="M765" s="38" t="s">
        <v>922</v>
      </c>
      <c r="N765" s="32" t="s">
        <v>922</v>
      </c>
      <c r="O765" s="36" t="s">
        <v>922</v>
      </c>
      <c r="P765" s="37">
        <v>3448</v>
      </c>
      <c r="Q765" s="38" t="s">
        <v>922</v>
      </c>
    </row>
    <row r="766" spans="1:17" x14ac:dyDescent="0.75">
      <c r="A766" s="40"/>
      <c r="B766" s="40" t="s">
        <v>939</v>
      </c>
      <c r="C766" s="41"/>
      <c r="D766" s="41"/>
      <c r="E766" s="40"/>
      <c r="F766" s="40"/>
      <c r="G766" s="41"/>
      <c r="H766" s="41"/>
      <c r="I766" s="40"/>
      <c r="J766" s="40"/>
      <c r="K766" s="41"/>
      <c r="L766" s="41"/>
      <c r="M766" s="40"/>
      <c r="N766" s="40"/>
      <c r="O766" s="41"/>
      <c r="P766" s="41"/>
      <c r="Q766" s="40"/>
    </row>
    <row r="767" spans="1:17" x14ac:dyDescent="0.75">
      <c r="A767" s="21" t="s">
        <v>988</v>
      </c>
      <c r="B767" s="22" t="s">
        <v>921</v>
      </c>
      <c r="C767" s="23" t="s">
        <v>922</v>
      </c>
      <c r="D767" s="24">
        <v>76948</v>
      </c>
      <c r="E767" s="25" t="s">
        <v>922</v>
      </c>
      <c r="F767" s="22" t="s">
        <v>922</v>
      </c>
      <c r="G767" s="23" t="s">
        <v>922</v>
      </c>
      <c r="H767" s="24">
        <v>67892</v>
      </c>
      <c r="I767" s="25" t="s">
        <v>922</v>
      </c>
      <c r="J767" s="22" t="s">
        <v>922</v>
      </c>
      <c r="K767" s="23" t="s">
        <v>922</v>
      </c>
      <c r="L767" s="24">
        <v>67311</v>
      </c>
      <c r="M767" s="25" t="s">
        <v>922</v>
      </c>
      <c r="N767" s="22" t="s">
        <v>922</v>
      </c>
      <c r="O767" s="23" t="s">
        <v>922</v>
      </c>
      <c r="P767" s="24">
        <v>24982</v>
      </c>
      <c r="Q767" s="25" t="s">
        <v>922</v>
      </c>
    </row>
    <row r="768" spans="1:17" ht="15.5" thickBot="1" x14ac:dyDescent="0.9">
      <c r="A768" s="35" t="s">
        <v>989</v>
      </c>
      <c r="B768" s="32" t="s">
        <v>921</v>
      </c>
      <c r="C768" s="36" t="s">
        <v>922</v>
      </c>
      <c r="D768" s="37">
        <v>30778</v>
      </c>
      <c r="E768" s="38" t="s">
        <v>922</v>
      </c>
      <c r="F768" s="32" t="s">
        <v>922</v>
      </c>
      <c r="G768" s="36" t="s">
        <v>922</v>
      </c>
      <c r="H768" s="37">
        <v>27158</v>
      </c>
      <c r="I768" s="38" t="s">
        <v>922</v>
      </c>
      <c r="J768" s="32" t="s">
        <v>922</v>
      </c>
      <c r="K768" s="36" t="s">
        <v>922</v>
      </c>
      <c r="L768" s="37">
        <v>26924</v>
      </c>
      <c r="M768" s="38" t="s">
        <v>922</v>
      </c>
      <c r="N768" s="32" t="s">
        <v>922</v>
      </c>
      <c r="O768" s="36" t="s">
        <v>922</v>
      </c>
      <c r="P768" s="37">
        <v>15922</v>
      </c>
      <c r="Q768" s="38" t="s">
        <v>922</v>
      </c>
    </row>
    <row r="769" spans="1:17" x14ac:dyDescent="0.75">
      <c r="A769" s="40"/>
      <c r="B769" s="40" t="s">
        <v>939</v>
      </c>
      <c r="C769" s="41"/>
      <c r="D769" s="41"/>
      <c r="E769" s="40"/>
      <c r="F769" s="40"/>
      <c r="G769" s="41"/>
      <c r="H769" s="41"/>
      <c r="I769" s="40"/>
      <c r="J769" s="40"/>
      <c r="K769" s="41"/>
      <c r="L769" s="41"/>
      <c r="M769" s="40"/>
      <c r="N769" s="40"/>
      <c r="O769" s="41"/>
      <c r="P769" s="41"/>
      <c r="Q769" s="40"/>
    </row>
    <row r="770" spans="1:17" ht="15.5" thickBot="1" x14ac:dyDescent="0.9">
      <c r="A770" s="21" t="s">
        <v>990</v>
      </c>
      <c r="B770" s="22" t="s">
        <v>921</v>
      </c>
      <c r="C770" s="23" t="s">
        <v>931</v>
      </c>
      <c r="D770" s="24">
        <v>46170</v>
      </c>
      <c r="E770" s="25" t="s">
        <v>922</v>
      </c>
      <c r="F770" s="22" t="s">
        <v>922</v>
      </c>
      <c r="G770" s="23" t="s">
        <v>931</v>
      </c>
      <c r="H770" s="24">
        <v>40734</v>
      </c>
      <c r="I770" s="25" t="s">
        <v>922</v>
      </c>
      <c r="J770" s="22" t="s">
        <v>922</v>
      </c>
      <c r="K770" s="23" t="s">
        <v>931</v>
      </c>
      <c r="L770" s="24">
        <v>40387</v>
      </c>
      <c r="M770" s="25" t="s">
        <v>922</v>
      </c>
      <c r="N770" s="22" t="s">
        <v>922</v>
      </c>
      <c r="O770" s="23" t="s">
        <v>931</v>
      </c>
      <c r="P770" s="24">
        <v>9060</v>
      </c>
      <c r="Q770" s="25" t="s">
        <v>922</v>
      </c>
    </row>
    <row r="771" spans="1:17" ht="15.5" thickTop="1" x14ac:dyDescent="0.75">
      <c r="A771" s="40"/>
      <c r="B771" s="40" t="s">
        <v>939</v>
      </c>
      <c r="C771" s="42"/>
      <c r="D771" s="42"/>
      <c r="E771" s="40"/>
      <c r="F771" s="40"/>
      <c r="G771" s="42"/>
      <c r="H771" s="42"/>
      <c r="I771" s="40"/>
      <c r="J771" s="40"/>
      <c r="K771" s="42"/>
      <c r="L771" s="42"/>
      <c r="M771" s="40"/>
      <c r="N771" s="40"/>
      <c r="O771" s="42"/>
      <c r="P771" s="42"/>
      <c r="Q771" s="40"/>
    </row>
    <row r="772" spans="1:17" ht="15.5" thickBot="1" x14ac:dyDescent="0.9">
      <c r="A772" s="35" t="s">
        <v>991</v>
      </c>
      <c r="B772" s="32" t="s">
        <v>921</v>
      </c>
      <c r="C772" s="36" t="s">
        <v>931</v>
      </c>
      <c r="D772" s="44">
        <v>0.37</v>
      </c>
      <c r="E772" s="38" t="s">
        <v>922</v>
      </c>
      <c r="F772" s="32" t="s">
        <v>922</v>
      </c>
      <c r="G772" s="36" t="s">
        <v>931</v>
      </c>
      <c r="H772" s="44">
        <v>0.31</v>
      </c>
      <c r="I772" s="38" t="s">
        <v>922</v>
      </c>
      <c r="J772" s="32" t="s">
        <v>922</v>
      </c>
      <c r="K772" s="36" t="s">
        <v>931</v>
      </c>
      <c r="L772" s="44">
        <v>0.31</v>
      </c>
      <c r="M772" s="38" t="s">
        <v>922</v>
      </c>
      <c r="N772" s="32" t="s">
        <v>922</v>
      </c>
      <c r="O772" s="36" t="s">
        <v>931</v>
      </c>
      <c r="P772" s="44">
        <v>7.0000000000000007E-2</v>
      </c>
      <c r="Q772" s="38" t="s">
        <v>922</v>
      </c>
    </row>
    <row r="773" spans="1:17" ht="15.5" thickTop="1" x14ac:dyDescent="0.75">
      <c r="A773" s="40"/>
      <c r="B773" s="40" t="s">
        <v>939</v>
      </c>
      <c r="C773" s="42"/>
      <c r="D773" s="42"/>
      <c r="E773" s="40"/>
      <c r="F773" s="40"/>
      <c r="G773" s="42"/>
      <c r="H773" s="42"/>
      <c r="I773" s="40"/>
      <c r="J773" s="40"/>
      <c r="K773" s="42"/>
      <c r="L773" s="42"/>
      <c r="M773" s="40"/>
      <c r="N773" s="40"/>
      <c r="O773" s="42"/>
      <c r="P773" s="42"/>
      <c r="Q773" s="40"/>
    </row>
    <row r="774" spans="1:17" ht="15.5" thickBot="1" x14ac:dyDescent="0.9">
      <c r="A774" s="34" t="s">
        <v>993</v>
      </c>
      <c r="B774" s="22" t="s">
        <v>921</v>
      </c>
      <c r="C774" s="23" t="s">
        <v>931</v>
      </c>
      <c r="D774" s="39">
        <v>0.34</v>
      </c>
      <c r="E774" s="25" t="s">
        <v>922</v>
      </c>
      <c r="F774" s="22" t="s">
        <v>922</v>
      </c>
      <c r="G774" s="23" t="s">
        <v>931</v>
      </c>
      <c r="H774" s="39">
        <v>0.28999999999999998</v>
      </c>
      <c r="I774" s="25" t="s">
        <v>922</v>
      </c>
      <c r="J774" s="22" t="s">
        <v>922</v>
      </c>
      <c r="K774" s="23" t="s">
        <v>931</v>
      </c>
      <c r="L774" s="39">
        <v>0.28999999999999998</v>
      </c>
      <c r="M774" s="25" t="s">
        <v>922</v>
      </c>
      <c r="N774" s="22" t="s">
        <v>922</v>
      </c>
      <c r="O774" s="23" t="s">
        <v>931</v>
      </c>
      <c r="P774" s="39">
        <v>0.06</v>
      </c>
      <c r="Q774" s="25" t="s">
        <v>922</v>
      </c>
    </row>
    <row r="775" spans="1:17" ht="15.5" thickTop="1" x14ac:dyDescent="0.75">
      <c r="A775" s="40"/>
      <c r="B775" s="40" t="s">
        <v>939</v>
      </c>
      <c r="C775" s="42"/>
      <c r="D775" s="42"/>
      <c r="E775" s="40"/>
      <c r="F775" s="40"/>
      <c r="G775" s="42"/>
      <c r="H775" s="42"/>
      <c r="I775" s="40"/>
      <c r="J775" s="40"/>
      <c r="K775" s="42"/>
      <c r="L775" s="42"/>
      <c r="M775" s="40"/>
      <c r="N775" s="40"/>
      <c r="O775" s="42"/>
      <c r="P775" s="42"/>
      <c r="Q775" s="40"/>
    </row>
    <row r="776" spans="1:17" ht="15.5" thickBot="1" x14ac:dyDescent="0.9">
      <c r="A776" s="35" t="s">
        <v>995</v>
      </c>
      <c r="B776" s="32" t="s">
        <v>921</v>
      </c>
      <c r="C776" s="36" t="s">
        <v>931</v>
      </c>
      <c r="D776" s="44">
        <v>0.1</v>
      </c>
      <c r="E776" s="38" t="s">
        <v>922</v>
      </c>
      <c r="F776" s="32" t="s">
        <v>922</v>
      </c>
      <c r="G776" s="36" t="s">
        <v>931</v>
      </c>
      <c r="H776" s="44">
        <v>0.13</v>
      </c>
      <c r="I776" s="38" t="s">
        <v>922</v>
      </c>
      <c r="J776" s="32" t="s">
        <v>922</v>
      </c>
      <c r="K776" s="36" t="s">
        <v>931</v>
      </c>
      <c r="L776" s="44">
        <v>0.13</v>
      </c>
      <c r="M776" s="38" t="s">
        <v>922</v>
      </c>
      <c r="N776" s="32" t="s">
        <v>922</v>
      </c>
      <c r="O776" s="36" t="s">
        <v>931</v>
      </c>
      <c r="P776" s="44">
        <v>0.13</v>
      </c>
      <c r="Q776" s="38" t="s">
        <v>922</v>
      </c>
    </row>
    <row r="777" spans="1:17" ht="15.5" thickTop="1" x14ac:dyDescent="0.75">
      <c r="A777" s="40"/>
      <c r="B777" s="40" t="s">
        <v>939</v>
      </c>
      <c r="C777" s="42"/>
      <c r="D777" s="42"/>
      <c r="E777" s="40"/>
      <c r="F777" s="40"/>
      <c r="G777" s="42"/>
      <c r="H777" s="42"/>
      <c r="I777" s="40"/>
      <c r="J777" s="40"/>
      <c r="K777" s="42"/>
      <c r="L777" s="42"/>
      <c r="M777" s="40"/>
      <c r="N777" s="40"/>
      <c r="O777" s="42"/>
      <c r="P777" s="42"/>
      <c r="Q777" s="40"/>
    </row>
    <row r="778" spans="1:17" x14ac:dyDescent="0.75">
      <c r="A778" s="26" t="s">
        <v>457</v>
      </c>
    </row>
    <row r="779" spans="1:17" x14ac:dyDescent="0.75">
      <c r="A779" s="25" t="s">
        <v>1149</v>
      </c>
    </row>
    <row r="780" spans="1:17" x14ac:dyDescent="0.75">
      <c r="A780" s="25" t="s">
        <v>458</v>
      </c>
    </row>
    <row r="781" spans="1:17" x14ac:dyDescent="0.75">
      <c r="A781" s="25" t="s">
        <v>459</v>
      </c>
    </row>
    <row r="782" spans="1:17" x14ac:dyDescent="0.75">
      <c r="A782" s="46" t="s">
        <v>922</v>
      </c>
    </row>
    <row r="783" spans="1:17" x14ac:dyDescent="0.75">
      <c r="A783" s="47">
        <v>56</v>
      </c>
    </row>
    <row r="787" spans="1:1" x14ac:dyDescent="0.75">
      <c r="A787" s="48" t="s">
        <v>971</v>
      </c>
    </row>
    <row r="789" spans="1:1" x14ac:dyDescent="0.75">
      <c r="A789" s="26" t="s">
        <v>460</v>
      </c>
    </row>
    <row r="790" spans="1:1" x14ac:dyDescent="0.75">
      <c r="A790" s="25" t="s">
        <v>461</v>
      </c>
    </row>
    <row r="791" spans="1:1" x14ac:dyDescent="0.75">
      <c r="A791" s="26" t="s">
        <v>462</v>
      </c>
    </row>
    <row r="792" spans="1:1" x14ac:dyDescent="0.75">
      <c r="A792" s="26" t="s">
        <v>463</v>
      </c>
    </row>
    <row r="793" spans="1:1" x14ac:dyDescent="0.75">
      <c r="A793" s="25" t="s">
        <v>464</v>
      </c>
    </row>
    <row r="794" spans="1:1" x14ac:dyDescent="0.75">
      <c r="A794" s="26" t="s">
        <v>465</v>
      </c>
    </row>
    <row r="795" spans="1:1" x14ac:dyDescent="0.75">
      <c r="A795" s="25" t="s">
        <v>466</v>
      </c>
    </row>
    <row r="796" spans="1:1" x14ac:dyDescent="0.75">
      <c r="A796" s="26" t="s">
        <v>467</v>
      </c>
    </row>
    <row r="797" spans="1:1" x14ac:dyDescent="0.75">
      <c r="A797" s="25" t="s">
        <v>468</v>
      </c>
    </row>
    <row r="798" spans="1:1" x14ac:dyDescent="0.75">
      <c r="A798" s="25" t="s">
        <v>469</v>
      </c>
    </row>
    <row r="799" spans="1:1" x14ac:dyDescent="0.75">
      <c r="A799" s="26" t="s">
        <v>470</v>
      </c>
    </row>
    <row r="800" spans="1:1" x14ac:dyDescent="0.75">
      <c r="A800" s="25" t="s">
        <v>471</v>
      </c>
    </row>
    <row r="801" spans="1:1" x14ac:dyDescent="0.75">
      <c r="A801" s="46" t="s">
        <v>922</v>
      </c>
    </row>
    <row r="802" spans="1:1" x14ac:dyDescent="0.75">
      <c r="A802" s="47">
        <v>57</v>
      </c>
    </row>
    <row r="806" spans="1:1" x14ac:dyDescent="0.75">
      <c r="A806" s="48" t="s">
        <v>971</v>
      </c>
    </row>
    <row r="808" spans="1:1" x14ac:dyDescent="0.75">
      <c r="A808" s="66" t="s">
        <v>472</v>
      </c>
    </row>
    <row r="809" spans="1:1" x14ac:dyDescent="0.75">
      <c r="A809" s="26" t="s">
        <v>473</v>
      </c>
    </row>
    <row r="810" spans="1:1" x14ac:dyDescent="0.75">
      <c r="A810" s="25" t="s">
        <v>474</v>
      </c>
    </row>
    <row r="811" spans="1:1" x14ac:dyDescent="0.75">
      <c r="A811" s="25" t="s">
        <v>475</v>
      </c>
    </row>
    <row r="812" spans="1:1" x14ac:dyDescent="0.75">
      <c r="A812" s="26" t="s">
        <v>476</v>
      </c>
    </row>
    <row r="813" spans="1:1" x14ac:dyDescent="0.75">
      <c r="A813" s="25" t="s">
        <v>477</v>
      </c>
    </row>
    <row r="814" spans="1:1" x14ac:dyDescent="0.75">
      <c r="A814" s="26" t="s">
        <v>478</v>
      </c>
    </row>
    <row r="815" spans="1:1" x14ac:dyDescent="0.75">
      <c r="A815" s="25" t="s">
        <v>479</v>
      </c>
    </row>
    <row r="816" spans="1:1" x14ac:dyDescent="0.75">
      <c r="A816" s="26" t="s">
        <v>480</v>
      </c>
    </row>
    <row r="817" spans="1:1" x14ac:dyDescent="0.75">
      <c r="A817" s="25" t="s">
        <v>477</v>
      </c>
    </row>
    <row r="818" spans="1:1" x14ac:dyDescent="0.75">
      <c r="A818" s="26" t="s">
        <v>481</v>
      </c>
    </row>
    <row r="819" spans="1:1" x14ac:dyDescent="0.75">
      <c r="A819" s="25" t="s">
        <v>477</v>
      </c>
    </row>
    <row r="820" spans="1:1" x14ac:dyDescent="0.75">
      <c r="A820" s="46" t="s">
        <v>922</v>
      </c>
    </row>
  </sheetData>
  <mergeCells count="204">
    <mergeCell ref="E47:E49"/>
    <mergeCell ref="F47:F49"/>
    <mergeCell ref="G47:G49"/>
    <mergeCell ref="H47:H49"/>
    <mergeCell ref="K74:L74"/>
    <mergeCell ref="F121:G121"/>
    <mergeCell ref="L118:L121"/>
    <mergeCell ref="C9:D9"/>
    <mergeCell ref="G9:H9"/>
    <mergeCell ref="B29:E29"/>
    <mergeCell ref="F29:H29"/>
    <mergeCell ref="B47:B49"/>
    <mergeCell ref="C47:C49"/>
    <mergeCell ref="D47:D49"/>
    <mergeCell ref="C30:D30"/>
    <mergeCell ref="G30:H30"/>
    <mergeCell ref="C74:D74"/>
    <mergeCell ref="B93:E93"/>
    <mergeCell ref="F93:I93"/>
    <mergeCell ref="I118:J118"/>
    <mergeCell ref="I119:J119"/>
    <mergeCell ref="I120:J120"/>
    <mergeCell ref="E118:E121"/>
    <mergeCell ref="F118:G118"/>
    <mergeCell ref="F119:G119"/>
    <mergeCell ref="F120:G120"/>
    <mergeCell ref="G74:H74"/>
    <mergeCell ref="I121:J121"/>
    <mergeCell ref="J93:M93"/>
    <mergeCell ref="A118:A121"/>
    <mergeCell ref="B118:B121"/>
    <mergeCell ref="D118:D121"/>
    <mergeCell ref="U118:V118"/>
    <mergeCell ref="U119:V119"/>
    <mergeCell ref="U120:V120"/>
    <mergeCell ref="U121:V121"/>
    <mergeCell ref="M120:N120"/>
    <mergeCell ref="M121:N121"/>
    <mergeCell ref="O118:O121"/>
    <mergeCell ref="A289:A290"/>
    <mergeCell ref="B289:B290"/>
    <mergeCell ref="C289:D289"/>
    <mergeCell ref="C290:D290"/>
    <mergeCell ref="C180:D180"/>
    <mergeCell ref="G180:H180"/>
    <mergeCell ref="C288:G288"/>
    <mergeCell ref="E289:E290"/>
    <mergeCell ref="W118:W121"/>
    <mergeCell ref="P118:P121"/>
    <mergeCell ref="Q118:R118"/>
    <mergeCell ref="Q119:R119"/>
    <mergeCell ref="Q120:R120"/>
    <mergeCell ref="Q121:R121"/>
    <mergeCell ref="T118:T121"/>
    <mergeCell ref="S118:S121"/>
    <mergeCell ref="M118:N118"/>
    <mergeCell ref="M119:N119"/>
    <mergeCell ref="H289:H290"/>
    <mergeCell ref="I289:J289"/>
    <mergeCell ref="I290:J290"/>
    <mergeCell ref="K289:K290"/>
    <mergeCell ref="H118:H121"/>
    <mergeCell ref="K118:K121"/>
    <mergeCell ref="K180:L180"/>
    <mergeCell ref="I288:M288"/>
    <mergeCell ref="L289:M289"/>
    <mergeCell ref="L290:M290"/>
    <mergeCell ref="F289:G289"/>
    <mergeCell ref="F290:G290"/>
    <mergeCell ref="J390:K390"/>
    <mergeCell ref="H390:H391"/>
    <mergeCell ref="I390:I391"/>
    <mergeCell ref="M390:N390"/>
    <mergeCell ref="F358:G358"/>
    <mergeCell ref="C389:G389"/>
    <mergeCell ref="J389:N389"/>
    <mergeCell ref="A390:A391"/>
    <mergeCell ref="B390:B391"/>
    <mergeCell ref="C390:D390"/>
    <mergeCell ref="C391:D391"/>
    <mergeCell ref="E390:E391"/>
    <mergeCell ref="F391:G391"/>
    <mergeCell ref="C358:D358"/>
    <mergeCell ref="O390:O391"/>
    <mergeCell ref="C410:D410"/>
    <mergeCell ref="F410:G410"/>
    <mergeCell ref="C435:D435"/>
    <mergeCell ref="F435:G435"/>
    <mergeCell ref="M391:N391"/>
    <mergeCell ref="J391:K391"/>
    <mergeCell ref="L390:L391"/>
    <mergeCell ref="F390:G390"/>
    <mergeCell ref="C473:D473"/>
    <mergeCell ref="G473:H473"/>
    <mergeCell ref="K473:L473"/>
    <mergeCell ref="C497:D497"/>
    <mergeCell ref="G497:H497"/>
    <mergeCell ref="C457:D457"/>
    <mergeCell ref="G457:H457"/>
    <mergeCell ref="K457:L457"/>
    <mergeCell ref="B522:E522"/>
    <mergeCell ref="F522:I522"/>
    <mergeCell ref="A523:A524"/>
    <mergeCell ref="B523:B524"/>
    <mergeCell ref="C523:C524"/>
    <mergeCell ref="D523:D524"/>
    <mergeCell ref="E523:E524"/>
    <mergeCell ref="F523:F524"/>
    <mergeCell ref="G523:G524"/>
    <mergeCell ref="H523:H524"/>
    <mergeCell ref="I523:I524"/>
    <mergeCell ref="C525:D525"/>
    <mergeCell ref="G525:H525"/>
    <mergeCell ref="A547:A548"/>
    <mergeCell ref="B547:B548"/>
    <mergeCell ref="C547:D547"/>
    <mergeCell ref="C548:D548"/>
    <mergeCell ref="E547:E548"/>
    <mergeCell ref="F547:F548"/>
    <mergeCell ref="G547:G548"/>
    <mergeCell ref="B554:D554"/>
    <mergeCell ref="E554:F554"/>
    <mergeCell ref="G554:H554"/>
    <mergeCell ref="I554:K554"/>
    <mergeCell ref="H547:H548"/>
    <mergeCell ref="I547:I548"/>
    <mergeCell ref="J547:K547"/>
    <mergeCell ref="J548:K548"/>
    <mergeCell ref="C577:D577"/>
    <mergeCell ref="F577:G577"/>
    <mergeCell ref="I577:J577"/>
    <mergeCell ref="M640:P640"/>
    <mergeCell ref="A641:D641"/>
    <mergeCell ref="I641:I642"/>
    <mergeCell ref="J641:K641"/>
    <mergeCell ref="J642:K642"/>
    <mergeCell ref="L641:L642"/>
    <mergeCell ref="M641:M642"/>
    <mergeCell ref="N641:N642"/>
    <mergeCell ref="O641:P641"/>
    <mergeCell ref="O642:P642"/>
    <mergeCell ref="A610:A613"/>
    <mergeCell ref="B610:B613"/>
    <mergeCell ref="D610:D613"/>
    <mergeCell ref="E610:E613"/>
    <mergeCell ref="F610:G610"/>
    <mergeCell ref="F611:G611"/>
    <mergeCell ref="F612:G612"/>
    <mergeCell ref="C643:D643"/>
    <mergeCell ref="J643:K643"/>
    <mergeCell ref="A640:D640"/>
    <mergeCell ref="H640:K640"/>
    <mergeCell ref="F613:G613"/>
    <mergeCell ref="H610:H613"/>
    <mergeCell ref="J610:J613"/>
    <mergeCell ref="K610:L610"/>
    <mergeCell ref="K611:L611"/>
    <mergeCell ref="K612:L612"/>
    <mergeCell ref="K613:L613"/>
    <mergeCell ref="O643:P643"/>
    <mergeCell ref="A642:D642"/>
    <mergeCell ref="E641:E642"/>
    <mergeCell ref="F641:F642"/>
    <mergeCell ref="G641:G642"/>
    <mergeCell ref="A723:A724"/>
    <mergeCell ref="B723:B724"/>
    <mergeCell ref="C723:D723"/>
    <mergeCell ref="C724:D724"/>
    <mergeCell ref="E723:E724"/>
    <mergeCell ref="G723:H723"/>
    <mergeCell ref="G724:H724"/>
    <mergeCell ref="I723:I724"/>
    <mergeCell ref="J723:J724"/>
    <mergeCell ref="K723:L723"/>
    <mergeCell ref="K724:L724"/>
    <mergeCell ref="C676:D676"/>
    <mergeCell ref="G676:H676"/>
    <mergeCell ref="Q723:Q724"/>
    <mergeCell ref="B750:E750"/>
    <mergeCell ref="F750:I750"/>
    <mergeCell ref="J750:M750"/>
    <mergeCell ref="N750:Q750"/>
    <mergeCell ref="F723:F724"/>
    <mergeCell ref="M723:M724"/>
    <mergeCell ref="N723:N724"/>
    <mergeCell ref="O723:P723"/>
    <mergeCell ref="O724:P724"/>
    <mergeCell ref="K752:L752"/>
    <mergeCell ref="A751:A752"/>
    <mergeCell ref="B751:B752"/>
    <mergeCell ref="C751:D751"/>
    <mergeCell ref="C752:D752"/>
    <mergeCell ref="E751:E752"/>
    <mergeCell ref="F751:F752"/>
    <mergeCell ref="Q751:Q752"/>
    <mergeCell ref="G751:H751"/>
    <mergeCell ref="G752:H752"/>
    <mergeCell ref="I751:I752"/>
    <mergeCell ref="J751:J752"/>
    <mergeCell ref="K751:L751"/>
    <mergeCell ref="M751:M752"/>
    <mergeCell ref="N751:N752"/>
    <mergeCell ref="O751:P751"/>
    <mergeCell ref="O752:P752"/>
  </mergeCells>
  <phoneticPr fontId="28" type="noConversion"/>
  <hyperlinks>
    <hyperlink ref="A66" location="D10K_HTM_TOC" display="D10K_HTM_TOC" xr:uid="{18E589B5-DC1F-42B4-B5B1-5021B97ADB0E}"/>
    <hyperlink ref="A110" location="D10K_HTM_TOC" display="D10K_HTM_TOC" xr:uid="{8CFAFF94-DAFE-48A2-94AA-89B63E16FEED}"/>
    <hyperlink ref="A172" location="D10K_HTM_TOC" display="D10K_HTM_TOC" xr:uid="{EC09C2AA-FBEE-4583-B4C9-466FB0AAD540}"/>
    <hyperlink ref="A263" location="D10K_HTM_TOC" display="D10K_HTM_TOC" xr:uid="{0D158E22-8769-4327-B1E8-11C4C23912F8}"/>
    <hyperlink ref="A283" location="D10K_HTM_TOC" display="D10K_HTM_TOC" xr:uid="{3B2D92C7-1A56-43A6-9099-EAA623A83BF8}"/>
    <hyperlink ref="A310" location="D10K_HTM_TOC" display="D10K_HTM_TOC" xr:uid="{2A8BF729-4D8B-4860-A047-30992ABD1B47}"/>
    <hyperlink ref="A327" location="D10K_HTM_TOC" display="D10K_HTM_TOC" xr:uid="{A0E2D49F-38A7-49DC-89D0-35CB9F96FA06}"/>
    <hyperlink ref="A348" location="D10K_HTM_TOC" display="D10K_HTM_TOC" xr:uid="{AB1CDB62-6841-40CD-BF9D-69F9EA2E69E9}"/>
    <hyperlink ref="A375" location="D10K_HTM_TOC" display="D10K_HTM_TOC" xr:uid="{9F9581DE-5BA2-45B3-89C5-A047FC3CF397}"/>
    <hyperlink ref="A404" location="D10K_HTM_TOC" display="D10K_HTM_TOC" xr:uid="{38308517-28A6-4E6B-A16E-994DC3E4CA38}"/>
    <hyperlink ref="A430" location="D10K_HTM_TOC" display="D10K_HTM_TOC" xr:uid="{77240850-49AD-4A1D-8994-9EC3CF6D1F08}"/>
    <hyperlink ref="A492" location="D10K_HTM_TOC" display="D10K_HTM_TOC" xr:uid="{C9C35FC5-A223-41E5-B984-997B407DFC2C}"/>
    <hyperlink ref="A540" location="D10K_HTM_TOC" display="D10K_HTM_TOC" xr:uid="{50A0A9E2-1475-420C-BEFB-414E1816C7A2}"/>
    <hyperlink ref="A572" location="D10K_HTM_TOC" display="D10K_HTM_TOC" xr:uid="{3E04F49C-8C6A-44B7-98D5-CF5F211B05D4}"/>
    <hyperlink ref="A605" location="D10K_HTM_TOC" display="D10K_HTM_TOC" xr:uid="{504B5D3C-D21E-4B3F-B1F0-99272E8648E3}"/>
    <hyperlink ref="A660" location="D10K_HTM_TOC" display="D10K_HTM_TOC" xr:uid="{0ACCDC37-D215-47B9-90C9-43C104C61F0E}"/>
    <hyperlink ref="A703" location="D10K_HTM_TOC" display="D10K_HTM_TOC" xr:uid="{C5E3990C-F4B1-4E55-9923-464577B7AAA8}"/>
    <hyperlink ref="A718" location="D10K_HTM_TOC" display="D10K_HTM_TOC" xr:uid="{56A3D150-C8F2-40D6-8B09-EDF47A327E03}"/>
    <hyperlink ref="A787" location="D10K_HTM_TOC" display="D10K_HTM_TOC" xr:uid="{D1035D8E-3307-425B-B770-D7824E59AD84}"/>
    <hyperlink ref="A806" location="D10K_HTM_TOC" display="D10K_HTM_TOC" xr:uid="{E561D64F-1991-4C96-9923-6016D981EF2A}"/>
    <hyperlink ref="B1" r:id="rId1" xr:uid="{4A4436B6-1ADE-4B5B-8BFB-0304E32DABFC}"/>
    <hyperlink ref="A1" r:id="rId2" xr:uid="{8FF29CC7-1BC4-4F6A-8188-4D88005A3832}"/>
  </hyperlinks>
  <printOptions horizontalCentered="1"/>
  <pageMargins left="0.7" right="0.7" top="0.75" bottom="0.75" header="0.3" footer="0.3"/>
  <pageSetup scale="37" fitToHeight="0" orientation="landscape" r:id="rId3"/>
  <headerFooter>
    <oddHeader>&amp;L&amp;F&amp;C&amp;A&amp;RPage &amp;P of &amp;N</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98CD9-C4E7-48BB-BE66-38D37BE8FA12}">
  <sheetPr codeName="Sheet37">
    <tabColor rgb="FF00FF00"/>
    <pageSetUpPr fitToPage="1"/>
  </sheetPr>
  <dimension ref="A1:C40"/>
  <sheetViews>
    <sheetView zoomScale="85" zoomScaleNormal="85" workbookViewId="0"/>
  </sheetViews>
  <sheetFormatPr defaultRowHeight="14.75" x14ac:dyDescent="0.75"/>
  <cols>
    <col min="1" max="1" width="4" bestFit="1" customWidth="1"/>
    <col min="2" max="2" width="137.86328125" bestFit="1" customWidth="1"/>
  </cols>
  <sheetData>
    <row r="1" spans="1:3" ht="21" x14ac:dyDescent="1">
      <c r="B1" s="116" t="s">
        <v>635</v>
      </c>
    </row>
    <row r="2" spans="1:3" x14ac:dyDescent="0.75">
      <c r="A2" s="173" t="s">
        <v>641</v>
      </c>
      <c r="B2" s="2" t="s">
        <v>633</v>
      </c>
      <c r="C2" s="173"/>
    </row>
    <row r="3" spans="1:3" x14ac:dyDescent="0.75">
      <c r="B3" s="98" t="s">
        <v>625</v>
      </c>
    </row>
    <row r="4" spans="1:3" x14ac:dyDescent="0.75">
      <c r="A4" s="173" t="s">
        <v>641</v>
      </c>
      <c r="B4" s="98" t="s">
        <v>626</v>
      </c>
      <c r="C4" s="173"/>
    </row>
    <row r="5" spans="1:3" x14ac:dyDescent="0.75">
      <c r="B5" s="98" t="s">
        <v>627</v>
      </c>
    </row>
    <row r="6" spans="1:3" x14ac:dyDescent="0.75">
      <c r="B6" s="97"/>
    </row>
    <row r="7" spans="1:3" ht="21" x14ac:dyDescent="1">
      <c r="B7" s="116" t="s">
        <v>634</v>
      </c>
    </row>
    <row r="8" spans="1:3" x14ac:dyDescent="0.75">
      <c r="B8" s="2" t="s">
        <v>628</v>
      </c>
    </row>
    <row r="9" spans="1:3" x14ac:dyDescent="0.75">
      <c r="B9" s="98" t="s">
        <v>632</v>
      </c>
    </row>
    <row r="10" spans="1:3" x14ac:dyDescent="0.75">
      <c r="B10" s="98" t="s">
        <v>629</v>
      </c>
    </row>
    <row r="11" spans="1:3" x14ac:dyDescent="0.75">
      <c r="B11" s="115" t="s">
        <v>630</v>
      </c>
    </row>
    <row r="12" spans="1:3" x14ac:dyDescent="0.75">
      <c r="B12" s="115" t="s">
        <v>631</v>
      </c>
    </row>
    <row r="13" spans="1:3" x14ac:dyDescent="0.75">
      <c r="B13" s="98" t="s">
        <v>636</v>
      </c>
    </row>
    <row r="14" spans="1:3" x14ac:dyDescent="0.75">
      <c r="A14" s="173" t="s">
        <v>641</v>
      </c>
      <c r="B14" s="115" t="s">
        <v>637</v>
      </c>
      <c r="C14" s="173"/>
    </row>
    <row r="15" spans="1:3" x14ac:dyDescent="0.75">
      <c r="B15" s="115" t="s">
        <v>638</v>
      </c>
    </row>
    <row r="16" spans="1:3" x14ac:dyDescent="0.75">
      <c r="B16" s="115" t="s">
        <v>639</v>
      </c>
    </row>
    <row r="18" spans="2:2" ht="21" x14ac:dyDescent="1">
      <c r="B18" s="116" t="s">
        <v>642</v>
      </c>
    </row>
    <row r="19" spans="2:2" x14ac:dyDescent="0.75">
      <c r="B19" s="2" t="s">
        <v>643</v>
      </c>
    </row>
    <row r="20" spans="2:2" x14ac:dyDescent="0.75">
      <c r="B20" s="98" t="s">
        <v>644</v>
      </c>
    </row>
    <row r="21" spans="2:2" x14ac:dyDescent="0.75">
      <c r="B21" s="2" t="s">
        <v>645</v>
      </c>
    </row>
    <row r="22" spans="2:2" x14ac:dyDescent="0.75">
      <c r="B22" s="98" t="s">
        <v>646</v>
      </c>
    </row>
    <row r="23" spans="2:2" x14ac:dyDescent="0.75">
      <c r="B23" s="2" t="s">
        <v>647</v>
      </c>
    </row>
    <row r="24" spans="2:2" x14ac:dyDescent="0.75">
      <c r="B24" s="98" t="s">
        <v>648</v>
      </c>
    </row>
    <row r="25" spans="2:2" x14ac:dyDescent="0.75">
      <c r="B25" s="2" t="s">
        <v>649</v>
      </c>
    </row>
    <row r="26" spans="2:2" x14ac:dyDescent="0.75">
      <c r="B26" s="98" t="s">
        <v>650</v>
      </c>
    </row>
    <row r="27" spans="2:2" x14ac:dyDescent="0.75">
      <c r="B27" s="2" t="s">
        <v>651</v>
      </c>
    </row>
    <row r="28" spans="2:2" x14ac:dyDescent="0.75">
      <c r="B28" s="98" t="s">
        <v>652</v>
      </c>
    </row>
    <row r="29" spans="2:2" x14ac:dyDescent="0.75">
      <c r="B29" s="2" t="s">
        <v>653</v>
      </c>
    </row>
    <row r="31" spans="2:2" ht="21" x14ac:dyDescent="1">
      <c r="B31" s="116" t="s">
        <v>654</v>
      </c>
    </row>
    <row r="32" spans="2:2" x14ac:dyDescent="0.75">
      <c r="B32" s="2" t="s">
        <v>655</v>
      </c>
    </row>
    <row r="33" spans="2:2" x14ac:dyDescent="0.75">
      <c r="B33" s="115" t="s">
        <v>656</v>
      </c>
    </row>
    <row r="34" spans="2:2" x14ac:dyDescent="0.75">
      <c r="B34" s="2" t="s">
        <v>657</v>
      </c>
    </row>
    <row r="35" spans="2:2" x14ac:dyDescent="0.75">
      <c r="B35" s="2" t="s">
        <v>658</v>
      </c>
    </row>
    <row r="36" spans="2:2" x14ac:dyDescent="0.75">
      <c r="B36" s="2" t="s">
        <v>659</v>
      </c>
    </row>
    <row r="37" spans="2:2" x14ac:dyDescent="0.75">
      <c r="B37" s="2" t="s">
        <v>660</v>
      </c>
    </row>
    <row r="38" spans="2:2" x14ac:dyDescent="0.75">
      <c r="B38" s="115" t="s">
        <v>661</v>
      </c>
    </row>
    <row r="39" spans="2:2" x14ac:dyDescent="0.75">
      <c r="B39" s="2" t="s">
        <v>662</v>
      </c>
    </row>
    <row r="40" spans="2:2" x14ac:dyDescent="0.75">
      <c r="B40" s="2" t="s">
        <v>663</v>
      </c>
    </row>
  </sheetData>
  <phoneticPr fontId="28" type="noConversion"/>
  <conditionalFormatting sqref="B2:B5 B8:B16">
    <cfRule type="expression" dxfId="16" priority="3" stopIfTrue="1">
      <formula>MOD(ROW(),2)</formula>
    </cfRule>
  </conditionalFormatting>
  <conditionalFormatting sqref="B19:B29">
    <cfRule type="expression" dxfId="15" priority="2" stopIfTrue="1">
      <formula>MOD(ROW(),2)</formula>
    </cfRule>
  </conditionalFormatting>
  <conditionalFormatting sqref="B32:B40">
    <cfRule type="expression" dxfId="14" priority="1" stopIfTrue="1">
      <formula>MOD(ROW(),2)</formula>
    </cfRule>
  </conditionalFormatting>
  <printOptions horizontalCentered="1"/>
  <pageMargins left="0.7" right="0.7" top="0.75" bottom="0.75" header="0.3" footer="0.3"/>
  <pageSetup scale="90" fitToHeight="0" orientation="landscape" r:id="rId1"/>
  <headerFooter>
    <oddHeader>&amp;L&amp;F&amp;C&amp;A&amp;RPage &amp;P of &amp;N</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F7E3D3-4F5C-4493-B486-AE35A148C84C}">
  <sheetPr codeName="Sheet38">
    <tabColor rgb="FF00FF00"/>
    <pageSetUpPr fitToPage="1"/>
  </sheetPr>
  <dimension ref="A1:A39"/>
  <sheetViews>
    <sheetView workbookViewId="0"/>
  </sheetViews>
  <sheetFormatPr defaultRowHeight="14.75" x14ac:dyDescent="0.75"/>
  <cols>
    <col min="1" max="1" width="119.76953125" bestFit="1" customWidth="1"/>
  </cols>
  <sheetData>
    <row r="1" spans="1:1" ht="21" x14ac:dyDescent="1">
      <c r="A1" s="116" t="s">
        <v>10</v>
      </c>
    </row>
    <row r="2" spans="1:1" x14ac:dyDescent="0.75">
      <c r="A2" s="2" t="s">
        <v>11</v>
      </c>
    </row>
    <row r="3" spans="1:1" x14ac:dyDescent="0.75">
      <c r="A3" s="2" t="s">
        <v>12</v>
      </c>
    </row>
    <row r="5" spans="1:1" ht="21" x14ac:dyDescent="1">
      <c r="A5" s="116" t="s">
        <v>673</v>
      </c>
    </row>
    <row r="6" spans="1:1" x14ac:dyDescent="0.75">
      <c r="A6" s="2" t="s">
        <v>674</v>
      </c>
    </row>
    <row r="7" spans="1:1" x14ac:dyDescent="0.75">
      <c r="A7" s="118" t="s">
        <v>222</v>
      </c>
    </row>
    <row r="8" spans="1:1" x14ac:dyDescent="0.75">
      <c r="A8" s="98" t="s">
        <v>675</v>
      </c>
    </row>
    <row r="9" spans="1:1" x14ac:dyDescent="0.75">
      <c r="A9" s="98" t="s">
        <v>676</v>
      </c>
    </row>
    <row r="10" spans="1:1" x14ac:dyDescent="0.75">
      <c r="A10" s="98" t="s">
        <v>677</v>
      </c>
    </row>
    <row r="11" spans="1:1" x14ac:dyDescent="0.75">
      <c r="A11" s="98" t="s">
        <v>678</v>
      </c>
    </row>
    <row r="12" spans="1:1" x14ac:dyDescent="0.75">
      <c r="A12" s="98" t="s">
        <v>679</v>
      </c>
    </row>
    <row r="13" spans="1:1" x14ac:dyDescent="0.75">
      <c r="A13" s="98" t="s">
        <v>680</v>
      </c>
    </row>
    <row r="14" spans="1:1" x14ac:dyDescent="0.75">
      <c r="A14" s="98" t="s">
        <v>683</v>
      </c>
    </row>
    <row r="15" spans="1:1" x14ac:dyDescent="0.75">
      <c r="A15" s="98" t="s">
        <v>684</v>
      </c>
    </row>
    <row r="16" spans="1:1" x14ac:dyDescent="0.75">
      <c r="A16" s="115" t="s">
        <v>265</v>
      </c>
    </row>
    <row r="17" spans="1:1" x14ac:dyDescent="0.75">
      <c r="A17" s="98" t="s">
        <v>681</v>
      </c>
    </row>
    <row r="18" spans="1:1" x14ac:dyDescent="0.75">
      <c r="A18" s="98" t="s">
        <v>682</v>
      </c>
    </row>
    <row r="19" spans="1:1" x14ac:dyDescent="0.75">
      <c r="A19" s="98" t="s">
        <v>685</v>
      </c>
    </row>
    <row r="21" spans="1:1" ht="21" x14ac:dyDescent="1">
      <c r="A21" s="116" t="s">
        <v>686</v>
      </c>
    </row>
    <row r="22" spans="1:1" x14ac:dyDescent="0.75">
      <c r="A22" s="2" t="s">
        <v>687</v>
      </c>
    </row>
    <row r="23" spans="1:1" x14ac:dyDescent="0.75">
      <c r="A23" s="2" t="s">
        <v>688</v>
      </c>
    </row>
    <row r="24" spans="1:1" x14ac:dyDescent="0.75">
      <c r="A24" s="115" t="s">
        <v>689</v>
      </c>
    </row>
    <row r="25" spans="1:1" x14ac:dyDescent="0.75">
      <c r="A25" s="115" t="s">
        <v>690</v>
      </c>
    </row>
    <row r="26" spans="1:1" x14ac:dyDescent="0.75">
      <c r="A26" s="115" t="s">
        <v>691</v>
      </c>
    </row>
    <row r="27" spans="1:1" x14ac:dyDescent="0.75">
      <c r="A27" s="2" t="s">
        <v>692</v>
      </c>
    </row>
    <row r="28" spans="1:1" x14ac:dyDescent="0.75">
      <c r="A28" s="2" t="s">
        <v>693</v>
      </c>
    </row>
    <row r="29" spans="1:1" x14ac:dyDescent="0.75">
      <c r="A29" s="115" t="s">
        <v>694</v>
      </c>
    </row>
    <row r="31" spans="1:1" ht="21" x14ac:dyDescent="1">
      <c r="A31" s="116" t="s">
        <v>0</v>
      </c>
    </row>
    <row r="32" spans="1:1" x14ac:dyDescent="0.75">
      <c r="A32" s="2" t="s">
        <v>1</v>
      </c>
    </row>
    <row r="34" spans="1:1" ht="21" x14ac:dyDescent="1">
      <c r="A34" s="116" t="s">
        <v>3</v>
      </c>
    </row>
    <row r="35" spans="1:1" x14ac:dyDescent="0.75">
      <c r="A35" s="2" t="s">
        <v>673</v>
      </c>
    </row>
    <row r="36" spans="1:1" x14ac:dyDescent="0.75">
      <c r="A36" s="2" t="s">
        <v>2</v>
      </c>
    </row>
    <row r="37" spans="1:1" x14ac:dyDescent="0.75">
      <c r="A37" s="2" t="s">
        <v>0</v>
      </c>
    </row>
    <row r="38" spans="1:1" x14ac:dyDescent="0.75">
      <c r="A38" s="115" t="s">
        <v>219</v>
      </c>
    </row>
    <row r="39" spans="1:1" x14ac:dyDescent="0.75">
      <c r="A39" s="115" t="s">
        <v>220</v>
      </c>
    </row>
  </sheetData>
  <phoneticPr fontId="28" type="noConversion"/>
  <conditionalFormatting sqref="A2:A3">
    <cfRule type="expression" dxfId="13" priority="1" stopIfTrue="1">
      <formula>MOD(ROW(),2)</formula>
    </cfRule>
  </conditionalFormatting>
  <conditionalFormatting sqref="A6:A19 A22:A29 A32">
    <cfRule type="expression" dxfId="12" priority="5" stopIfTrue="1">
      <formula>MOD(ROW(),2)</formula>
    </cfRule>
  </conditionalFormatting>
  <conditionalFormatting sqref="A35:A39">
    <cfRule type="expression" dxfId="11" priority="2" stopIfTrue="1">
      <formula>MOD(ROW(),2)</formula>
    </cfRule>
  </conditionalFormatting>
  <printOptions horizontalCentered="1"/>
  <pageMargins left="0.7" right="0.7" top="0.75" bottom="0.75" header="0.3" footer="0.3"/>
  <pageSetup fitToHeight="0" orientation="landscape" r:id="rId1"/>
  <headerFooter>
    <oddHeader>&amp;L&amp;F&amp;C&amp;A&amp;RPage &amp;P of &amp;N</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788A60-B7F0-47C9-805F-AA8C6882BF60}">
  <sheetPr codeName="Sheet39">
    <tabColor rgb="FF00FF00"/>
    <pageSetUpPr fitToPage="1"/>
  </sheetPr>
  <dimension ref="A1:A31"/>
  <sheetViews>
    <sheetView workbookViewId="0"/>
  </sheetViews>
  <sheetFormatPr defaultRowHeight="14.75" x14ac:dyDescent="0.75"/>
  <cols>
    <col min="1" max="1" width="94.2265625" bestFit="1" customWidth="1"/>
  </cols>
  <sheetData>
    <row r="1" spans="1:1" ht="21" x14ac:dyDescent="1">
      <c r="A1" s="116" t="s">
        <v>4</v>
      </c>
    </row>
    <row r="2" spans="1:1" x14ac:dyDescent="0.75">
      <c r="A2" s="2" t="s">
        <v>5</v>
      </c>
    </row>
    <row r="3" spans="1:1" x14ac:dyDescent="0.75">
      <c r="A3" s="115" t="s">
        <v>6</v>
      </c>
    </row>
    <row r="4" spans="1:1" x14ac:dyDescent="0.75">
      <c r="A4" s="115" t="s">
        <v>7</v>
      </c>
    </row>
    <row r="5" spans="1:1" x14ac:dyDescent="0.75">
      <c r="A5" s="118" t="s">
        <v>8</v>
      </c>
    </row>
    <row r="6" spans="1:1" x14ac:dyDescent="0.75">
      <c r="A6" s="118" t="s">
        <v>9</v>
      </c>
    </row>
    <row r="7" spans="1:1" x14ac:dyDescent="0.75">
      <c r="A7" s="118" t="s">
        <v>27</v>
      </c>
    </row>
    <row r="8" spans="1:1" x14ac:dyDescent="0.75">
      <c r="A8" s="98" t="s">
        <v>14</v>
      </c>
    </row>
    <row r="9" spans="1:1" x14ac:dyDescent="0.75">
      <c r="A9" s="98" t="s">
        <v>15</v>
      </c>
    </row>
    <row r="10" spans="1:1" x14ac:dyDescent="0.75">
      <c r="A10" s="98" t="s">
        <v>16</v>
      </c>
    </row>
    <row r="12" spans="1:1" ht="21" x14ac:dyDescent="1">
      <c r="A12" s="116" t="s">
        <v>17</v>
      </c>
    </row>
    <row r="13" spans="1:1" x14ac:dyDescent="0.75">
      <c r="A13" s="118" t="s">
        <v>18</v>
      </c>
    </row>
    <row r="14" spans="1:1" x14ac:dyDescent="0.75">
      <c r="A14" s="115" t="s">
        <v>19</v>
      </c>
    </row>
    <row r="15" spans="1:1" x14ac:dyDescent="0.75">
      <c r="A15" s="115" t="s">
        <v>20</v>
      </c>
    </row>
    <row r="17" spans="1:1" ht="21" x14ac:dyDescent="1">
      <c r="A17" s="116" t="s">
        <v>21</v>
      </c>
    </row>
    <row r="18" spans="1:1" x14ac:dyDescent="0.75">
      <c r="A18" s="118" t="s">
        <v>22</v>
      </c>
    </row>
    <row r="19" spans="1:1" x14ac:dyDescent="0.75">
      <c r="A19" s="115" t="s">
        <v>23</v>
      </c>
    </row>
    <row r="21" spans="1:1" ht="21" x14ac:dyDescent="1">
      <c r="A21" s="116" t="s">
        <v>24</v>
      </c>
    </row>
    <row r="22" spans="1:1" x14ac:dyDescent="0.75">
      <c r="A22" s="115" t="s">
        <v>25</v>
      </c>
    </row>
    <row r="23" spans="1:1" x14ac:dyDescent="0.75">
      <c r="A23" s="115" t="s">
        <v>26</v>
      </c>
    </row>
    <row r="25" spans="1:1" ht="21" x14ac:dyDescent="1">
      <c r="A25" s="116" t="s">
        <v>42</v>
      </c>
    </row>
    <row r="26" spans="1:1" x14ac:dyDescent="0.75">
      <c r="A26" s="98" t="s">
        <v>43</v>
      </c>
    </row>
    <row r="27" spans="1:1" x14ac:dyDescent="0.75">
      <c r="A27" s="98" t="s">
        <v>221</v>
      </c>
    </row>
    <row r="29" spans="1:1" ht="21" x14ac:dyDescent="1">
      <c r="A29" s="116" t="s">
        <v>39</v>
      </c>
    </row>
    <row r="30" spans="1:1" x14ac:dyDescent="0.75">
      <c r="A30" s="98" t="s">
        <v>40</v>
      </c>
    </row>
    <row r="31" spans="1:1" x14ac:dyDescent="0.75">
      <c r="A31" s="98" t="s">
        <v>41</v>
      </c>
    </row>
  </sheetData>
  <phoneticPr fontId="28" type="noConversion"/>
  <conditionalFormatting sqref="A2:A10 A13:A15 A18:A19 A22:A23 A26:A27">
    <cfRule type="expression" dxfId="10" priority="2" stopIfTrue="1">
      <formula>MOD(ROW(),2)</formula>
    </cfRule>
  </conditionalFormatting>
  <conditionalFormatting sqref="A30:A31">
    <cfRule type="expression" dxfId="9" priority="1" stopIfTrue="1">
      <formula>MOD(ROW(),2)</formula>
    </cfRule>
  </conditionalFormatting>
  <printOptions horizontalCentered="1"/>
  <pageMargins left="0.7" right="0.7" top="0.75" bottom="0.75" header="0.3" footer="0.3"/>
  <pageSetup fitToHeight="0" orientation="landscape" r:id="rId1"/>
  <headerFooter>
    <oddHeader>&amp;L&amp;F&amp;C&amp;A&amp;RPage &amp;P of &amp;N</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342FD7-CE43-405D-B460-A264F7FD4140}">
  <sheetPr codeName="Sheet40">
    <tabColor rgb="FF00FF00"/>
    <pageSetUpPr fitToPage="1"/>
  </sheetPr>
  <dimension ref="A1:N5"/>
  <sheetViews>
    <sheetView workbookViewId="0"/>
  </sheetViews>
  <sheetFormatPr defaultRowHeight="14.75" x14ac:dyDescent="0.75"/>
  <sheetData>
    <row r="1" spans="1:14" ht="26" thickBot="1" x14ac:dyDescent="1.2">
      <c r="A1" s="119"/>
      <c r="B1" s="120"/>
      <c r="C1" s="121"/>
      <c r="D1" s="121" t="s">
        <v>514</v>
      </c>
      <c r="E1" s="121"/>
      <c r="F1" s="122" t="s">
        <v>28</v>
      </c>
      <c r="G1" s="122"/>
      <c r="H1" s="123"/>
      <c r="I1" s="122"/>
      <c r="J1" s="122"/>
      <c r="K1" s="122"/>
      <c r="L1" s="120" t="s">
        <v>29</v>
      </c>
      <c r="M1" s="121"/>
      <c r="N1" s="124"/>
    </row>
    <row r="2" spans="1:14" ht="45" thickBot="1" x14ac:dyDescent="0.9">
      <c r="A2" s="125" t="s">
        <v>30</v>
      </c>
      <c r="B2" s="126">
        <f>D2</f>
        <v>0.2</v>
      </c>
      <c r="C2" s="127" t="s">
        <v>491</v>
      </c>
      <c r="D2" s="128">
        <v>0.2</v>
      </c>
      <c r="E2" s="129" t="s">
        <v>31</v>
      </c>
      <c r="F2" s="128" t="s">
        <v>32</v>
      </c>
      <c r="G2" s="127" t="s">
        <v>491</v>
      </c>
      <c r="H2" s="130">
        <v>0.25</v>
      </c>
      <c r="I2" s="127" t="s">
        <v>491</v>
      </c>
      <c r="J2" s="126">
        <f>H2</f>
        <v>0.25</v>
      </c>
      <c r="K2" s="129" t="s">
        <v>31</v>
      </c>
      <c r="L2" s="131">
        <v>1.25</v>
      </c>
      <c r="M2" s="127" t="s">
        <v>491</v>
      </c>
      <c r="N2" s="132">
        <f>L2</f>
        <v>1.25</v>
      </c>
    </row>
    <row r="3" spans="1:14" ht="45" thickBot="1" x14ac:dyDescent="0.9">
      <c r="A3" s="125" t="s">
        <v>30</v>
      </c>
      <c r="B3" s="126">
        <f>LEFT(D3,3)/RIGHT(D3,2)</f>
        <v>0.25</v>
      </c>
      <c r="C3" s="127" t="s">
        <v>491</v>
      </c>
      <c r="D3" s="133" t="s">
        <v>33</v>
      </c>
      <c r="E3" s="129" t="s">
        <v>31</v>
      </c>
      <c r="F3" s="128" t="s">
        <v>34</v>
      </c>
      <c r="G3" s="127" t="s">
        <v>491</v>
      </c>
      <c r="H3" s="127" t="s">
        <v>35</v>
      </c>
      <c r="I3" s="127" t="s">
        <v>491</v>
      </c>
      <c r="J3" s="126">
        <f>2.5/7.5</f>
        <v>0.33333333333333331</v>
      </c>
      <c r="K3" s="129" t="s">
        <v>31</v>
      </c>
      <c r="L3" s="131" t="s">
        <v>36</v>
      </c>
      <c r="M3" s="127" t="s">
        <v>491</v>
      </c>
      <c r="N3" s="132">
        <f>10/7.5</f>
        <v>1.3333333333333333</v>
      </c>
    </row>
    <row r="4" spans="1:14" ht="45" thickBot="1" x14ac:dyDescent="0.9">
      <c r="A4" s="125" t="s">
        <v>30</v>
      </c>
      <c r="B4" s="126">
        <f>D4</f>
        <v>0.5</v>
      </c>
      <c r="C4" s="127" t="s">
        <v>491</v>
      </c>
      <c r="D4" s="128">
        <v>0.5</v>
      </c>
      <c r="E4" s="129" t="s">
        <v>31</v>
      </c>
      <c r="F4" s="128" t="s">
        <v>37</v>
      </c>
      <c r="G4" s="127" t="s">
        <v>491</v>
      </c>
      <c r="H4" s="134">
        <f>5/5</f>
        <v>1</v>
      </c>
      <c r="I4" s="127" t="s">
        <v>491</v>
      </c>
      <c r="J4" s="135">
        <f>H4</f>
        <v>1</v>
      </c>
      <c r="K4" s="129" t="s">
        <v>31</v>
      </c>
      <c r="L4" s="136">
        <f>1/D4</f>
        <v>2</v>
      </c>
      <c r="M4" s="127" t="s">
        <v>491</v>
      </c>
      <c r="N4" s="132">
        <f>L4</f>
        <v>2</v>
      </c>
    </row>
    <row r="5" spans="1:14" ht="45" thickBot="1" x14ac:dyDescent="0.9">
      <c r="A5" s="137" t="s">
        <v>30</v>
      </c>
      <c r="B5" s="126">
        <f>D5</f>
        <v>0.8</v>
      </c>
      <c r="C5" s="138" t="s">
        <v>491</v>
      </c>
      <c r="D5" s="139">
        <v>0.8</v>
      </c>
      <c r="E5" s="140" t="s">
        <v>31</v>
      </c>
      <c r="F5" s="139" t="s">
        <v>38</v>
      </c>
      <c r="G5" s="138" t="s">
        <v>491</v>
      </c>
      <c r="H5" s="141">
        <f>8/(10-8)</f>
        <v>4</v>
      </c>
      <c r="I5" s="138" t="s">
        <v>491</v>
      </c>
      <c r="J5" s="142">
        <f>H5</f>
        <v>4</v>
      </c>
      <c r="K5" s="140" t="s">
        <v>31</v>
      </c>
      <c r="L5" s="143">
        <v>5</v>
      </c>
      <c r="M5" s="138" t="s">
        <v>491</v>
      </c>
      <c r="N5" s="132">
        <f>L5</f>
        <v>5</v>
      </c>
    </row>
  </sheetData>
  <phoneticPr fontId="28" type="noConversion"/>
  <printOptions horizontalCentered="1"/>
  <pageMargins left="0.7" right="0.7" top="0.75" bottom="0.75" header="0.3" footer="0.3"/>
  <pageSetup scale="95" fitToHeight="0" orientation="landscape" r:id="rId1"/>
  <headerFooter>
    <oddHeader>&amp;L&amp;F&amp;C&amp;A&amp;RPage &amp;P of &amp;N</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4D9668-F425-4697-9670-4D4A5A8B43B7}">
  <sheetPr codeName="Sheet41">
    <tabColor rgb="FF00FF00"/>
    <pageSetUpPr fitToPage="1"/>
  </sheetPr>
  <dimension ref="A1:J40"/>
  <sheetViews>
    <sheetView topLeftCell="B1" zoomScale="70" zoomScaleNormal="70" workbookViewId="0"/>
  </sheetViews>
  <sheetFormatPr defaultRowHeight="14.75" x14ac:dyDescent="0.75"/>
  <cols>
    <col min="1" max="1" width="136.2265625" style="1" bestFit="1" customWidth="1"/>
    <col min="4" max="4" width="9.86328125" bestFit="1" customWidth="1"/>
    <col min="7" max="7" width="10.86328125" bestFit="1" customWidth="1"/>
    <col min="10" max="10" width="12" bestFit="1" customWidth="1"/>
  </cols>
  <sheetData>
    <row r="1" spans="1:10" ht="21" x14ac:dyDescent="1">
      <c r="A1" s="96" t="s">
        <v>81</v>
      </c>
      <c r="C1" s="2" t="s">
        <v>546</v>
      </c>
      <c r="D1" s="78">
        <v>5000</v>
      </c>
      <c r="F1" s="2" t="s">
        <v>72</v>
      </c>
      <c r="G1" s="78">
        <v>10000</v>
      </c>
      <c r="I1" s="2" t="s">
        <v>546</v>
      </c>
      <c r="J1" s="78">
        <v>5600</v>
      </c>
    </row>
    <row r="2" spans="1:10" x14ac:dyDescent="0.75">
      <c r="A2" s="79" t="s">
        <v>82</v>
      </c>
      <c r="C2" s="2" t="s">
        <v>73</v>
      </c>
      <c r="D2" s="78">
        <v>1000</v>
      </c>
      <c r="F2" s="2" t="s">
        <v>74</v>
      </c>
      <c r="G2" s="78">
        <v>1000</v>
      </c>
      <c r="I2" s="2" t="s">
        <v>75</v>
      </c>
      <c r="J2" s="78">
        <v>800</v>
      </c>
    </row>
    <row r="3" spans="1:10" x14ac:dyDescent="0.75">
      <c r="C3" s="2" t="str">
        <f>C1&amp;"/"&amp;C2</f>
        <v>COGS/INV.</v>
      </c>
      <c r="D3" s="2">
        <f>D1/D2</f>
        <v>5</v>
      </c>
      <c r="F3" s="2" t="str">
        <f>F1&amp;"/"&amp;F2</f>
        <v>Sales/AR</v>
      </c>
      <c r="G3" s="2">
        <f>G1/G2</f>
        <v>10</v>
      </c>
      <c r="I3" s="2" t="str">
        <f>I1&amp;"/"&amp;I2</f>
        <v>COGS/AP</v>
      </c>
      <c r="J3" s="2">
        <f>J1/J2</f>
        <v>7</v>
      </c>
    </row>
    <row r="4" spans="1:10" ht="21" x14ac:dyDescent="1">
      <c r="A4" s="96" t="s">
        <v>44</v>
      </c>
      <c r="C4" s="2"/>
      <c r="D4" s="2">
        <v>365</v>
      </c>
      <c r="F4" s="2"/>
      <c r="G4" s="2">
        <v>365</v>
      </c>
      <c r="I4" s="2"/>
      <c r="J4" s="2">
        <v>365</v>
      </c>
    </row>
    <row r="5" spans="1:10" x14ac:dyDescent="0.75">
      <c r="A5" s="79" t="s">
        <v>45</v>
      </c>
      <c r="C5" s="2" t="s">
        <v>76</v>
      </c>
      <c r="D5" s="2">
        <f>D4/D3</f>
        <v>73</v>
      </c>
      <c r="F5" s="2" t="s">
        <v>77</v>
      </c>
      <c r="G5" s="2">
        <f>G4/G3</f>
        <v>36.5</v>
      </c>
      <c r="I5" s="2" t="s">
        <v>78</v>
      </c>
      <c r="J5" s="2">
        <f>ROUND(J4/J3,0)</f>
        <v>52</v>
      </c>
    </row>
    <row r="6" spans="1:10" x14ac:dyDescent="0.75">
      <c r="A6" s="79" t="s">
        <v>46</v>
      </c>
    </row>
    <row r="7" spans="1:10" x14ac:dyDescent="0.75">
      <c r="A7" s="79" t="s">
        <v>47</v>
      </c>
      <c r="C7" s="144" t="str">
        <f>"Operating Cycle = "&amp;C5&amp;" + "&amp;F5&amp;" = "&amp;G7&amp;" = "&amp;D5&amp;" + "&amp;G5&amp;" + "&amp;SUM(D5,G5)</f>
        <v>Operating Cycle = Days to sell + Days to collect =  = 73 + 36.5 + 109.5</v>
      </c>
      <c r="D7" s="145"/>
      <c r="E7" s="145"/>
      <c r="F7" s="145"/>
      <c r="G7" s="145"/>
      <c r="H7" s="145"/>
      <c r="I7" s="145"/>
      <c r="J7" s="146"/>
    </row>
    <row r="8" spans="1:10" x14ac:dyDescent="0.75">
      <c r="A8" s="79" t="s">
        <v>196</v>
      </c>
      <c r="C8" s="144" t="str">
        <f>"Cash Cycle = Operating Cycle - Payables Period = "&amp;SUM(D5,G5)&amp;" - "&amp;I5&amp;" = "&amp;SUM(D5,G5)-J5</f>
        <v>Cash Cycle = Operating Cycle - Payables Period = 109.5 - Days to pay = 57.5</v>
      </c>
      <c r="D8" s="145"/>
      <c r="E8" s="145"/>
      <c r="F8" s="145"/>
      <c r="G8" s="145"/>
      <c r="H8" s="145"/>
      <c r="I8" s="145"/>
      <c r="J8" s="146"/>
    </row>
    <row r="9" spans="1:10" x14ac:dyDescent="0.75">
      <c r="A9" s="79" t="s">
        <v>48</v>
      </c>
    </row>
    <row r="10" spans="1:10" ht="21" x14ac:dyDescent="1">
      <c r="A10" s="96" t="s">
        <v>49</v>
      </c>
      <c r="C10" t="s">
        <v>79</v>
      </c>
    </row>
    <row r="11" spans="1:10" x14ac:dyDescent="0.75">
      <c r="A11" s="79" t="s">
        <v>50</v>
      </c>
      <c r="C11" t="s">
        <v>80</v>
      </c>
    </row>
    <row r="12" spans="1:10" x14ac:dyDescent="0.75">
      <c r="A12" s="79" t="s">
        <v>629</v>
      </c>
    </row>
    <row r="13" spans="1:10" x14ac:dyDescent="0.75">
      <c r="A13" s="174" t="s">
        <v>51</v>
      </c>
    </row>
    <row r="14" spans="1:10" x14ac:dyDescent="0.75">
      <c r="A14" s="174" t="s">
        <v>52</v>
      </c>
    </row>
    <row r="16" spans="1:10" ht="21" x14ac:dyDescent="1">
      <c r="A16" s="96" t="s">
        <v>53</v>
      </c>
    </row>
    <row r="17" spans="1:1" x14ac:dyDescent="0.75">
      <c r="A17" s="79" t="s">
        <v>60</v>
      </c>
    </row>
    <row r="18" spans="1:1" x14ac:dyDescent="0.75">
      <c r="A18" s="79" t="s">
        <v>54</v>
      </c>
    </row>
    <row r="19" spans="1:1" x14ac:dyDescent="0.75">
      <c r="A19" s="79" t="s">
        <v>55</v>
      </c>
    </row>
    <row r="20" spans="1:1" x14ac:dyDescent="0.75">
      <c r="A20" s="79" t="s">
        <v>56</v>
      </c>
    </row>
    <row r="21" spans="1:1" ht="21" x14ac:dyDescent="1">
      <c r="A21" s="96" t="s">
        <v>57</v>
      </c>
    </row>
    <row r="22" spans="1:1" x14ac:dyDescent="0.75">
      <c r="A22" s="79" t="s">
        <v>58</v>
      </c>
    </row>
    <row r="23" spans="1:1" x14ac:dyDescent="0.75">
      <c r="A23" s="79" t="s">
        <v>59</v>
      </c>
    </row>
    <row r="25" spans="1:1" ht="21" x14ac:dyDescent="1">
      <c r="A25" s="96" t="s">
        <v>61</v>
      </c>
    </row>
    <row r="26" spans="1:1" x14ac:dyDescent="0.75">
      <c r="A26" s="79" t="s">
        <v>629</v>
      </c>
    </row>
    <row r="27" spans="1:1" x14ac:dyDescent="0.75">
      <c r="A27" s="79" t="s">
        <v>62</v>
      </c>
    </row>
    <row r="28" spans="1:1" x14ac:dyDescent="0.75">
      <c r="A28" s="79" t="s">
        <v>83</v>
      </c>
    </row>
    <row r="30" spans="1:1" ht="21" x14ac:dyDescent="1">
      <c r="A30" s="96" t="s">
        <v>63</v>
      </c>
    </row>
    <row r="31" spans="1:1" x14ac:dyDescent="0.75">
      <c r="A31" s="79" t="s">
        <v>71</v>
      </c>
    </row>
    <row r="32" spans="1:1" x14ac:dyDescent="0.75">
      <c r="A32" s="79" t="s">
        <v>67</v>
      </c>
    </row>
    <row r="33" spans="1:1" x14ac:dyDescent="0.75">
      <c r="A33" s="79" t="s">
        <v>64</v>
      </c>
    </row>
    <row r="34" spans="1:1" x14ac:dyDescent="0.75">
      <c r="A34" s="79" t="s">
        <v>65</v>
      </c>
    </row>
    <row r="35" spans="1:1" x14ac:dyDescent="0.75">
      <c r="A35" s="79" t="s">
        <v>84</v>
      </c>
    </row>
    <row r="36" spans="1:1" x14ac:dyDescent="0.75">
      <c r="A36" s="79" t="s">
        <v>66</v>
      </c>
    </row>
    <row r="37" spans="1:1" x14ac:dyDescent="0.75">
      <c r="A37" s="79" t="s">
        <v>68</v>
      </c>
    </row>
    <row r="38" spans="1:1" ht="29.5" x14ac:dyDescent="0.75">
      <c r="A38" s="79" t="s">
        <v>223</v>
      </c>
    </row>
    <row r="39" spans="1:1" ht="21" x14ac:dyDescent="1">
      <c r="A39" s="96" t="s">
        <v>69</v>
      </c>
    </row>
    <row r="40" spans="1:1" x14ac:dyDescent="0.75">
      <c r="A40" s="79" t="s">
        <v>70</v>
      </c>
    </row>
  </sheetData>
  <phoneticPr fontId="28" type="noConversion"/>
  <conditionalFormatting sqref="A2 A5:A9 A11:A14 A17:A20 A22:A23 A26:A28 A31:A38 A40">
    <cfRule type="expression" dxfId="8" priority="1" stopIfTrue="1">
      <formula>MOD(ROW(),2)</formula>
    </cfRule>
  </conditionalFormatting>
  <printOptions horizontalCentered="1"/>
  <pageMargins left="0.7" right="0.7" top="0.75" bottom="0.75" header="0.3" footer="0.3"/>
  <pageSetup scale="58" fitToHeight="0" orientation="landscape" r:id="rId1"/>
  <headerFooter>
    <oddHeader>&amp;L&amp;F&amp;C&amp;A&amp;RPage &amp;P of &amp;N</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FBEF5C-F430-4B30-8A51-5C4EA89AAC30}">
  <sheetPr codeName="Sheet42">
    <tabColor rgb="FF00FF00"/>
    <pageSetUpPr fitToPage="1"/>
  </sheetPr>
  <dimension ref="A1:A25"/>
  <sheetViews>
    <sheetView topLeftCell="A10" workbookViewId="0"/>
  </sheetViews>
  <sheetFormatPr defaultRowHeight="14.75" x14ac:dyDescent="0.75"/>
  <cols>
    <col min="1" max="1" width="110.54296875" bestFit="1" customWidth="1"/>
  </cols>
  <sheetData>
    <row r="1" spans="1:1" ht="21" x14ac:dyDescent="1">
      <c r="A1" s="116" t="s">
        <v>92</v>
      </c>
    </row>
    <row r="2" spans="1:1" x14ac:dyDescent="0.75">
      <c r="A2" s="2" t="s">
        <v>94</v>
      </c>
    </row>
    <row r="4" spans="1:1" ht="21" x14ac:dyDescent="1">
      <c r="A4" s="116" t="s">
        <v>85</v>
      </c>
    </row>
    <row r="5" spans="1:1" x14ac:dyDescent="0.75">
      <c r="A5" s="2" t="s">
        <v>86</v>
      </c>
    </row>
    <row r="6" spans="1:1" x14ac:dyDescent="0.75">
      <c r="A6" s="2" t="s">
        <v>87</v>
      </c>
    </row>
    <row r="7" spans="1:1" x14ac:dyDescent="0.75">
      <c r="A7" s="2" t="s">
        <v>88</v>
      </c>
    </row>
    <row r="8" spans="1:1" x14ac:dyDescent="0.75">
      <c r="A8" s="2" t="s">
        <v>89</v>
      </c>
    </row>
    <row r="9" spans="1:1" x14ac:dyDescent="0.75">
      <c r="A9" s="98" t="s">
        <v>90</v>
      </c>
    </row>
    <row r="10" spans="1:1" x14ac:dyDescent="0.75">
      <c r="A10" s="98" t="s">
        <v>91</v>
      </c>
    </row>
    <row r="11" spans="1:1" x14ac:dyDescent="0.75">
      <c r="A11" s="97" t="s">
        <v>197</v>
      </c>
    </row>
    <row r="13" spans="1:1" ht="21" x14ac:dyDescent="1">
      <c r="A13" s="116" t="s">
        <v>105</v>
      </c>
    </row>
    <row r="14" spans="1:1" x14ac:dyDescent="0.75">
      <c r="A14" s="2" t="s">
        <v>103</v>
      </c>
    </row>
    <row r="15" spans="1:1" x14ac:dyDescent="0.75">
      <c r="A15" s="2" t="s">
        <v>104</v>
      </c>
    </row>
    <row r="16" spans="1:1" x14ac:dyDescent="0.75">
      <c r="A16" s="2" t="s">
        <v>106</v>
      </c>
    </row>
    <row r="18" spans="1:1" ht="21" x14ac:dyDescent="1">
      <c r="A18" s="116" t="s">
        <v>95</v>
      </c>
    </row>
    <row r="19" spans="1:1" x14ac:dyDescent="0.75">
      <c r="A19" s="2" t="s">
        <v>96</v>
      </c>
    </row>
    <row r="20" spans="1:1" x14ac:dyDescent="0.75">
      <c r="A20" s="2" t="s">
        <v>97</v>
      </c>
    </row>
    <row r="21" spans="1:1" x14ac:dyDescent="0.75">
      <c r="A21" s="2" t="s">
        <v>98</v>
      </c>
    </row>
    <row r="22" spans="1:1" x14ac:dyDescent="0.75">
      <c r="A22" s="98" t="s">
        <v>99</v>
      </c>
    </row>
    <row r="23" spans="1:1" x14ac:dyDescent="0.75">
      <c r="A23" s="98" t="s">
        <v>100</v>
      </c>
    </row>
    <row r="24" spans="1:1" x14ac:dyDescent="0.75">
      <c r="A24" s="115" t="s">
        <v>101</v>
      </c>
    </row>
    <row r="25" spans="1:1" x14ac:dyDescent="0.75">
      <c r="A25" s="115" t="s">
        <v>102</v>
      </c>
    </row>
  </sheetData>
  <phoneticPr fontId="28" type="noConversion"/>
  <conditionalFormatting sqref="A2 A5:A11 A14:A16 A19:A25">
    <cfRule type="expression" dxfId="7" priority="4" stopIfTrue="1">
      <formula>MOD(ROW(),2)</formula>
    </cfRule>
  </conditionalFormatting>
  <printOptions horizontalCentered="1"/>
  <pageMargins left="0.7" right="0.7" top="0.75" bottom="0.75" header="0.3" footer="0.3"/>
  <pageSetup fitToHeight="0" orientation="landscape" r:id="rId1"/>
  <headerFooter>
    <oddHeader>&amp;L&amp;F&amp;C&amp;A&amp;RPage &amp;P of &amp;N</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4DEAAB-2AF9-4CFB-B41C-D251116B3F98}">
  <sheetPr codeName="Sheet43">
    <tabColor rgb="FF00FF00"/>
    <pageSetUpPr fitToPage="1"/>
  </sheetPr>
  <dimension ref="A1"/>
  <sheetViews>
    <sheetView workbookViewId="0"/>
  </sheetViews>
  <sheetFormatPr defaultRowHeight="14.75" x14ac:dyDescent="0.75"/>
  <sheetData/>
  <phoneticPr fontId="28" type="noConversion"/>
  <printOptions horizontalCentered="1"/>
  <pageMargins left="0.7" right="0.7" top="0.75" bottom="0.75" header="0.3" footer="0.3"/>
  <pageSetup fitToHeight="0" orientation="landscape" r:id="rId1"/>
  <headerFooter>
    <oddHeader>&amp;L&amp;F&amp;C&amp;A&amp;RPage &amp;P of &amp;N</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952121-2B2F-4A87-8796-BB260A368120}">
  <sheetPr codeName="Sheet44">
    <tabColor rgb="FF00FF00"/>
    <pageSetUpPr fitToPage="1"/>
  </sheetPr>
  <dimension ref="A1:L23"/>
  <sheetViews>
    <sheetView zoomScale="85" zoomScaleNormal="85" workbookViewId="0"/>
  </sheetViews>
  <sheetFormatPr defaultRowHeight="14.75" x14ac:dyDescent="0.75"/>
  <cols>
    <col min="1" max="1" width="8.54296875" bestFit="1" customWidth="1"/>
    <col min="2" max="2" width="2.76953125" bestFit="1" customWidth="1"/>
    <col min="3" max="3" width="33.08984375" customWidth="1"/>
    <col min="4" max="4" width="2" bestFit="1" customWidth="1"/>
    <col min="5" max="5" width="33.08984375" customWidth="1"/>
    <col min="6" max="6" width="2" bestFit="1" customWidth="1"/>
    <col min="7" max="7" width="33.08984375" customWidth="1"/>
    <col min="8" max="8" width="8.54296875" bestFit="1" customWidth="1"/>
    <col min="9" max="9" width="2.76953125" bestFit="1" customWidth="1"/>
    <col min="10" max="10" width="15" customWidth="1"/>
    <col min="11" max="11" width="2" bestFit="1" customWidth="1"/>
    <col min="12" max="12" width="27.54296875" customWidth="1"/>
  </cols>
  <sheetData>
    <row r="1" spans="1:12" x14ac:dyDescent="0.75">
      <c r="A1" s="2" t="s">
        <v>528</v>
      </c>
      <c r="B1" s="2" t="s">
        <v>491</v>
      </c>
      <c r="C1" s="2" t="s">
        <v>107</v>
      </c>
      <c r="D1" s="2" t="s">
        <v>108</v>
      </c>
      <c r="E1" s="2" t="s">
        <v>109</v>
      </c>
      <c r="F1" s="2" t="s">
        <v>108</v>
      </c>
      <c r="G1" s="2" t="s">
        <v>110</v>
      </c>
    </row>
    <row r="2" spans="1:12" x14ac:dyDescent="0.75">
      <c r="A2" s="2" t="s">
        <v>528</v>
      </c>
      <c r="B2" s="2" t="s">
        <v>491</v>
      </c>
      <c r="C2" s="2" t="s">
        <v>111</v>
      </c>
      <c r="D2" s="2"/>
      <c r="E2" s="2" t="s">
        <v>112</v>
      </c>
      <c r="F2" s="2"/>
      <c r="G2" s="2" t="s">
        <v>113</v>
      </c>
    </row>
    <row r="3" spans="1:12" x14ac:dyDescent="0.75">
      <c r="A3" s="2" t="s">
        <v>528</v>
      </c>
      <c r="B3" s="2" t="s">
        <v>491</v>
      </c>
      <c r="C3" s="2" t="s">
        <v>522</v>
      </c>
      <c r="D3" s="2" t="s">
        <v>108</v>
      </c>
      <c r="E3" s="2" t="s">
        <v>524</v>
      </c>
      <c r="F3" s="2" t="s">
        <v>108</v>
      </c>
      <c r="G3" s="2" t="s">
        <v>516</v>
      </c>
    </row>
    <row r="4" spans="1:12" x14ac:dyDescent="0.75">
      <c r="A4" s="2" t="s">
        <v>538</v>
      </c>
      <c r="B4" s="2" t="s">
        <v>491</v>
      </c>
      <c r="C4" s="2" t="s">
        <v>523</v>
      </c>
      <c r="D4" s="2" t="s">
        <v>108</v>
      </c>
      <c r="E4" s="2" t="s">
        <v>525</v>
      </c>
      <c r="F4" s="2" t="s">
        <v>108</v>
      </c>
      <c r="G4" s="2" t="s">
        <v>527</v>
      </c>
    </row>
    <row r="5" spans="1:12" ht="44.25" x14ac:dyDescent="0.75">
      <c r="A5" s="2" t="s">
        <v>528</v>
      </c>
      <c r="B5" s="79" t="s">
        <v>491</v>
      </c>
      <c r="C5" s="79" t="s">
        <v>114</v>
      </c>
      <c r="D5" s="79" t="s">
        <v>108</v>
      </c>
      <c r="E5" s="79" t="s">
        <v>115</v>
      </c>
      <c r="F5" s="79" t="s">
        <v>108</v>
      </c>
      <c r="G5" s="79" t="s">
        <v>116</v>
      </c>
      <c r="H5" s="1"/>
      <c r="I5" s="1"/>
      <c r="J5" s="1"/>
      <c r="K5" s="1"/>
      <c r="L5" s="1"/>
    </row>
    <row r="19" spans="1:5" x14ac:dyDescent="0.75">
      <c r="A19" s="2" t="s">
        <v>528</v>
      </c>
      <c r="B19" s="2" t="s">
        <v>491</v>
      </c>
      <c r="C19" s="2" t="s">
        <v>537</v>
      </c>
      <c r="D19" s="2" t="s">
        <v>108</v>
      </c>
      <c r="E19" s="2" t="s">
        <v>527</v>
      </c>
    </row>
    <row r="20" spans="1:5" x14ac:dyDescent="0.75">
      <c r="A20" s="2" t="s">
        <v>528</v>
      </c>
      <c r="B20" s="2" t="s">
        <v>491</v>
      </c>
      <c r="C20" s="2" t="s">
        <v>526</v>
      </c>
      <c r="D20" s="2" t="s">
        <v>108</v>
      </c>
      <c r="E20" s="2" t="s">
        <v>516</v>
      </c>
    </row>
    <row r="21" spans="1:5" x14ac:dyDescent="0.75">
      <c r="A21" s="2" t="s">
        <v>528</v>
      </c>
      <c r="B21" s="2" t="s">
        <v>491</v>
      </c>
      <c r="C21" s="2" t="s">
        <v>526</v>
      </c>
      <c r="D21" s="2" t="s">
        <v>108</v>
      </c>
      <c r="E21" s="2" t="s">
        <v>117</v>
      </c>
    </row>
    <row r="22" spans="1:5" x14ac:dyDescent="0.75">
      <c r="A22" s="2" t="s">
        <v>528</v>
      </c>
      <c r="B22" s="2" t="s">
        <v>491</v>
      </c>
      <c r="C22" s="2" t="s">
        <v>526</v>
      </c>
      <c r="D22" s="2" t="s">
        <v>108</v>
      </c>
      <c r="E22" s="2" t="s">
        <v>118</v>
      </c>
    </row>
    <row r="23" spans="1:5" ht="29.5" x14ac:dyDescent="0.75">
      <c r="E23" s="79" t="s">
        <v>119</v>
      </c>
    </row>
  </sheetData>
  <phoneticPr fontId="28" type="noConversion"/>
  <printOptions horizontalCentered="1"/>
  <pageMargins left="0.7" right="0.7" top="0.75" bottom="0.75" header="0.3" footer="0.3"/>
  <pageSetup scale="46" fitToHeight="0" orientation="landscape" r:id="rId1"/>
  <headerFooter>
    <oddHeader>&amp;L&amp;F&amp;C&amp;A&amp;RPage &amp;P of &amp;N</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C0589-CB4E-4E99-AD3D-8D1B5BE3FD48}">
  <sheetPr codeName="Sheet3">
    <tabColor rgb="FFFF0000"/>
  </sheetPr>
  <dimension ref="A1:J47"/>
  <sheetViews>
    <sheetView zoomScaleNormal="100" workbookViewId="0"/>
  </sheetViews>
  <sheetFormatPr defaultRowHeight="14.75" x14ac:dyDescent="0.75"/>
  <cols>
    <col min="1" max="1" width="18.86328125" bestFit="1" customWidth="1"/>
    <col min="2" max="2" width="19.08984375" bestFit="1" customWidth="1"/>
    <col min="3" max="3" width="9.76953125" bestFit="1" customWidth="1"/>
    <col min="4" max="4" width="9.86328125" bestFit="1" customWidth="1"/>
  </cols>
  <sheetData>
    <row r="1" spans="1:10" x14ac:dyDescent="0.75">
      <c r="A1" s="191" t="s">
        <v>252</v>
      </c>
      <c r="B1" s="191"/>
    </row>
    <row r="2" spans="1:10" x14ac:dyDescent="0.75">
      <c r="A2" s="2" t="s">
        <v>231</v>
      </c>
      <c r="B2" s="181">
        <v>200</v>
      </c>
    </row>
    <row r="3" spans="1:10" x14ac:dyDescent="0.75">
      <c r="A3" s="2" t="s">
        <v>242</v>
      </c>
      <c r="B3" s="181">
        <v>100</v>
      </c>
    </row>
    <row r="4" spans="1:10" x14ac:dyDescent="0.75">
      <c r="A4" s="2" t="s">
        <v>233</v>
      </c>
      <c r="B4" s="182" t="s">
        <v>1204</v>
      </c>
      <c r="C4" t="s">
        <v>236</v>
      </c>
      <c r="D4" s="262" t="s">
        <v>1205</v>
      </c>
      <c r="E4" s="262"/>
      <c r="F4" s="262"/>
      <c r="G4" s="262"/>
      <c r="H4" s="262"/>
      <c r="I4" s="262"/>
      <c r="J4" s="262"/>
    </row>
    <row r="5" spans="1:10" x14ac:dyDescent="0.75">
      <c r="A5" s="2" t="s">
        <v>233</v>
      </c>
      <c r="B5" s="183">
        <f>B2/B3</f>
        <v>2</v>
      </c>
    </row>
    <row r="7" spans="1:10" x14ac:dyDescent="0.75">
      <c r="A7" s="191" t="s">
        <v>251</v>
      </c>
      <c r="B7" s="191"/>
      <c r="C7" s="191"/>
      <c r="D7" s="191"/>
      <c r="E7" s="191"/>
    </row>
    <row r="8" spans="1:10" x14ac:dyDescent="0.75">
      <c r="A8" s="190" t="s">
        <v>227</v>
      </c>
      <c r="B8" s="190"/>
      <c r="D8" s="190" t="s">
        <v>227</v>
      </c>
      <c r="E8" s="190"/>
    </row>
    <row r="9" spans="1:10" x14ac:dyDescent="0.75">
      <c r="A9" s="2" t="s">
        <v>545</v>
      </c>
      <c r="B9" s="2">
        <v>100</v>
      </c>
      <c r="D9" s="2" t="s">
        <v>545</v>
      </c>
      <c r="E9" s="184">
        <f>B9/$B$9</f>
        <v>1</v>
      </c>
      <c r="G9" s="109">
        <f t="shared" ref="G9:G15" si="0">E9</f>
        <v>1</v>
      </c>
    </row>
    <row r="10" spans="1:10" x14ac:dyDescent="0.75">
      <c r="A10" s="2" t="s">
        <v>546</v>
      </c>
      <c r="B10" s="2">
        <v>25</v>
      </c>
      <c r="D10" s="2" t="s">
        <v>546</v>
      </c>
      <c r="E10" s="184">
        <f t="shared" ref="E10:E15" si="1">B10/$B$9</f>
        <v>0.25</v>
      </c>
      <c r="G10" s="109">
        <f t="shared" si="0"/>
        <v>0.25</v>
      </c>
    </row>
    <row r="11" spans="1:10" ht="15.5" thickBot="1" x14ac:dyDescent="0.9">
      <c r="A11" s="2" t="s">
        <v>228</v>
      </c>
      <c r="B11" s="95">
        <v>15</v>
      </c>
      <c r="D11" s="2" t="s">
        <v>228</v>
      </c>
      <c r="E11" s="185">
        <f t="shared" si="1"/>
        <v>0.15</v>
      </c>
      <c r="G11" s="109">
        <f t="shared" si="0"/>
        <v>0.15</v>
      </c>
    </row>
    <row r="12" spans="1:10" x14ac:dyDescent="0.75">
      <c r="A12" s="2" t="s">
        <v>492</v>
      </c>
      <c r="B12" s="178">
        <f>B9-SUM(B10:B11)</f>
        <v>60</v>
      </c>
      <c r="D12" s="2" t="s">
        <v>492</v>
      </c>
      <c r="E12" s="186">
        <f t="shared" si="1"/>
        <v>0.6</v>
      </c>
      <c r="G12" s="109">
        <f t="shared" si="0"/>
        <v>0.6</v>
      </c>
    </row>
    <row r="13" spans="1:10" x14ac:dyDescent="0.75">
      <c r="A13" s="2" t="s">
        <v>229</v>
      </c>
      <c r="B13" s="2">
        <v>10</v>
      </c>
      <c r="D13" s="2" t="s">
        <v>229</v>
      </c>
      <c r="E13" s="184">
        <f t="shared" si="1"/>
        <v>0.1</v>
      </c>
      <c r="G13" s="109">
        <f t="shared" si="0"/>
        <v>0.1</v>
      </c>
    </row>
    <row r="14" spans="1:10" ht="15.5" thickBot="1" x14ac:dyDescent="0.9">
      <c r="A14" s="2" t="s">
        <v>230</v>
      </c>
      <c r="B14" s="95">
        <v>17</v>
      </c>
      <c r="D14" s="2" t="s">
        <v>230</v>
      </c>
      <c r="E14" s="185">
        <f t="shared" si="1"/>
        <v>0.17</v>
      </c>
      <c r="G14" s="109">
        <f t="shared" si="0"/>
        <v>0.17</v>
      </c>
    </row>
    <row r="15" spans="1:10" ht="15.5" thickBot="1" x14ac:dyDescent="0.9">
      <c r="A15" s="2" t="s">
        <v>120</v>
      </c>
      <c r="B15" s="179">
        <f>B12-SUM(B13:B14)</f>
        <v>33</v>
      </c>
      <c r="D15" s="2" t="s">
        <v>120</v>
      </c>
      <c r="E15" s="187">
        <f t="shared" si="1"/>
        <v>0.33</v>
      </c>
      <c r="G15" s="109">
        <f t="shared" si="0"/>
        <v>0.33</v>
      </c>
      <c r="H15" s="109">
        <f>G10+G11+G13+G14+G15</f>
        <v>1</v>
      </c>
    </row>
    <row r="16" spans="1:10" ht="15.5" thickTop="1" x14ac:dyDescent="0.75"/>
    <row r="17" spans="1:10" x14ac:dyDescent="0.75">
      <c r="A17" s="191" t="s">
        <v>250</v>
      </c>
      <c r="B17" s="191"/>
      <c r="C17" s="191"/>
      <c r="D17" s="191"/>
      <c r="E17" s="191"/>
      <c r="F17" s="191"/>
    </row>
    <row r="18" spans="1:10" x14ac:dyDescent="0.75">
      <c r="A18" s="2" t="s">
        <v>234</v>
      </c>
      <c r="B18" s="181">
        <v>5000</v>
      </c>
    </row>
    <row r="19" spans="1:10" x14ac:dyDescent="0.75">
      <c r="A19" s="2" t="s">
        <v>235</v>
      </c>
      <c r="B19" s="181">
        <v>200</v>
      </c>
    </row>
    <row r="20" spans="1:10" x14ac:dyDescent="0.75">
      <c r="A20" s="2" t="s">
        <v>237</v>
      </c>
      <c r="B20" s="188" t="s">
        <v>1206</v>
      </c>
      <c r="C20" t="s">
        <v>236</v>
      </c>
      <c r="D20" s="262" t="s">
        <v>1207</v>
      </c>
      <c r="E20" s="262"/>
      <c r="F20" s="262"/>
      <c r="G20" s="262"/>
      <c r="H20" s="262"/>
      <c r="I20" s="262"/>
      <c r="J20" s="262"/>
    </row>
    <row r="21" spans="1:10" x14ac:dyDescent="0.75">
      <c r="A21" s="2" t="s">
        <v>237</v>
      </c>
      <c r="B21" s="183">
        <f>B19/B18</f>
        <v>0.04</v>
      </c>
    </row>
    <row r="23" spans="1:10" x14ac:dyDescent="0.75">
      <c r="A23" s="191" t="s">
        <v>249</v>
      </c>
      <c r="B23" s="191"/>
      <c r="C23" s="191"/>
      <c r="D23" s="191"/>
      <c r="E23" s="191"/>
      <c r="F23" s="191"/>
      <c r="G23" s="191"/>
      <c r="H23" s="191"/>
    </row>
    <row r="24" spans="1:10" x14ac:dyDescent="0.75">
      <c r="A24" s="2" t="s">
        <v>238</v>
      </c>
      <c r="B24" s="181">
        <v>200</v>
      </c>
    </row>
    <row r="25" spans="1:10" x14ac:dyDescent="0.75">
      <c r="A25" s="2" t="s">
        <v>239</v>
      </c>
      <c r="B25" s="181">
        <v>2000</v>
      </c>
    </row>
    <row r="26" spans="1:10" x14ac:dyDescent="0.75">
      <c r="A26" s="2" t="s">
        <v>240</v>
      </c>
      <c r="B26" s="181">
        <v>600</v>
      </c>
    </row>
    <row r="27" spans="1:10" x14ac:dyDescent="0.75">
      <c r="A27" s="2" t="s">
        <v>241</v>
      </c>
      <c r="B27" s="181">
        <v>5000</v>
      </c>
    </row>
    <row r="28" spans="1:10" x14ac:dyDescent="0.75">
      <c r="A28" s="2" t="s">
        <v>243</v>
      </c>
      <c r="B28" s="189">
        <f>B24/B25</f>
        <v>0.1</v>
      </c>
    </row>
    <row r="29" spans="1:10" ht="30" customHeight="1" x14ac:dyDescent="0.75">
      <c r="A29" s="2" t="s">
        <v>244</v>
      </c>
      <c r="B29" s="189">
        <f>B26/B27</f>
        <v>0.12</v>
      </c>
      <c r="C29" t="s">
        <v>236</v>
      </c>
      <c r="D29" s="262" t="s">
        <v>1208</v>
      </c>
      <c r="E29" s="262"/>
      <c r="F29" s="262"/>
      <c r="G29" s="262"/>
      <c r="H29" s="262"/>
      <c r="I29" s="262"/>
      <c r="J29" s="262"/>
    </row>
    <row r="30" spans="1:10" x14ac:dyDescent="0.75">
      <c r="B30" s="101"/>
    </row>
    <row r="31" spans="1:10" x14ac:dyDescent="0.75">
      <c r="A31" s="191" t="s">
        <v>283</v>
      </c>
      <c r="B31" s="191"/>
      <c r="C31" s="191"/>
      <c r="D31" s="191"/>
      <c r="E31" s="191"/>
      <c r="F31" s="191"/>
      <c r="G31" s="191"/>
      <c r="H31" s="191"/>
      <c r="I31" s="191"/>
      <c r="J31" s="191"/>
    </row>
    <row r="32" spans="1:10" x14ac:dyDescent="0.75">
      <c r="A32" s="2" t="s">
        <v>246</v>
      </c>
      <c r="B32" s="192">
        <v>23</v>
      </c>
    </row>
    <row r="33" spans="1:10" x14ac:dyDescent="0.75">
      <c r="A33" s="2" t="s">
        <v>245</v>
      </c>
      <c r="B33" s="192">
        <v>63</v>
      </c>
    </row>
    <row r="34" spans="1:10" x14ac:dyDescent="0.75">
      <c r="A34" s="2" t="s">
        <v>247</v>
      </c>
      <c r="B34" s="192">
        <v>11</v>
      </c>
    </row>
    <row r="35" spans="1:10" x14ac:dyDescent="0.75">
      <c r="A35" s="2" t="s">
        <v>248</v>
      </c>
      <c r="B35" s="192">
        <v>19</v>
      </c>
    </row>
    <row r="36" spans="1:10" x14ac:dyDescent="0.75">
      <c r="A36" s="2" t="s">
        <v>253</v>
      </c>
      <c r="B36" s="184">
        <f>B32/B33</f>
        <v>0.36507936507936506</v>
      </c>
    </row>
    <row r="37" spans="1:10" ht="29.25" customHeight="1" x14ac:dyDescent="0.75">
      <c r="A37" s="2" t="s">
        <v>254</v>
      </c>
      <c r="B37" s="184">
        <f>B34/B35</f>
        <v>0.57894736842105265</v>
      </c>
      <c r="C37" t="s">
        <v>236</v>
      </c>
      <c r="D37" s="262" t="s">
        <v>1209</v>
      </c>
      <c r="E37" s="262"/>
      <c r="F37" s="262"/>
      <c r="G37" s="262"/>
      <c r="H37" s="262"/>
      <c r="I37" s="262"/>
      <c r="J37" s="262"/>
    </row>
    <row r="39" spans="1:10" x14ac:dyDescent="0.75">
      <c r="A39" s="193" t="s">
        <v>255</v>
      </c>
    </row>
    <row r="40" spans="1:10" x14ac:dyDescent="0.75">
      <c r="A40" s="2" t="s">
        <v>256</v>
      </c>
      <c r="B40" s="195">
        <f>B42/0.4908</f>
        <v>1018.7449062754686</v>
      </c>
    </row>
    <row r="41" spans="1:10" x14ac:dyDescent="0.75">
      <c r="A41" s="2" t="s">
        <v>257</v>
      </c>
      <c r="B41" s="195">
        <f>B43/0.4908</f>
        <v>2037.4898125509371</v>
      </c>
      <c r="E41" s="194"/>
    </row>
    <row r="42" spans="1:10" x14ac:dyDescent="0.75">
      <c r="A42" s="2" t="s">
        <v>258</v>
      </c>
      <c r="B42" s="196">
        <v>500</v>
      </c>
    </row>
    <row r="43" spans="1:10" x14ac:dyDescent="0.75">
      <c r="A43" s="2" t="s">
        <v>259</v>
      </c>
      <c r="B43" s="196">
        <v>1000</v>
      </c>
    </row>
    <row r="44" spans="1:10" x14ac:dyDescent="0.75">
      <c r="A44" s="2" t="s">
        <v>335</v>
      </c>
      <c r="B44" s="197" t="s">
        <v>1210</v>
      </c>
    </row>
    <row r="45" spans="1:10" x14ac:dyDescent="0.75">
      <c r="A45" s="2" t="s">
        <v>336</v>
      </c>
      <c r="B45" s="197" t="s">
        <v>1211</v>
      </c>
      <c r="C45" t="s">
        <v>236</v>
      </c>
      <c r="D45" s="262" t="s">
        <v>1212</v>
      </c>
      <c r="E45" s="262"/>
      <c r="F45" s="262"/>
      <c r="G45" s="262"/>
      <c r="H45" s="262"/>
      <c r="I45" s="262"/>
      <c r="J45" s="262"/>
    </row>
    <row r="46" spans="1:10" x14ac:dyDescent="0.75">
      <c r="A46" s="2" t="s">
        <v>335</v>
      </c>
      <c r="B46" s="251">
        <f>B41/B40</f>
        <v>2</v>
      </c>
    </row>
    <row r="47" spans="1:10" x14ac:dyDescent="0.75">
      <c r="A47" s="2" t="s">
        <v>336</v>
      </c>
      <c r="B47" s="251">
        <f>B43/B42</f>
        <v>2</v>
      </c>
    </row>
  </sheetData>
  <mergeCells count="5">
    <mergeCell ref="D4:J4"/>
    <mergeCell ref="D20:J20"/>
    <mergeCell ref="D29:J29"/>
    <mergeCell ref="D37:J37"/>
    <mergeCell ref="D45:J45"/>
  </mergeCells>
  <phoneticPr fontId="28" type="noConversion"/>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0C96B-7783-4988-BE13-F49C99AAAB9F}">
  <sheetPr codeName="Sheet45">
    <tabColor rgb="FF00FF00"/>
    <pageSetUpPr fitToPage="1"/>
  </sheetPr>
  <dimension ref="A1:J31"/>
  <sheetViews>
    <sheetView zoomScale="85" zoomScaleNormal="85" workbookViewId="0"/>
  </sheetViews>
  <sheetFormatPr defaultRowHeight="14.75" x14ac:dyDescent="0.75"/>
  <cols>
    <col min="1" max="1" width="11.453125" customWidth="1"/>
    <col min="2" max="2" width="11.76953125" customWidth="1"/>
    <col min="3" max="3" width="48.86328125" bestFit="1" customWidth="1"/>
    <col min="4" max="4" width="17" customWidth="1"/>
    <col min="5" max="5" width="2.76953125" customWidth="1"/>
    <col min="6" max="6" width="18.54296875" bestFit="1" customWidth="1"/>
    <col min="7" max="7" width="2" customWidth="1"/>
    <col min="8" max="8" width="20.08984375" bestFit="1" customWidth="1"/>
    <col min="9" max="9" width="2" customWidth="1"/>
    <col min="10" max="10" width="20.76953125" bestFit="1" customWidth="1"/>
    <col min="11" max="11" width="2" bestFit="1" customWidth="1"/>
    <col min="12" max="12" width="27.54296875" customWidth="1"/>
  </cols>
  <sheetData>
    <row r="1" spans="1:3" x14ac:dyDescent="0.75">
      <c r="A1" s="147" t="s">
        <v>563</v>
      </c>
      <c r="B1" s="147"/>
    </row>
    <row r="2" spans="1:3" x14ac:dyDescent="0.75">
      <c r="A2" t="s">
        <v>566</v>
      </c>
      <c r="B2">
        <v>1998</v>
      </c>
    </row>
    <row r="3" spans="1:3" x14ac:dyDescent="0.75">
      <c r="A3" t="s">
        <v>120</v>
      </c>
      <c r="B3" s="148">
        <v>200</v>
      </c>
    </row>
    <row r="4" spans="1:3" x14ac:dyDescent="0.75">
      <c r="A4" t="s">
        <v>72</v>
      </c>
      <c r="B4" s="148">
        <v>6000</v>
      </c>
    </row>
    <row r="5" spans="1:3" x14ac:dyDescent="0.75">
      <c r="A5" t="s">
        <v>859</v>
      </c>
      <c r="B5" s="148">
        <v>2000</v>
      </c>
    </row>
    <row r="6" spans="1:3" x14ac:dyDescent="0.75">
      <c r="A6" t="s">
        <v>121</v>
      </c>
      <c r="B6" s="148">
        <v>1000</v>
      </c>
    </row>
    <row r="7" spans="1:3" x14ac:dyDescent="0.75">
      <c r="A7" t="str">
        <f>A3&amp;"/"&amp;A6&amp;" ="</f>
        <v>NI/Equity =</v>
      </c>
      <c r="B7" s="101">
        <f>B3/B6</f>
        <v>0.2</v>
      </c>
    </row>
    <row r="8" spans="1:3" x14ac:dyDescent="0.75">
      <c r="A8" t="s">
        <v>122</v>
      </c>
      <c r="B8" s="101">
        <f>B3/B6</f>
        <v>0.2</v>
      </c>
    </row>
    <row r="9" spans="1:3" x14ac:dyDescent="0.75">
      <c r="A9" t="s">
        <v>567</v>
      </c>
      <c r="B9">
        <f>B2+1</f>
        <v>1999</v>
      </c>
    </row>
    <row r="10" spans="1:3" x14ac:dyDescent="0.75">
      <c r="A10" t="s">
        <v>120</v>
      </c>
      <c r="B10" s="148">
        <v>200</v>
      </c>
    </row>
    <row r="11" spans="1:3" x14ac:dyDescent="0.75">
      <c r="A11" t="s">
        <v>72</v>
      </c>
      <c r="B11" s="148">
        <v>5600</v>
      </c>
    </row>
    <row r="12" spans="1:3" x14ac:dyDescent="0.75">
      <c r="A12" t="s">
        <v>859</v>
      </c>
      <c r="B12" s="148">
        <v>2400</v>
      </c>
    </row>
    <row r="13" spans="1:3" x14ac:dyDescent="0.75">
      <c r="A13" t="s">
        <v>121</v>
      </c>
      <c r="B13" s="148">
        <v>1400</v>
      </c>
    </row>
    <row r="14" spans="1:3" x14ac:dyDescent="0.75">
      <c r="A14" t="str">
        <f>A10&amp;"/"&amp;A13&amp;" ="</f>
        <v>NI/Equity =</v>
      </c>
      <c r="B14" s="101">
        <f>B10/B13</f>
        <v>0.14285714285714285</v>
      </c>
    </row>
    <row r="15" spans="1:3" x14ac:dyDescent="0.75">
      <c r="A15" t="s">
        <v>122</v>
      </c>
      <c r="B15" s="101">
        <f>B10/B13</f>
        <v>0.14285714285714285</v>
      </c>
    </row>
    <row r="16" spans="1:3" x14ac:dyDescent="0.75">
      <c r="C16" s="2" t="str">
        <f>B2&amp;" "&amp;A8&amp;" "&amp;A7&amp;" "&amp;DOLLAR(B3,0)&amp;"/"&amp;DOLLAR(B6,0)&amp;" = "&amp;TEXT(B3/B6,"0.00%")</f>
        <v>1998 ROE = NI/Equity = $200/$1,000 = 20.00%</v>
      </c>
    </row>
    <row r="17" spans="3:10" x14ac:dyDescent="0.75">
      <c r="C17" s="2" t="str">
        <f>B9&amp;" "&amp;A15&amp;" "&amp;A14&amp;" "&amp;DOLLAR(B10,0)&amp;"/"&amp;DOLLAR(B13,0)&amp;" = "&amp;TEXT(B10/B13,"0.00%")</f>
        <v>1999 ROE = NI/Equity = $200/$1,400 = 14.29%</v>
      </c>
    </row>
    <row r="18" spans="3:10" ht="15.75" x14ac:dyDescent="0.75">
      <c r="D18" s="149" t="s">
        <v>528</v>
      </c>
      <c r="E18" s="149" t="s">
        <v>491</v>
      </c>
      <c r="F18" s="149" t="s">
        <v>107</v>
      </c>
      <c r="G18" s="149" t="s">
        <v>108</v>
      </c>
      <c r="H18" s="149" t="s">
        <v>109</v>
      </c>
      <c r="I18" s="149" t="s">
        <v>108</v>
      </c>
      <c r="J18" s="149" t="s">
        <v>110</v>
      </c>
    </row>
    <row r="19" spans="3:10" ht="15.75" x14ac:dyDescent="0.75">
      <c r="D19" s="149" t="s">
        <v>528</v>
      </c>
      <c r="E19" s="149" t="s">
        <v>491</v>
      </c>
      <c r="F19" s="149" t="s">
        <v>522</v>
      </c>
      <c r="G19" s="149" t="s">
        <v>108</v>
      </c>
      <c r="H19" s="149" t="s">
        <v>524</v>
      </c>
      <c r="I19" s="149" t="s">
        <v>108</v>
      </c>
      <c r="J19" s="149" t="s">
        <v>516</v>
      </c>
    </row>
    <row r="20" spans="3:10" ht="15.75" x14ac:dyDescent="0.75">
      <c r="D20" s="150" t="s">
        <v>538</v>
      </c>
      <c r="E20" s="150" t="s">
        <v>491</v>
      </c>
      <c r="F20" s="150" t="s">
        <v>523</v>
      </c>
      <c r="G20" s="150" t="s">
        <v>108</v>
      </c>
      <c r="H20" s="150" t="s">
        <v>525</v>
      </c>
      <c r="I20" s="150" t="s">
        <v>108</v>
      </c>
      <c r="J20" s="150" t="s">
        <v>527</v>
      </c>
    </row>
    <row r="21" spans="3:10" x14ac:dyDescent="0.75">
      <c r="D21" s="2" t="str">
        <f>B2&amp;" "&amp;A8&amp;TEXT(B3/B6,"0.00%")</f>
        <v>1998 ROE =20.00%</v>
      </c>
      <c r="E21" s="2" t="s">
        <v>491</v>
      </c>
      <c r="F21" s="2" t="str">
        <f>DOLLAR(B3,0)&amp;"/"&amp;DOLLAR(B4,0)</f>
        <v>$200/$6,000</v>
      </c>
      <c r="G21" s="2" t="s">
        <v>108</v>
      </c>
      <c r="H21" s="2" t="str">
        <f>DOLLAR(B4,0)&amp;"/"&amp;DOLLAR(B5,0)</f>
        <v>$6,000/$2,000</v>
      </c>
      <c r="I21" s="2" t="s">
        <v>108</v>
      </c>
      <c r="J21" s="2" t="str">
        <f>DOLLAR(B5,0)&amp;"/"&amp;DOLLAR(B6,0)</f>
        <v>$2,000/$1,000</v>
      </c>
    </row>
    <row r="22" spans="3:10" x14ac:dyDescent="0.75">
      <c r="D22" s="89">
        <f>F22*H22*J22</f>
        <v>0.2</v>
      </c>
      <c r="E22" s="2" t="s">
        <v>491</v>
      </c>
      <c r="F22" s="89">
        <f>B3/B4</f>
        <v>3.3333333333333333E-2</v>
      </c>
      <c r="G22" s="2" t="s">
        <v>108</v>
      </c>
      <c r="H22" s="4">
        <f>B4/B5</f>
        <v>3</v>
      </c>
      <c r="I22" s="2" t="s">
        <v>108</v>
      </c>
      <c r="J22" s="4">
        <f>B5/B6</f>
        <v>2</v>
      </c>
    </row>
    <row r="24" spans="3:10" x14ac:dyDescent="0.75">
      <c r="D24" s="2" t="str">
        <f>B9&amp;" "&amp;A15&amp;TEXT(B10/B13,"0.00%")</f>
        <v>1999 ROE =14.29%</v>
      </c>
      <c r="E24" s="2" t="s">
        <v>491</v>
      </c>
      <c r="F24" s="2" t="str">
        <f>DOLLAR(B10,0)&amp;"/"&amp;DOLLAR(B11,0)</f>
        <v>$200/$5,600</v>
      </c>
      <c r="G24" s="2" t="s">
        <v>108</v>
      </c>
      <c r="H24" s="2" t="str">
        <f>DOLLAR(B11,0)&amp;"/"&amp;DOLLAR(B12,0)</f>
        <v>$5,600/$2,400</v>
      </c>
      <c r="I24" s="2" t="s">
        <v>108</v>
      </c>
      <c r="J24" s="2" t="str">
        <f>DOLLAR(B12,0)&amp;"/"&amp;DOLLAR(B13,0)</f>
        <v>$2,400/$1,400</v>
      </c>
    </row>
    <row r="25" spans="3:10" x14ac:dyDescent="0.75">
      <c r="D25" s="89">
        <f>F25*H25*J25</f>
        <v>0.14285714285714285</v>
      </c>
      <c r="E25" s="2" t="s">
        <v>491</v>
      </c>
      <c r="F25" s="89">
        <f>B10/B11</f>
        <v>3.5714285714285712E-2</v>
      </c>
      <c r="G25" s="2" t="s">
        <v>108</v>
      </c>
      <c r="H25" s="4">
        <f>B11/B12</f>
        <v>2.3333333333333335</v>
      </c>
      <c r="I25" s="2" t="s">
        <v>108</v>
      </c>
      <c r="J25" s="4">
        <f>B12/B13</f>
        <v>1.7142857142857142</v>
      </c>
    </row>
    <row r="27" spans="3:10" x14ac:dyDescent="0.75">
      <c r="D27" s="151" t="s">
        <v>123</v>
      </c>
    </row>
    <row r="28" spans="3:10" x14ac:dyDescent="0.75">
      <c r="D28" s="97" t="s">
        <v>124</v>
      </c>
    </row>
    <row r="29" spans="3:10" x14ac:dyDescent="0.75">
      <c r="D29" s="97" t="s">
        <v>125</v>
      </c>
    </row>
    <row r="30" spans="3:10" x14ac:dyDescent="0.75">
      <c r="D30" s="97" t="str">
        <f>"In "&amp;B2&amp;" the financial managers were able to turn each $1 of invested funds into "&amp;DOLLAR(J22,2)&amp;" of assets."</f>
        <v>In 1998 the financial managers were able to turn each $1 of invested funds into $2.00 of assets.</v>
      </c>
    </row>
    <row r="31" spans="3:10" x14ac:dyDescent="0.75">
      <c r="D31" s="97" t="str">
        <f>"In "&amp;B9&amp;" the financial managers only managed to turn $1 of equity into "&amp;DOLLAR(J25,2)&amp;" of assets."</f>
        <v>In 1999 the financial managers only managed to turn $1 of equity into $1.71 of assets.</v>
      </c>
    </row>
  </sheetData>
  <phoneticPr fontId="28" type="noConversion"/>
  <printOptions horizontalCentered="1"/>
  <pageMargins left="0.7" right="0.7" top="0.75" bottom="0.75" header="0.3" footer="0.3"/>
  <pageSetup scale="93" fitToHeight="0" orientation="landscape" r:id="rId1"/>
  <headerFooter>
    <oddHeader>&amp;L&amp;F&amp;C&amp;A&amp;RPage &amp;P of &amp;N</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B567DD-300C-4774-8AD4-B5693305DF53}">
  <sheetPr codeName="Sheet46">
    <tabColor rgb="FF00FF00"/>
    <pageSetUpPr fitToPage="1"/>
  </sheetPr>
  <dimension ref="A1:A12"/>
  <sheetViews>
    <sheetView zoomScale="115" zoomScaleNormal="115" workbookViewId="0"/>
  </sheetViews>
  <sheetFormatPr defaultRowHeight="14.75" x14ac:dyDescent="0.75"/>
  <cols>
    <col min="1" max="1" width="72.76953125" bestFit="1" customWidth="1"/>
  </cols>
  <sheetData>
    <row r="1" spans="1:1" ht="21" x14ac:dyDescent="1">
      <c r="A1" s="116" t="s">
        <v>126</v>
      </c>
    </row>
    <row r="3" spans="1:1" ht="21" x14ac:dyDescent="1">
      <c r="A3" s="116" t="s">
        <v>127</v>
      </c>
    </row>
    <row r="4" spans="1:1" x14ac:dyDescent="0.75">
      <c r="A4" s="2" t="s">
        <v>133</v>
      </c>
    </row>
    <row r="5" spans="1:1" x14ac:dyDescent="0.75">
      <c r="A5" s="2" t="s">
        <v>128</v>
      </c>
    </row>
    <row r="6" spans="1:1" x14ac:dyDescent="0.75">
      <c r="A6" s="2" t="s">
        <v>129</v>
      </c>
    </row>
    <row r="8" spans="1:1" ht="21" x14ac:dyDescent="1">
      <c r="A8" s="116" t="s">
        <v>135</v>
      </c>
    </row>
    <row r="9" spans="1:1" x14ac:dyDescent="0.75">
      <c r="A9" s="2" t="s">
        <v>134</v>
      </c>
    </row>
    <row r="10" spans="1:1" x14ac:dyDescent="0.75">
      <c r="A10" s="2" t="s">
        <v>130</v>
      </c>
    </row>
    <row r="11" spans="1:1" x14ac:dyDescent="0.75">
      <c r="A11" s="2" t="s">
        <v>131</v>
      </c>
    </row>
    <row r="12" spans="1:1" x14ac:dyDescent="0.75">
      <c r="A12" s="2" t="s">
        <v>132</v>
      </c>
    </row>
  </sheetData>
  <phoneticPr fontId="28" type="noConversion"/>
  <conditionalFormatting sqref="A4:A6 A9:A12">
    <cfRule type="expression" dxfId="6" priority="1" stopIfTrue="1">
      <formula>MOD(ROW(),2)</formula>
    </cfRule>
  </conditionalFormatting>
  <printOptions horizontalCentered="1"/>
  <pageMargins left="0.7" right="0.7" top="0.75" bottom="0.75" header="0.3" footer="0.3"/>
  <pageSetup fitToHeight="0" orientation="landscape" r:id="rId1"/>
  <headerFooter>
    <oddHeader>&amp;L&amp;F&amp;C&amp;A&amp;RPage &amp;P of &amp;N</oddHeader>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95338-B787-4BE7-87D1-15D11EB5A201}">
  <sheetPr codeName="Sheet47">
    <tabColor rgb="FF00FF00"/>
    <pageSetUpPr fitToPage="1"/>
  </sheetPr>
  <dimension ref="A1:A26"/>
  <sheetViews>
    <sheetView zoomScaleNormal="100" workbookViewId="0"/>
  </sheetViews>
  <sheetFormatPr defaultRowHeight="14.75" x14ac:dyDescent="0.75"/>
  <cols>
    <col min="1" max="1" width="134.453125" style="1" customWidth="1"/>
  </cols>
  <sheetData>
    <row r="1" spans="1:1" ht="21" x14ac:dyDescent="1">
      <c r="A1" s="96" t="s">
        <v>136</v>
      </c>
    </row>
    <row r="2" spans="1:1" x14ac:dyDescent="0.75">
      <c r="A2" s="79" t="s">
        <v>137</v>
      </c>
    </row>
    <row r="3" spans="1:1" x14ac:dyDescent="0.75">
      <c r="A3" s="79" t="s">
        <v>138</v>
      </c>
    </row>
    <row r="4" spans="1:1" x14ac:dyDescent="0.75">
      <c r="A4" s="79" t="s">
        <v>139</v>
      </c>
    </row>
    <row r="5" spans="1:1" x14ac:dyDescent="0.75">
      <c r="A5" s="79" t="s">
        <v>140</v>
      </c>
    </row>
    <row r="6" spans="1:1" x14ac:dyDescent="0.75">
      <c r="A6" s="174" t="s">
        <v>141</v>
      </c>
    </row>
    <row r="7" spans="1:1" x14ac:dyDescent="0.75">
      <c r="A7" s="174" t="s">
        <v>142</v>
      </c>
    </row>
    <row r="8" spans="1:1" x14ac:dyDescent="0.75">
      <c r="A8" s="174" t="s">
        <v>143</v>
      </c>
    </row>
    <row r="9" spans="1:1" x14ac:dyDescent="0.75">
      <c r="A9" s="174" t="s">
        <v>144</v>
      </c>
    </row>
    <row r="15" spans="1:1" x14ac:dyDescent="0.75">
      <c r="A15" s="79" t="s">
        <v>145</v>
      </c>
    </row>
    <row r="16" spans="1:1" x14ac:dyDescent="0.75">
      <c r="A16" s="174" t="s">
        <v>146</v>
      </c>
    </row>
    <row r="17" spans="1:1" x14ac:dyDescent="0.75">
      <c r="A17" s="174" t="s">
        <v>147</v>
      </c>
    </row>
    <row r="18" spans="1:1" x14ac:dyDescent="0.75">
      <c r="A18" s="174" t="s">
        <v>148</v>
      </c>
    </row>
    <row r="25" spans="1:1" ht="29.5" x14ac:dyDescent="0.75">
      <c r="A25" s="174" t="s">
        <v>150</v>
      </c>
    </row>
    <row r="26" spans="1:1" x14ac:dyDescent="0.75">
      <c r="A26" s="174" t="s">
        <v>149</v>
      </c>
    </row>
  </sheetData>
  <phoneticPr fontId="28" type="noConversion"/>
  <conditionalFormatting sqref="A2:A9">
    <cfRule type="expression" dxfId="5" priority="5" stopIfTrue="1">
      <formula>MOD(ROW(),2)</formula>
    </cfRule>
  </conditionalFormatting>
  <conditionalFormatting sqref="A15:A18">
    <cfRule type="expression" dxfId="4" priority="3" stopIfTrue="1">
      <formula>MOD(ROW(),2)</formula>
    </cfRule>
  </conditionalFormatting>
  <conditionalFormatting sqref="A25:A26">
    <cfRule type="expression" dxfId="3" priority="1" stopIfTrue="1">
      <formula>MOD(ROW(),2)</formula>
    </cfRule>
  </conditionalFormatting>
  <printOptions horizontalCentered="1"/>
  <pageMargins left="0.7" right="0.7" top="0.75" bottom="0.75" header="0.3" footer="0.3"/>
  <pageSetup scale="99" fitToHeight="0" orientation="landscape" r:id="rId1"/>
  <headerFooter>
    <oddHeader>&amp;L&amp;F&amp;C&amp;A&amp;RPage &amp;P of &amp;N</oddHeader>
  </headerFooter>
  <drawing r:id="rId2"/>
  <legacyDrawing r:id="rId3"/>
  <oleObjects>
    <mc:AlternateContent xmlns:mc="http://schemas.openxmlformats.org/markup-compatibility/2006">
      <mc:Choice Requires="x14">
        <oleObject shapeId="10241" r:id="rId4">
          <objectPr defaultSize="0" autoPict="0" r:id="rId5">
            <anchor moveWithCells="1" sizeWithCells="1">
              <from>
                <xdr:col>0</xdr:col>
                <xdr:colOff>92075</xdr:colOff>
                <xdr:row>9</xdr:row>
                <xdr:rowOff>76200</xdr:rowOff>
              </from>
              <to>
                <xdr:col>0</xdr:col>
                <xdr:colOff>4975225</xdr:colOff>
                <xdr:row>13</xdr:row>
                <xdr:rowOff>98425</xdr:rowOff>
              </to>
            </anchor>
          </objectPr>
        </oleObject>
      </mc:Choice>
      <mc:Fallback>
        <oleObject shapeId="10241" r:id="rId4"/>
      </mc:Fallback>
    </mc:AlternateContent>
    <mc:AlternateContent xmlns:mc="http://schemas.openxmlformats.org/markup-compatibility/2006">
      <mc:Choice Requires="x14">
        <oleObject shapeId="10242" r:id="rId6">
          <objectPr defaultSize="0" autoPict="0" r:id="rId7">
            <anchor moveWithCells="1" sizeWithCells="1">
              <from>
                <xdr:col>0</xdr:col>
                <xdr:colOff>92075</xdr:colOff>
                <xdr:row>18</xdr:row>
                <xdr:rowOff>82550</xdr:rowOff>
              </from>
              <to>
                <xdr:col>0</xdr:col>
                <xdr:colOff>6286500</xdr:colOff>
                <xdr:row>23</xdr:row>
                <xdr:rowOff>82550</xdr:rowOff>
              </to>
            </anchor>
          </objectPr>
        </oleObject>
      </mc:Choice>
      <mc:Fallback>
        <oleObject shapeId="10242" r:id="rId6"/>
      </mc:Fallback>
    </mc:AlternateContent>
  </oleObjec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D368CE-C442-4672-93B4-B68869207687}">
  <sheetPr codeName="Sheet48">
    <tabColor rgb="FF00FF00"/>
    <pageSetUpPr fitToPage="1"/>
  </sheetPr>
  <dimension ref="A1"/>
  <sheetViews>
    <sheetView workbookViewId="0"/>
  </sheetViews>
  <sheetFormatPr defaultRowHeight="14.75" x14ac:dyDescent="0.75"/>
  <sheetData/>
  <phoneticPr fontId="28" type="noConversion"/>
  <printOptions horizontalCentered="1"/>
  <pageMargins left="0.7" right="0.7" top="0.75" bottom="0.75" header="0.3" footer="0.3"/>
  <pageSetup fitToHeight="0" orientation="landscape" r:id="rId1"/>
  <headerFooter>
    <oddHeader>&amp;L&amp;F&amp;C&amp;A&amp;RPage &amp;P of &amp;N</oddHead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0ED46-E12F-4221-B232-4151A2E6367D}">
  <sheetPr codeName="Sheet8">
    <tabColor rgb="FF00FF00"/>
    <pageSetUpPr fitToPage="1"/>
  </sheetPr>
  <dimension ref="A1:M84"/>
  <sheetViews>
    <sheetView showGridLines="0" topLeftCell="C1" zoomScale="70" zoomScaleNormal="70" workbookViewId="0"/>
  </sheetViews>
  <sheetFormatPr defaultColWidth="9.08984375" defaultRowHeight="14.75" outlineLevelCol="1" x14ac:dyDescent="0.75"/>
  <cols>
    <col min="1" max="1" width="17.2265625" style="152" hidden="1" customWidth="1" outlineLevel="1"/>
    <col min="2" max="2" width="30.2265625" style="152" hidden="1" customWidth="1" outlineLevel="1"/>
    <col min="3" max="3" width="4" customWidth="1" collapsed="1"/>
    <col min="4" max="4" width="38.2265625" style="152" bestFit="1" customWidth="1" outlineLevel="1"/>
    <col min="5" max="6" width="8.2265625" style="152" bestFit="1" customWidth="1" outlineLevel="1"/>
    <col min="7" max="7" width="4.54296875" customWidth="1"/>
    <col min="8" max="8" width="14.76953125" style="152" bestFit="1" customWidth="1" outlineLevel="1"/>
    <col min="9" max="9" width="6.86328125" style="152" bestFit="1" customWidth="1" outlineLevel="1"/>
    <col min="10" max="10" width="8.2265625" style="152" bestFit="1" customWidth="1" outlineLevel="1"/>
    <col min="11" max="11" width="5.453125" customWidth="1"/>
    <col min="12" max="12" width="24.08984375" style="152" customWidth="1"/>
    <col min="13" max="13" width="17.2265625" style="152" customWidth="1"/>
    <col min="14" max="16384" width="9.08984375" style="152"/>
  </cols>
  <sheetData>
    <row r="1" spans="1:13" x14ac:dyDescent="0.75">
      <c r="A1" s="147" t="s">
        <v>167</v>
      </c>
      <c r="B1" s="147"/>
      <c r="D1" s="155" t="str">
        <f>B2</f>
        <v>Q Corp</v>
      </c>
      <c r="E1" s="155"/>
      <c r="F1" s="155"/>
      <c r="H1" s="155" t="str">
        <f>B2</f>
        <v>Q Corp</v>
      </c>
      <c r="I1" s="155"/>
      <c r="J1" s="155"/>
      <c r="L1" s="167" t="s">
        <v>193</v>
      </c>
      <c r="M1" s="168">
        <f>M7*M10</f>
        <v>7.5171542553191487E-2</v>
      </c>
    </row>
    <row r="2" spans="1:13" ht="26.75" x14ac:dyDescent="0.75">
      <c r="A2" s="152" t="s">
        <v>564</v>
      </c>
      <c r="B2" s="152" t="s">
        <v>168</v>
      </c>
      <c r="D2" s="155" t="str">
        <f>B5</f>
        <v>Balance Sheet ($ in millions)</v>
      </c>
      <c r="E2" s="155"/>
      <c r="F2" s="155"/>
      <c r="H2" s="155" t="str">
        <f>B6</f>
        <v>Income Statement t ($ in millions)</v>
      </c>
      <c r="I2" s="155"/>
      <c r="J2" s="155"/>
      <c r="L2" s="167" t="str">
        <f>"(1-"&amp;L1&amp;")"</f>
        <v>(1-ROA*b)</v>
      </c>
      <c r="M2" s="168">
        <f>1-M1</f>
        <v>0.92482845744680853</v>
      </c>
    </row>
    <row r="3" spans="1:13" ht="26.75" x14ac:dyDescent="0.75">
      <c r="A3" s="152" t="s">
        <v>566</v>
      </c>
      <c r="B3" s="153">
        <v>37621</v>
      </c>
      <c r="D3" s="155" t="str">
        <f>"As of "&amp;TEXT(B3,"mmmm d, yyyy")&amp;" and "&amp;TEXT(B3,"mmmm d, yyyy")</f>
        <v>As of December 31, 2002 and December 31, 2002</v>
      </c>
      <c r="E3" s="155"/>
      <c r="F3" s="155"/>
      <c r="H3" s="155" t="str">
        <f>"For The Year Ended  "&amp;TEXT(B3,"mmmm d, yyyy")</f>
        <v>For The Year Ended  December 31, 2002</v>
      </c>
      <c r="I3" s="155"/>
      <c r="J3" s="155"/>
      <c r="L3" s="167" t="str">
        <f>L1&amp;"/"&amp;L2</f>
        <v>ROA*b/(1-ROA*b)</v>
      </c>
      <c r="M3" s="168">
        <f>M1/M2</f>
        <v>8.1281606278335111E-2</v>
      </c>
    </row>
    <row r="4" spans="1:13" x14ac:dyDescent="0.75">
      <c r="A4" s="152" t="s">
        <v>567</v>
      </c>
      <c r="B4" s="153">
        <f>B3+365</f>
        <v>37986</v>
      </c>
      <c r="E4" s="152">
        <f t="array" ref="E4:F4">TRANSPOSE(YEAR(B3:B4))</f>
        <v>2002</v>
      </c>
      <c r="F4" s="152">
        <v>2003</v>
      </c>
      <c r="H4" s="152" t="s">
        <v>72</v>
      </c>
      <c r="I4" s="160"/>
      <c r="J4" s="160">
        <v>2354</v>
      </c>
      <c r="L4" s="167" t="s">
        <v>194</v>
      </c>
      <c r="M4" s="169">
        <f>M8*M10</f>
        <v>0.10558274187523346</v>
      </c>
    </row>
    <row r="5" spans="1:13" ht="15.75" x14ac:dyDescent="0.75">
      <c r="A5" s="152" t="s">
        <v>169</v>
      </c>
      <c r="B5" s="152" t="s">
        <v>170</v>
      </c>
      <c r="D5" s="156" t="s">
        <v>859</v>
      </c>
      <c r="E5" s="157"/>
      <c r="F5" s="157"/>
      <c r="H5" s="152" t="s">
        <v>546</v>
      </c>
      <c r="I5" s="160"/>
      <c r="J5" s="152">
        <v>1387</v>
      </c>
      <c r="L5" s="167" t="str">
        <f>"(1-"&amp;L4&amp;")"</f>
        <v>(1-ROE*b)</v>
      </c>
      <c r="M5" s="168">
        <f>1-M4</f>
        <v>0.89441725812476658</v>
      </c>
    </row>
    <row r="6" spans="1:13" x14ac:dyDescent="0.75">
      <c r="A6" s="152" t="s">
        <v>570</v>
      </c>
      <c r="B6" s="152" t="s">
        <v>171</v>
      </c>
      <c r="D6" s="152" t="s">
        <v>173</v>
      </c>
      <c r="E6" s="158"/>
      <c r="F6" s="158"/>
      <c r="H6" s="152" t="s">
        <v>493</v>
      </c>
      <c r="I6" s="160"/>
      <c r="J6" s="165">
        <v>276</v>
      </c>
      <c r="L6" s="167" t="str">
        <f>L4&amp;"/"&amp;L5</f>
        <v>ROE*b/(1-ROE*b)</v>
      </c>
      <c r="M6" s="168">
        <f>M4/M5</f>
        <v>0.1180464049817174</v>
      </c>
    </row>
    <row r="7" spans="1:13" x14ac:dyDescent="0.75">
      <c r="A7" s="152" t="s">
        <v>172</v>
      </c>
      <c r="B7" s="154">
        <v>0.34</v>
      </c>
      <c r="D7" s="159" t="s">
        <v>573</v>
      </c>
      <c r="E7" s="160">
        <v>127</v>
      </c>
      <c r="F7" s="160">
        <v>141</v>
      </c>
      <c r="H7" s="152" t="s">
        <v>492</v>
      </c>
      <c r="I7" s="160"/>
      <c r="J7" s="160">
        <f>J4-SUM(J5:J6)</f>
        <v>691</v>
      </c>
      <c r="L7" s="167" t="str">
        <f>"ROA = "&amp;DOLLAR(J11,0)&amp;"/"&amp;DOLLAR(F13,0)&amp;" ="</f>
        <v>ROA = $377/$3,760 =</v>
      </c>
      <c r="M7" s="167">
        <f>J11/F13</f>
        <v>0.10022872340425533</v>
      </c>
    </row>
    <row r="8" spans="1:13" x14ac:dyDescent="0.75">
      <c r="D8" s="159" t="s">
        <v>174</v>
      </c>
      <c r="E8" s="152">
        <v>208</v>
      </c>
      <c r="F8" s="152">
        <v>231</v>
      </c>
      <c r="H8" s="152" t="s">
        <v>190</v>
      </c>
      <c r="I8" s="160"/>
      <c r="J8" s="165">
        <v>120</v>
      </c>
      <c r="L8" s="167" t="str">
        <f>"ROE = "&amp;DOLLAR(J11,0)&amp;"/"&amp;DOLLAR(F24,0)&amp;" ="</f>
        <v>ROE = $377/$2,677 =</v>
      </c>
      <c r="M8" s="167">
        <f>J11/F24</f>
        <v>0.14077698916697798</v>
      </c>
    </row>
    <row r="9" spans="1:13" ht="26.75" x14ac:dyDescent="0.75">
      <c r="D9" s="159" t="s">
        <v>577</v>
      </c>
      <c r="E9" s="152">
        <v>436</v>
      </c>
      <c r="F9" s="152">
        <v>465</v>
      </c>
      <c r="H9" s="152" t="s">
        <v>191</v>
      </c>
      <c r="I9" s="160"/>
      <c r="J9" s="160">
        <f>J7-J8</f>
        <v>571</v>
      </c>
      <c r="L9" s="167" t="str">
        <f>"Div. Payout Rate (DPR) = "&amp;DOLLAR(I12,0)&amp;"/"&amp;DOLLAR($J$11,0)&amp;" ="</f>
        <v>Div. Payout Rate (DPR) = $94/$377 =</v>
      </c>
      <c r="M9" s="170">
        <f>I12/$J$11</f>
        <v>0.25</v>
      </c>
    </row>
    <row r="10" spans="1:13" x14ac:dyDescent="0.75">
      <c r="D10" s="161" t="s">
        <v>175</v>
      </c>
      <c r="E10" s="160">
        <f>SUM(E7:E9)</f>
        <v>771</v>
      </c>
      <c r="F10" s="160">
        <f>SUM(F7:F9)</f>
        <v>837</v>
      </c>
      <c r="H10" s="152" t="str">
        <f>"Taxes ("&amp;TEXT(B7,"0%")&amp;")"</f>
        <v>Taxes (34%)</v>
      </c>
      <c r="I10" s="160"/>
      <c r="J10" s="165">
        <f>J9*B7</f>
        <v>194.14000000000001</v>
      </c>
      <c r="L10" s="167" t="str">
        <f>"b = "&amp;DOLLAR(I13,0)&amp;"/"&amp;DOLLAR($J$11,0)&amp;" ="</f>
        <v>b = $283/$377 =</v>
      </c>
      <c r="M10" s="170">
        <f>I13/$J$11</f>
        <v>0.74999999999999989</v>
      </c>
    </row>
    <row r="11" spans="1:13" ht="15.5" thickBot="1" x14ac:dyDescent="0.9">
      <c r="D11" s="152" t="s">
        <v>176</v>
      </c>
      <c r="E11" s="158"/>
      <c r="F11" s="158"/>
      <c r="H11" s="152" t="s">
        <v>858</v>
      </c>
      <c r="I11" s="160"/>
      <c r="J11" s="162">
        <f>J9-J10</f>
        <v>376.86</v>
      </c>
      <c r="L11" s="167" t="s">
        <v>195</v>
      </c>
      <c r="M11" s="167">
        <f>SUM(M9:M10)</f>
        <v>0.99999999999999989</v>
      </c>
    </row>
    <row r="12" spans="1:13" ht="27.5" thickTop="1" x14ac:dyDescent="0.75">
      <c r="D12" s="159" t="s">
        <v>177</v>
      </c>
      <c r="E12" s="152">
        <v>2774</v>
      </c>
      <c r="F12" s="152">
        <v>2923</v>
      </c>
      <c r="H12" s="152" t="s">
        <v>495</v>
      </c>
      <c r="I12" s="160">
        <f>J11/4</f>
        <v>94.215000000000003</v>
      </c>
      <c r="J12" s="160"/>
      <c r="L12" s="167" t="str">
        <f>"Internal Growth Rate = "&amp;L3&amp;" = "</f>
        <v xml:space="preserve">Internal Growth Rate = ROA*b/(1-ROA*b) = </v>
      </c>
      <c r="M12" s="168">
        <f>M7*$M$10/(1-M7*$M$10)</f>
        <v>8.1281606278335111E-2</v>
      </c>
    </row>
    <row r="13" spans="1:13" ht="27.5" thickBot="1" x14ac:dyDescent="0.9">
      <c r="D13" s="152" t="s">
        <v>178</v>
      </c>
      <c r="E13" s="162">
        <f>SUM(E12,E10)</f>
        <v>3545</v>
      </c>
      <c r="F13" s="162">
        <f>SUM(F12,F10)</f>
        <v>3760</v>
      </c>
      <c r="H13" s="152" t="s">
        <v>192</v>
      </c>
      <c r="I13" s="160">
        <f>J11-I12</f>
        <v>282.64499999999998</v>
      </c>
      <c r="J13" s="160"/>
      <c r="L13" s="167" t="str">
        <f>"Sustainable Growth Rate = "&amp;L6&amp;" = "</f>
        <v xml:space="preserve">Sustainable Growth Rate = ROE*b/(1-ROE*b) = </v>
      </c>
      <c r="M13" s="168">
        <f>M8*$M$10/(1-M8*$M$10)</f>
        <v>0.1180464049817174</v>
      </c>
    </row>
    <row r="14" spans="1:13" ht="17.25" thickTop="1" thickBot="1" x14ac:dyDescent="0.9">
      <c r="D14" s="156" t="s">
        <v>179</v>
      </c>
      <c r="E14" s="158"/>
      <c r="F14" s="158"/>
      <c r="H14" s="163"/>
      <c r="I14" s="163"/>
      <c r="J14" s="163"/>
    </row>
    <row r="15" spans="1:13" ht="15.5" thickTop="1" x14ac:dyDescent="0.75">
      <c r="D15" s="152" t="s">
        <v>180</v>
      </c>
      <c r="E15" s="158"/>
      <c r="F15" s="158"/>
      <c r="L15" s="167" t="str">
        <f>L7</f>
        <v>ROA = $377/$3,760 =</v>
      </c>
      <c r="M15" s="167"/>
    </row>
    <row r="16" spans="1:13" x14ac:dyDescent="0.75">
      <c r="D16" s="159" t="s">
        <v>181</v>
      </c>
      <c r="E16" s="152">
        <v>355</v>
      </c>
      <c r="F16" s="152">
        <v>387</v>
      </c>
      <c r="L16" s="167" t="str">
        <f>L8</f>
        <v>ROE = $377/$2,677 =</v>
      </c>
      <c r="M16" s="167"/>
    </row>
    <row r="17" spans="4:13" x14ac:dyDescent="0.75">
      <c r="D17" s="159" t="s">
        <v>182</v>
      </c>
      <c r="E17" s="152">
        <v>274</v>
      </c>
      <c r="F17" s="152">
        <v>239</v>
      </c>
      <c r="L17" s="167"/>
      <c r="M17" s="167"/>
    </row>
    <row r="18" spans="4:13" ht="26.75" x14ac:dyDescent="0.75">
      <c r="D18" s="161" t="s">
        <v>183</v>
      </c>
      <c r="E18" s="160">
        <f>SUM(E16:E17)</f>
        <v>629</v>
      </c>
      <c r="F18" s="160">
        <f>SUM(F16:F17)</f>
        <v>626</v>
      </c>
      <c r="L18" s="167" t="str">
        <f>L9</f>
        <v>Div. Payout Rate (DPR) = $94/$377 =</v>
      </c>
      <c r="M18" s="167"/>
    </row>
    <row r="19" spans="4:13" x14ac:dyDescent="0.75">
      <c r="D19" s="152" t="s">
        <v>184</v>
      </c>
      <c r="E19" s="152">
        <v>531</v>
      </c>
      <c r="F19" s="152">
        <v>457</v>
      </c>
      <c r="L19" s="167" t="str">
        <f>L10</f>
        <v>b = $283/$377 =</v>
      </c>
      <c r="M19" s="167"/>
    </row>
    <row r="20" spans="4:13" x14ac:dyDescent="0.75">
      <c r="D20" s="159" t="s">
        <v>185</v>
      </c>
      <c r="E20" s="160">
        <f>SUM(E18:E19)</f>
        <v>1160</v>
      </c>
      <c r="F20" s="160">
        <f>SUM(F18:F19)</f>
        <v>1083</v>
      </c>
      <c r="L20" s="167" t="str">
        <f>L11</f>
        <v>SUM =</v>
      </c>
      <c r="M20" s="167"/>
    </row>
    <row r="21" spans="4:13" x14ac:dyDescent="0.75">
      <c r="D21" s="152" t="s">
        <v>186</v>
      </c>
      <c r="E21" s="158"/>
      <c r="F21" s="158"/>
      <c r="L21" s="167"/>
      <c r="M21" s="167"/>
    </row>
    <row r="22" spans="4:13" ht="26.75" x14ac:dyDescent="0.75">
      <c r="D22" s="159" t="s">
        <v>548</v>
      </c>
      <c r="E22" s="152">
        <v>543</v>
      </c>
      <c r="F22" s="152">
        <v>593</v>
      </c>
      <c r="L22" s="167" t="str">
        <f>L12</f>
        <v xml:space="preserve">Internal Growth Rate = ROA*b/(1-ROA*b) = </v>
      </c>
      <c r="M22" s="167"/>
    </row>
    <row r="23" spans="4:13" ht="26.75" x14ac:dyDescent="0.75">
      <c r="D23" s="159" t="s">
        <v>187</v>
      </c>
      <c r="E23" s="152">
        <v>1842</v>
      </c>
      <c r="F23" s="152">
        <v>2084</v>
      </c>
      <c r="L23" s="167" t="str">
        <f>L13</f>
        <v xml:space="preserve">Sustainable Growth Rate = ROE*b/(1-ROE*b) = </v>
      </c>
      <c r="M23" s="167"/>
    </row>
    <row r="24" spans="4:13" x14ac:dyDescent="0.75">
      <c r="D24" s="161" t="s">
        <v>188</v>
      </c>
      <c r="E24" s="160">
        <f>SUM(E22:E23)</f>
        <v>2385</v>
      </c>
      <c r="F24" s="160">
        <f>SUM(F22:F23)</f>
        <v>2677</v>
      </c>
    </row>
    <row r="25" spans="4:13" ht="15.5" thickBot="1" x14ac:dyDescent="0.9">
      <c r="D25" s="152" t="s">
        <v>189</v>
      </c>
      <c r="E25" s="162">
        <f>SUM(E24,E20)</f>
        <v>3545</v>
      </c>
      <c r="F25" s="162">
        <f>SUM(F24,F20)</f>
        <v>3760</v>
      </c>
    </row>
    <row r="26" spans="4:13" ht="16.25" thickTop="1" thickBot="1" x14ac:dyDescent="0.9">
      <c r="D26" s="163"/>
      <c r="E26" s="164"/>
      <c r="F26" s="164"/>
    </row>
    <row r="27" spans="4:13" ht="15.5" thickTop="1" x14ac:dyDescent="0.75"/>
    <row r="35" ht="9" customHeight="1" x14ac:dyDescent="0.75"/>
    <row r="50" spans="3:11" ht="6.75" customHeight="1" x14ac:dyDescent="0.75"/>
    <row r="51" spans="3:11" s="166" customFormat="1" x14ac:dyDescent="0.75">
      <c r="C51"/>
      <c r="G51"/>
      <c r="K51"/>
    </row>
    <row r="52" spans="3:11" s="166" customFormat="1" x14ac:dyDescent="0.75">
      <c r="C52"/>
      <c r="G52"/>
      <c r="K52"/>
    </row>
    <row r="53" spans="3:11" s="166" customFormat="1" x14ac:dyDescent="0.75">
      <c r="C53"/>
      <c r="G53"/>
      <c r="K53"/>
    </row>
    <row r="54" spans="3:11" s="166" customFormat="1" x14ac:dyDescent="0.75">
      <c r="C54"/>
      <c r="G54"/>
      <c r="K54"/>
    </row>
    <row r="55" spans="3:11" s="166" customFormat="1" x14ac:dyDescent="0.75">
      <c r="C55"/>
      <c r="G55"/>
      <c r="K55"/>
    </row>
    <row r="56" spans="3:11" s="166" customFormat="1" x14ac:dyDescent="0.75">
      <c r="C56"/>
      <c r="G56"/>
      <c r="K56"/>
    </row>
    <row r="57" spans="3:11" s="166" customFormat="1" x14ac:dyDescent="0.75">
      <c r="C57"/>
      <c r="G57"/>
      <c r="K57"/>
    </row>
    <row r="58" spans="3:11" s="166" customFormat="1" x14ac:dyDescent="0.75">
      <c r="C58"/>
      <c r="G58"/>
      <c r="K58"/>
    </row>
    <row r="59" spans="3:11" s="166" customFormat="1" x14ac:dyDescent="0.75">
      <c r="C59"/>
      <c r="G59"/>
      <c r="K59"/>
    </row>
    <row r="60" spans="3:11" s="166" customFormat="1" x14ac:dyDescent="0.75">
      <c r="C60"/>
      <c r="G60"/>
      <c r="K60"/>
    </row>
    <row r="61" spans="3:11" s="166" customFormat="1" x14ac:dyDescent="0.75">
      <c r="C61"/>
      <c r="G61"/>
      <c r="K61"/>
    </row>
    <row r="62" spans="3:11" s="166" customFormat="1" x14ac:dyDescent="0.75">
      <c r="C62"/>
      <c r="G62"/>
      <c r="K62"/>
    </row>
    <row r="63" spans="3:11" s="166" customFormat="1" x14ac:dyDescent="0.75">
      <c r="C63"/>
      <c r="G63"/>
      <c r="K63"/>
    </row>
    <row r="64" spans="3:11" s="166" customFormat="1" x14ac:dyDescent="0.75">
      <c r="C64"/>
      <c r="G64"/>
      <c r="K64"/>
    </row>
    <row r="65" spans="3:11" s="166" customFormat="1" x14ac:dyDescent="0.75">
      <c r="C65"/>
      <c r="G65"/>
      <c r="K65"/>
    </row>
    <row r="66" spans="3:11" s="166" customFormat="1" x14ac:dyDescent="0.75">
      <c r="C66"/>
      <c r="G66"/>
      <c r="K66"/>
    </row>
    <row r="67" spans="3:11" s="166" customFormat="1" x14ac:dyDescent="0.75">
      <c r="C67"/>
      <c r="G67"/>
      <c r="K67"/>
    </row>
    <row r="68" spans="3:11" s="166" customFormat="1" x14ac:dyDescent="0.75">
      <c r="C68"/>
      <c r="G68"/>
      <c r="K68"/>
    </row>
    <row r="69" spans="3:11" s="166" customFormat="1" x14ac:dyDescent="0.75">
      <c r="C69"/>
      <c r="G69"/>
      <c r="K69"/>
    </row>
    <row r="70" spans="3:11" s="166" customFormat="1" x14ac:dyDescent="0.75">
      <c r="C70"/>
      <c r="G70"/>
      <c r="K70"/>
    </row>
    <row r="71" spans="3:11" s="166" customFormat="1" x14ac:dyDescent="0.75">
      <c r="C71"/>
      <c r="G71"/>
      <c r="K71"/>
    </row>
    <row r="72" spans="3:11" s="166" customFormat="1" ht="33" customHeight="1" x14ac:dyDescent="0.75">
      <c r="C72"/>
      <c r="G72"/>
      <c r="K72"/>
    </row>
    <row r="73" spans="3:11" ht="33" customHeight="1" x14ac:dyDescent="0.75"/>
    <row r="74" spans="3:11" ht="8.25" customHeight="1" x14ac:dyDescent="0.75"/>
    <row r="75" spans="3:11" ht="33" customHeight="1" x14ac:dyDescent="0.75"/>
    <row r="76" spans="3:11" ht="33" customHeight="1" x14ac:dyDescent="0.75"/>
    <row r="77" spans="3:11" ht="33" customHeight="1" x14ac:dyDescent="0.75"/>
    <row r="78" spans="3:11" ht="8.25" customHeight="1" x14ac:dyDescent="0.75"/>
    <row r="79" spans="3:11" ht="72.75" customHeight="1" x14ac:dyDescent="0.75"/>
    <row r="80" spans="3:11" ht="72.75" customHeight="1" x14ac:dyDescent="0.75"/>
    <row r="81" spans="12:12" x14ac:dyDescent="0.75">
      <c r="L81" s="166"/>
    </row>
    <row r="82" spans="12:12" x14ac:dyDescent="0.75">
      <c r="L82" s="166"/>
    </row>
    <row r="83" spans="12:12" x14ac:dyDescent="0.75">
      <c r="L83" s="166"/>
    </row>
    <row r="84" spans="12:12" x14ac:dyDescent="0.75">
      <c r="L84" s="166"/>
    </row>
  </sheetData>
  <phoneticPr fontId="28" type="noConversion"/>
  <printOptions horizontalCentered="1"/>
  <pageMargins left="0.7" right="0.7" top="0.75" bottom="0.75" header="0.3" footer="0.3"/>
  <pageSetup scale="87" fitToHeight="0" orientation="landscape" r:id="rId1"/>
  <headerFooter>
    <oddHeader>&amp;L&amp;F&amp;C&amp;A&amp;RPage &amp;P of &amp;N</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FD5213-B14D-4B59-8C78-E20C9E76E78D}">
  <sheetPr codeName="Sheet49">
    <tabColor rgb="FF00FF00"/>
    <pageSetUpPr fitToPage="1"/>
  </sheetPr>
  <dimension ref="A1:A11"/>
  <sheetViews>
    <sheetView workbookViewId="0"/>
  </sheetViews>
  <sheetFormatPr defaultRowHeight="14.75" x14ac:dyDescent="0.75"/>
  <cols>
    <col min="1" max="1" width="48.86328125" bestFit="1" customWidth="1"/>
  </cols>
  <sheetData>
    <row r="1" spans="1:1" ht="21" x14ac:dyDescent="1">
      <c r="A1" s="116" t="s">
        <v>151</v>
      </c>
    </row>
    <row r="2" spans="1:1" x14ac:dyDescent="0.75">
      <c r="A2" s="2"/>
    </row>
    <row r="3" spans="1:1" ht="21" x14ac:dyDescent="1">
      <c r="A3" s="116" t="s">
        <v>152</v>
      </c>
    </row>
    <row r="4" spans="1:1" x14ac:dyDescent="0.75">
      <c r="A4" s="98" t="s">
        <v>153</v>
      </c>
    </row>
    <row r="5" spans="1:1" x14ac:dyDescent="0.75">
      <c r="A5" s="98" t="s">
        <v>154</v>
      </c>
    </row>
    <row r="6" spans="1:1" x14ac:dyDescent="0.75">
      <c r="A6" s="115" t="s">
        <v>155</v>
      </c>
    </row>
    <row r="7" spans="1:1" ht="21" x14ac:dyDescent="1">
      <c r="A7" s="116" t="s">
        <v>156</v>
      </c>
    </row>
    <row r="8" spans="1:1" x14ac:dyDescent="0.75">
      <c r="A8" s="98" t="s">
        <v>157</v>
      </c>
    </row>
    <row r="9" spans="1:1" x14ac:dyDescent="0.75">
      <c r="A9" s="98" t="s">
        <v>158</v>
      </c>
    </row>
    <row r="10" spans="1:1" x14ac:dyDescent="0.75">
      <c r="A10" s="98" t="s">
        <v>159</v>
      </c>
    </row>
    <row r="11" spans="1:1" x14ac:dyDescent="0.75">
      <c r="A11" s="98" t="s">
        <v>160</v>
      </c>
    </row>
  </sheetData>
  <phoneticPr fontId="28" type="noConversion"/>
  <conditionalFormatting sqref="A2">
    <cfRule type="expression" dxfId="2" priority="5" stopIfTrue="1">
      <formula>MOD(ROW(),2)</formula>
    </cfRule>
  </conditionalFormatting>
  <conditionalFormatting sqref="A4:A6">
    <cfRule type="expression" dxfId="1" priority="3" stopIfTrue="1">
      <formula>MOD(ROW(),2)</formula>
    </cfRule>
  </conditionalFormatting>
  <conditionalFormatting sqref="A8:A11">
    <cfRule type="expression" dxfId="0" priority="1" stopIfTrue="1">
      <formula>MOD(ROW(),2)</formula>
    </cfRule>
  </conditionalFormatting>
  <printOptions horizontalCentered="1"/>
  <pageMargins left="0.7" right="0.7" top="0.75" bottom="0.75" header="0.3" footer="0.3"/>
  <pageSetup fitToHeight="0" orientation="landscape" r:id="rId1"/>
  <headerFooter>
    <oddHeader>&amp;L&amp;F&amp;C&amp;A&amp;RPage &amp;P of &amp;N</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679B6-4BAA-47DF-A8DA-3087903E238F}">
  <sheetPr codeName="Sheet14">
    <tabColor rgb="FFFF0000"/>
  </sheetPr>
  <dimension ref="A1:G29"/>
  <sheetViews>
    <sheetView topLeftCell="A13" zoomScaleNormal="100" workbookViewId="0">
      <selection activeCell="G29" sqref="G29"/>
    </sheetView>
  </sheetViews>
  <sheetFormatPr defaultRowHeight="14.75" x14ac:dyDescent="0.75"/>
  <cols>
    <col min="1" max="1" width="33.86328125" bestFit="1" customWidth="1"/>
    <col min="2" max="7" width="12.86328125" customWidth="1"/>
  </cols>
  <sheetData>
    <row r="1" spans="1:7" ht="44.25" x14ac:dyDescent="0.75">
      <c r="A1" s="243" t="s">
        <v>918</v>
      </c>
      <c r="B1" s="243" t="s">
        <v>485</v>
      </c>
      <c r="C1" s="243" t="s">
        <v>486</v>
      </c>
      <c r="D1" s="243" t="s">
        <v>487</v>
      </c>
      <c r="E1" s="243" t="s">
        <v>488</v>
      </c>
      <c r="F1" s="243" t="s">
        <v>489</v>
      </c>
      <c r="G1" s="243" t="s">
        <v>490</v>
      </c>
    </row>
    <row r="2" spans="1:7" x14ac:dyDescent="0.75">
      <c r="A2" s="2" t="s">
        <v>874</v>
      </c>
      <c r="B2" s="2" t="s">
        <v>875</v>
      </c>
      <c r="C2" s="2">
        <v>28.08</v>
      </c>
      <c r="D2" s="2">
        <v>14.59</v>
      </c>
      <c r="E2" s="2">
        <v>1.51</v>
      </c>
      <c r="F2" s="2">
        <v>-6.07</v>
      </c>
      <c r="G2" s="2">
        <v>6.65</v>
      </c>
    </row>
    <row r="3" spans="1:7" x14ac:dyDescent="0.75">
      <c r="A3" s="2" t="s">
        <v>876</v>
      </c>
      <c r="B3" s="2" t="s">
        <v>877</v>
      </c>
      <c r="C3" s="2">
        <v>17.5</v>
      </c>
      <c r="D3" s="2">
        <v>13.1</v>
      </c>
      <c r="E3" s="2">
        <v>1.04</v>
      </c>
      <c r="F3" s="2">
        <v>6.01</v>
      </c>
      <c r="G3" s="2">
        <v>1.8</v>
      </c>
    </row>
    <row r="4" spans="1:7" x14ac:dyDescent="0.75">
      <c r="A4" s="2" t="s">
        <v>878</v>
      </c>
      <c r="B4" s="2"/>
      <c r="C4" s="2"/>
      <c r="D4" s="2"/>
      <c r="E4" s="2"/>
      <c r="F4" s="2"/>
      <c r="G4" s="2"/>
    </row>
    <row r="5" spans="1:7" x14ac:dyDescent="0.75">
      <c r="A5" s="2" t="s">
        <v>879</v>
      </c>
      <c r="B5" s="2" t="s">
        <v>880</v>
      </c>
      <c r="C5" s="2">
        <v>17.27</v>
      </c>
      <c r="D5" s="2">
        <v>30.63</v>
      </c>
      <c r="E5" s="2">
        <v>0.01</v>
      </c>
      <c r="F5" s="2">
        <v>4.8</v>
      </c>
      <c r="G5" s="2">
        <v>5.42</v>
      </c>
    </row>
    <row r="6" spans="1:7" x14ac:dyDescent="0.75">
      <c r="A6" s="2" t="s">
        <v>881</v>
      </c>
      <c r="B6" s="2" t="s">
        <v>882</v>
      </c>
      <c r="C6" s="2">
        <v>11.68</v>
      </c>
      <c r="D6" s="2">
        <v>22.57</v>
      </c>
      <c r="E6" s="2">
        <v>1.2</v>
      </c>
      <c r="F6" s="2">
        <v>2.1</v>
      </c>
      <c r="G6" s="2">
        <v>2.21</v>
      </c>
    </row>
    <row r="7" spans="1:7" x14ac:dyDescent="0.75">
      <c r="A7" s="2" t="s">
        <v>884</v>
      </c>
      <c r="B7" s="2" t="s">
        <v>885</v>
      </c>
      <c r="C7" s="2">
        <v>19.670000000000002</v>
      </c>
      <c r="D7" s="2">
        <v>13.43</v>
      </c>
      <c r="E7" s="2">
        <v>0.39</v>
      </c>
      <c r="F7" s="2">
        <v>2.4500000000000002</v>
      </c>
      <c r="G7" s="2">
        <v>2.33</v>
      </c>
    </row>
    <row r="8" spans="1:7" x14ac:dyDescent="0.75">
      <c r="A8" s="2" t="s">
        <v>886</v>
      </c>
      <c r="B8" s="2" t="s">
        <v>887</v>
      </c>
      <c r="C8" s="2">
        <v>19.37</v>
      </c>
      <c r="D8" s="2">
        <v>11.06</v>
      </c>
      <c r="E8" s="2">
        <v>0.8</v>
      </c>
      <c r="F8" s="2">
        <v>1.85</v>
      </c>
      <c r="G8" s="2">
        <v>1.69</v>
      </c>
    </row>
    <row r="9" spans="1:7" x14ac:dyDescent="0.75">
      <c r="A9" s="2" t="s">
        <v>888</v>
      </c>
      <c r="B9" s="2" t="s">
        <v>889</v>
      </c>
      <c r="C9" s="2" t="s">
        <v>883</v>
      </c>
      <c r="D9" s="2">
        <v>-15.81</v>
      </c>
      <c r="E9" s="2" t="s">
        <v>883</v>
      </c>
      <c r="F9" s="2">
        <v>0.86</v>
      </c>
      <c r="G9" s="2">
        <v>-18.809999999999999</v>
      </c>
    </row>
    <row r="10" spans="1:7" x14ac:dyDescent="0.75">
      <c r="A10" s="2" t="s">
        <v>281</v>
      </c>
      <c r="B10" s="2" t="s">
        <v>890</v>
      </c>
      <c r="C10" s="2">
        <v>36.76</v>
      </c>
      <c r="D10" s="2">
        <v>9.0399999999999991</v>
      </c>
      <c r="E10" s="2">
        <v>0.87</v>
      </c>
      <c r="F10" s="2">
        <v>3.29</v>
      </c>
      <c r="G10" s="2">
        <v>2.72</v>
      </c>
    </row>
    <row r="11" spans="1:7" x14ac:dyDescent="0.75">
      <c r="A11" s="2" t="s">
        <v>891</v>
      </c>
      <c r="B11" s="2" t="s">
        <v>892</v>
      </c>
      <c r="C11" s="2">
        <v>12.69</v>
      </c>
      <c r="D11" s="2">
        <v>17.63</v>
      </c>
      <c r="E11" s="2">
        <v>1.63</v>
      </c>
      <c r="F11" s="2">
        <v>2.1</v>
      </c>
      <c r="G11" s="2">
        <v>2.67</v>
      </c>
    </row>
    <row r="12" spans="1:7" x14ac:dyDescent="0.75">
      <c r="A12" s="2" t="s">
        <v>893</v>
      </c>
      <c r="B12" s="2" t="s">
        <v>894</v>
      </c>
      <c r="C12" s="2">
        <v>17.09</v>
      </c>
      <c r="D12" s="2">
        <v>25.03</v>
      </c>
      <c r="E12" s="2">
        <v>1.34</v>
      </c>
      <c r="F12" s="2">
        <v>3.98</v>
      </c>
      <c r="G12" s="2">
        <v>1.65</v>
      </c>
    </row>
    <row r="13" spans="1:7" x14ac:dyDescent="0.75">
      <c r="A13" s="2" t="s">
        <v>895</v>
      </c>
      <c r="B13" s="2" t="s">
        <v>896</v>
      </c>
      <c r="C13" s="2">
        <v>12.91</v>
      </c>
      <c r="D13" s="2">
        <v>14.1</v>
      </c>
      <c r="E13" s="2">
        <v>3.24</v>
      </c>
      <c r="F13" s="2">
        <v>1.67</v>
      </c>
      <c r="G13" s="2">
        <v>0.7</v>
      </c>
    </row>
    <row r="14" spans="1:7" x14ac:dyDescent="0.75">
      <c r="A14" s="2" t="s">
        <v>897</v>
      </c>
      <c r="B14" s="2" t="s">
        <v>898</v>
      </c>
      <c r="C14" s="2" t="s">
        <v>883</v>
      </c>
      <c r="D14" s="2">
        <v>-23.77</v>
      </c>
      <c r="E14" s="2">
        <v>6.11</v>
      </c>
      <c r="F14" s="2">
        <v>6.56</v>
      </c>
      <c r="G14" s="2">
        <v>-1.88</v>
      </c>
    </row>
    <row r="15" spans="1:7" x14ac:dyDescent="0.75">
      <c r="A15" s="2" t="s">
        <v>899</v>
      </c>
      <c r="B15" s="2" t="s">
        <v>883</v>
      </c>
      <c r="C15" s="2" t="s">
        <v>883</v>
      </c>
      <c r="D15" s="2">
        <v>23.5</v>
      </c>
      <c r="E15" s="2" t="s">
        <v>883</v>
      </c>
      <c r="F15" s="2" t="s">
        <v>883</v>
      </c>
      <c r="G15" s="2">
        <v>5.42</v>
      </c>
    </row>
    <row r="16" spans="1:7" x14ac:dyDescent="0.75">
      <c r="A16" s="2" t="s">
        <v>900</v>
      </c>
      <c r="B16" s="2" t="s">
        <v>901</v>
      </c>
      <c r="C16" s="2">
        <v>21.09</v>
      </c>
      <c r="D16" s="2">
        <v>11.29</v>
      </c>
      <c r="E16" s="2">
        <v>0.4</v>
      </c>
      <c r="F16" s="2">
        <v>2.25</v>
      </c>
      <c r="G16" s="2">
        <v>2.2999999999999998</v>
      </c>
    </row>
    <row r="17" spans="1:7" x14ac:dyDescent="0.75">
      <c r="A17" s="2" t="s">
        <v>902</v>
      </c>
      <c r="B17" s="2" t="s">
        <v>903</v>
      </c>
      <c r="C17" s="2">
        <v>16.86</v>
      </c>
      <c r="D17" s="2">
        <v>14.99</v>
      </c>
      <c r="E17" s="2">
        <v>0.97</v>
      </c>
      <c r="F17" s="2">
        <v>2.33</v>
      </c>
      <c r="G17" s="2">
        <v>2.2200000000000002</v>
      </c>
    </row>
    <row r="18" spans="1:7" x14ac:dyDescent="0.75">
      <c r="A18" s="2" t="s">
        <v>904</v>
      </c>
      <c r="B18" s="2" t="s">
        <v>905</v>
      </c>
      <c r="C18" s="2">
        <v>14.78</v>
      </c>
      <c r="D18" s="2">
        <v>9.48</v>
      </c>
      <c r="E18" s="2">
        <v>1.65</v>
      </c>
      <c r="F18" s="2">
        <v>1.36</v>
      </c>
      <c r="G18" s="2">
        <v>1.1100000000000001</v>
      </c>
    </row>
    <row r="19" spans="1:7" x14ac:dyDescent="0.75">
      <c r="A19" s="2" t="s">
        <v>906</v>
      </c>
      <c r="B19" s="2" t="s">
        <v>907</v>
      </c>
      <c r="C19" s="2">
        <v>942.73</v>
      </c>
      <c r="D19" s="2">
        <v>0.19</v>
      </c>
      <c r="E19" s="2">
        <v>0.72</v>
      </c>
      <c r="F19" s="2">
        <v>2.1</v>
      </c>
      <c r="G19" s="2">
        <v>0.91</v>
      </c>
    </row>
    <row r="20" spans="1:7" x14ac:dyDescent="0.75">
      <c r="A20" s="2" t="s">
        <v>908</v>
      </c>
      <c r="B20" s="2" t="s">
        <v>909</v>
      </c>
      <c r="C20" s="2" t="s">
        <v>883</v>
      </c>
      <c r="D20" s="2">
        <v>1.91</v>
      </c>
      <c r="E20" s="2">
        <v>0.56999999999999995</v>
      </c>
      <c r="F20" s="2">
        <v>2.3199999999999998</v>
      </c>
      <c r="G20" s="2">
        <v>-2.17</v>
      </c>
    </row>
    <row r="21" spans="1:7" x14ac:dyDescent="0.75">
      <c r="A21" s="2" t="s">
        <v>910</v>
      </c>
      <c r="B21" s="2" t="s">
        <v>911</v>
      </c>
      <c r="C21" s="2">
        <v>17.36</v>
      </c>
      <c r="D21" s="2">
        <v>12.48</v>
      </c>
      <c r="E21" s="2">
        <v>0.17</v>
      </c>
      <c r="F21" s="2">
        <v>2.08</v>
      </c>
      <c r="G21" s="2">
        <v>1.91</v>
      </c>
    </row>
    <row r="22" spans="1:7" x14ac:dyDescent="0.75">
      <c r="A22" s="2" t="s">
        <v>912</v>
      </c>
      <c r="B22" s="2" t="s">
        <v>913</v>
      </c>
      <c r="C22" s="2">
        <v>20.13</v>
      </c>
      <c r="D22" s="2">
        <v>9.0399999999999991</v>
      </c>
      <c r="E22" s="2" t="s">
        <v>883</v>
      </c>
      <c r="F22" s="2">
        <v>1.78</v>
      </c>
      <c r="G22" s="2">
        <v>3.14</v>
      </c>
    </row>
    <row r="23" spans="1:7" x14ac:dyDescent="0.75">
      <c r="A23" s="2" t="s">
        <v>914</v>
      </c>
      <c r="B23" s="2" t="s">
        <v>915</v>
      </c>
      <c r="C23" s="2">
        <v>38.03</v>
      </c>
      <c r="D23" s="2">
        <v>13.11</v>
      </c>
      <c r="E23" s="2">
        <v>0</v>
      </c>
      <c r="F23" s="2">
        <v>4.87</v>
      </c>
      <c r="G23" s="2">
        <v>3.24</v>
      </c>
    </row>
    <row r="24" spans="1:7" x14ac:dyDescent="0.75">
      <c r="A24" s="2" t="s">
        <v>916</v>
      </c>
      <c r="B24" s="2" t="s">
        <v>917</v>
      </c>
      <c r="C24" s="2">
        <v>5.14</v>
      </c>
      <c r="D24" s="2">
        <v>108.9</v>
      </c>
      <c r="E24" s="2">
        <v>0.03</v>
      </c>
      <c r="F24" s="2">
        <v>1.19</v>
      </c>
      <c r="G24" s="2">
        <v>1.23</v>
      </c>
    </row>
    <row r="25" spans="1:7" ht="44.25" x14ac:dyDescent="0.75">
      <c r="B25" s="243"/>
      <c r="C25" s="243" t="str">
        <f>C1</f>
        <v xml:space="preserve">P/E </v>
      </c>
      <c r="D25" s="243" t="str">
        <f>D1</f>
        <v xml:space="preserve">ROE % </v>
      </c>
      <c r="E25" s="243" t="str">
        <f>E1</f>
        <v>Long-Term Debt to Equity</v>
      </c>
      <c r="F25" s="243" t="str">
        <f>F1</f>
        <v>Price to Book Value</v>
      </c>
      <c r="G25" s="243" t="str">
        <f>G1</f>
        <v>Net Profit Margin % (mrq)</v>
      </c>
    </row>
    <row r="26" spans="1:7" x14ac:dyDescent="0.75">
      <c r="A26" s="171" t="s">
        <v>215</v>
      </c>
      <c r="B26" s="2"/>
      <c r="C26" s="2">
        <f>QUARTILE(C2:C24,1
)</f>
        <v>15.299999999999999</v>
      </c>
      <c r="D26" s="2">
        <f>QUARTILE(D2:D24,1
)</f>
        <v>9.1499999999999986</v>
      </c>
      <c r="E26" s="2">
        <f>QUARTILE(E2:E24,1
)</f>
        <v>0.39500000000000002</v>
      </c>
      <c r="F26" s="2">
        <f>QUARTILE(F2:F24,1
)</f>
        <v>1.78</v>
      </c>
      <c r="G26" s="2">
        <f>QUARTILE(G2:G24,1
)</f>
        <v>1.1400000000000001</v>
      </c>
    </row>
    <row r="27" spans="1:7" x14ac:dyDescent="0.75">
      <c r="A27" s="171" t="s">
        <v>216</v>
      </c>
      <c r="B27" s="2"/>
      <c r="C27" s="2">
        <f>MEDIAN(C2:C24)</f>
        <v>17.43</v>
      </c>
      <c r="D27" s="2">
        <f>MEDIAN(D2:D24)</f>
        <v>13.105</v>
      </c>
      <c r="E27" s="2">
        <f>MEDIAN(E2:E24)</f>
        <v>0.87</v>
      </c>
      <c r="F27" s="2">
        <f>MEDIAN(F2:F24)</f>
        <v>2.1</v>
      </c>
      <c r="G27" s="2">
        <f>MEDIAN(G2:G24)</f>
        <v>2.06</v>
      </c>
    </row>
    <row r="28" spans="1:7" x14ac:dyDescent="0.75">
      <c r="A28" s="171" t="s">
        <v>217</v>
      </c>
      <c r="B28" s="2"/>
      <c r="C28" s="2">
        <f>QUARTILE(C2:C24,3)</f>
        <v>20.85</v>
      </c>
      <c r="D28" s="2">
        <f>QUARTILE(D2:D24,3)</f>
        <v>16.97</v>
      </c>
      <c r="E28" s="2">
        <f>QUARTILE(E2:E24,3)</f>
        <v>1.425</v>
      </c>
      <c r="F28" s="2">
        <f>QUARTILE(F2:F24,3)</f>
        <v>3.29</v>
      </c>
      <c r="G28" s="2">
        <f>QUARTILE(G2:G24,3)</f>
        <v>2.7075</v>
      </c>
    </row>
    <row r="29" spans="1:7" x14ac:dyDescent="0.75">
      <c r="A29" s="2" t="s">
        <v>334</v>
      </c>
      <c r="B29" s="2"/>
      <c r="C29" s="2">
        <v>40.609234403516687</v>
      </c>
      <c r="D29" s="2">
        <v>0.14516185317307426</v>
      </c>
      <c r="E29" s="2">
        <v>0.45497716400679988</v>
      </c>
      <c r="F29" s="2">
        <v>5.8949117219542444</v>
      </c>
      <c r="G29" s="2">
        <v>3.6349979027623616E-2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5F917-F18B-4838-A70B-E71245AC49C9}">
  <sheetPr codeName="Sheet4">
    <tabColor rgb="FF0000FF"/>
    <pageSetUpPr fitToPage="1"/>
  </sheetPr>
  <dimension ref="A1:B36"/>
  <sheetViews>
    <sheetView zoomScale="85" zoomScaleNormal="85" workbookViewId="0">
      <selection activeCell="L12" sqref="L12"/>
    </sheetView>
  </sheetViews>
  <sheetFormatPr defaultRowHeight="14.75" x14ac:dyDescent="0.75"/>
  <cols>
    <col min="1" max="1" width="36" bestFit="1" customWidth="1"/>
    <col min="2" max="2" width="63.86328125" customWidth="1"/>
  </cols>
  <sheetData>
    <row r="1" spans="1:2" x14ac:dyDescent="0.75">
      <c r="A1" s="11" t="s">
        <v>593</v>
      </c>
      <c r="B1" s="11"/>
    </row>
    <row r="2" spans="1:2" x14ac:dyDescent="0.75">
      <c r="A2" s="113" t="s">
        <v>594</v>
      </c>
      <c r="B2" s="79" t="s">
        <v>497</v>
      </c>
    </row>
    <row r="3" spans="1:2" x14ac:dyDescent="0.75">
      <c r="A3" s="113" t="s">
        <v>595</v>
      </c>
      <c r="B3" s="79" t="s">
        <v>499</v>
      </c>
    </row>
    <row r="4" spans="1:2" x14ac:dyDescent="0.75">
      <c r="A4" s="113" t="s">
        <v>596</v>
      </c>
      <c r="B4" s="79" t="s">
        <v>501</v>
      </c>
    </row>
    <row r="5" spans="1:2" x14ac:dyDescent="0.75">
      <c r="A5" s="11" t="s">
        <v>597</v>
      </c>
      <c r="B5" s="11"/>
    </row>
    <row r="6" spans="1:2" x14ac:dyDescent="0.75">
      <c r="A6" s="113" t="s">
        <v>598</v>
      </c>
      <c r="B6" s="79" t="s">
        <v>514</v>
      </c>
    </row>
    <row r="7" spans="1:2" x14ac:dyDescent="0.75">
      <c r="A7" s="113" t="s">
        <v>599</v>
      </c>
      <c r="B7" s="79" t="s">
        <v>515</v>
      </c>
    </row>
    <row r="8" spans="1:2" x14ac:dyDescent="0.75">
      <c r="A8" s="113" t="s">
        <v>600</v>
      </c>
      <c r="B8" s="79" t="s">
        <v>517</v>
      </c>
    </row>
    <row r="9" spans="1:2" x14ac:dyDescent="0.75">
      <c r="A9" s="113" t="s">
        <v>601</v>
      </c>
      <c r="B9" s="79" t="s">
        <v>519</v>
      </c>
    </row>
    <row r="10" spans="1:2" x14ac:dyDescent="0.75">
      <c r="A10" s="113" t="s">
        <v>602</v>
      </c>
      <c r="B10" s="79" t="s">
        <v>616</v>
      </c>
    </row>
    <row r="11" spans="1:2" x14ac:dyDescent="0.75">
      <c r="A11" s="11" t="s">
        <v>603</v>
      </c>
      <c r="B11" s="11"/>
    </row>
    <row r="12" spans="1:2" x14ac:dyDescent="0.75">
      <c r="A12" s="113" t="s">
        <v>608</v>
      </c>
      <c r="B12" s="79" t="s">
        <v>525</v>
      </c>
    </row>
    <row r="13" spans="1:2" x14ac:dyDescent="0.75">
      <c r="A13" s="113" t="s">
        <v>609</v>
      </c>
      <c r="B13" s="79" t="s">
        <v>617</v>
      </c>
    </row>
    <row r="14" spans="1:2" x14ac:dyDescent="0.75">
      <c r="A14" s="113" t="s">
        <v>604</v>
      </c>
      <c r="B14" s="79" t="s">
        <v>503</v>
      </c>
    </row>
    <row r="15" spans="1:2" x14ac:dyDescent="0.75">
      <c r="A15" s="113" t="s">
        <v>605</v>
      </c>
      <c r="B15" s="79" t="str">
        <f>"365/"&amp;A14</f>
        <v>365/Inventory Turnover</v>
      </c>
    </row>
    <row r="16" spans="1:2" x14ac:dyDescent="0.75">
      <c r="A16" s="113" t="s">
        <v>606</v>
      </c>
      <c r="B16" s="79" t="s">
        <v>506</v>
      </c>
    </row>
    <row r="17" spans="1:2" x14ac:dyDescent="0.75">
      <c r="A17" s="113" t="s">
        <v>607</v>
      </c>
      <c r="B17" s="79" t="str">
        <f>"365/"&amp;A16</f>
        <v>365/Receivables turnover</v>
      </c>
    </row>
    <row r="18" spans="1:2" x14ac:dyDescent="0.75">
      <c r="A18" s="113" t="s">
        <v>508</v>
      </c>
      <c r="B18" s="79" t="s">
        <v>509</v>
      </c>
    </row>
    <row r="19" spans="1:2" x14ac:dyDescent="0.75">
      <c r="A19" s="113" t="s">
        <v>510</v>
      </c>
      <c r="B19" s="79" t="str">
        <f>"365/"&amp;A22</f>
        <v>365/Profitability ratios</v>
      </c>
    </row>
    <row r="20" spans="1:2" x14ac:dyDescent="0.75">
      <c r="A20" s="113" t="s">
        <v>511</v>
      </c>
      <c r="B20" s="79" t="str">
        <f>B15&amp;" + "&amp;B17</f>
        <v>365/Inventory Turnover + 365/Receivables turnover</v>
      </c>
    </row>
    <row r="21" spans="1:2" x14ac:dyDescent="0.75">
      <c r="A21" s="113" t="s">
        <v>512</v>
      </c>
      <c r="B21" s="79" t="str">
        <f>A20&amp;" - "&amp;B19</f>
        <v>Operating Cycle in Days - 365/Profitability ratios</v>
      </c>
    </row>
    <row r="22" spans="1:2" x14ac:dyDescent="0.75">
      <c r="A22" s="11" t="s">
        <v>93</v>
      </c>
      <c r="B22" s="11"/>
    </row>
    <row r="23" spans="1:2" x14ac:dyDescent="0.75">
      <c r="A23" s="113" t="s">
        <v>610</v>
      </c>
      <c r="B23" s="79" t="s">
        <v>523</v>
      </c>
    </row>
    <row r="24" spans="1:2" x14ac:dyDescent="0.75">
      <c r="A24" s="113" t="s">
        <v>611</v>
      </c>
      <c r="B24" s="2" t="s">
        <v>618</v>
      </c>
    </row>
    <row r="25" spans="1:2" x14ac:dyDescent="0.75">
      <c r="A25" s="113" t="s">
        <v>612</v>
      </c>
      <c r="B25" s="2" t="s">
        <v>619</v>
      </c>
    </row>
    <row r="26" spans="1:2" s="1" customFormat="1" ht="29.5" x14ac:dyDescent="0.75">
      <c r="A26" s="114" t="s">
        <v>613</v>
      </c>
      <c r="B26" s="79" t="s">
        <v>620</v>
      </c>
    </row>
    <row r="27" spans="1:2" x14ac:dyDescent="0.75">
      <c r="A27" s="11" t="s">
        <v>614</v>
      </c>
      <c r="B27" s="11"/>
    </row>
    <row r="28" spans="1:2" x14ac:dyDescent="0.75">
      <c r="A28" s="113" t="s">
        <v>532</v>
      </c>
      <c r="B28" s="2" t="s">
        <v>623</v>
      </c>
    </row>
    <row r="29" spans="1:2" x14ac:dyDescent="0.75">
      <c r="A29" s="113" t="s">
        <v>535</v>
      </c>
      <c r="B29" s="2" t="s">
        <v>622</v>
      </c>
    </row>
    <row r="30" spans="1:2" x14ac:dyDescent="0.75">
      <c r="A30" s="113" t="s">
        <v>533</v>
      </c>
      <c r="B30" s="2" t="s">
        <v>624</v>
      </c>
    </row>
    <row r="31" spans="1:2" x14ac:dyDescent="0.75">
      <c r="A31" s="113" t="s">
        <v>615</v>
      </c>
      <c r="B31" s="2" t="s">
        <v>536</v>
      </c>
    </row>
    <row r="32" spans="1:2" x14ac:dyDescent="0.75">
      <c r="A32" s="113"/>
      <c r="B32" s="2"/>
    </row>
    <row r="33" spans="1:2" x14ac:dyDescent="0.75">
      <c r="A33" s="11" t="s">
        <v>621</v>
      </c>
      <c r="B33" s="11"/>
    </row>
    <row r="34" spans="1:2" x14ac:dyDescent="0.75">
      <c r="A34" s="113" t="s">
        <v>529</v>
      </c>
      <c r="B34" s="2" t="s">
        <v>539</v>
      </c>
    </row>
    <row r="35" spans="1:2" x14ac:dyDescent="0.75">
      <c r="A35" s="113" t="s">
        <v>530</v>
      </c>
      <c r="B35" s="2" t="s">
        <v>540</v>
      </c>
    </row>
    <row r="36" spans="1:2" x14ac:dyDescent="0.75">
      <c r="A36" s="113" t="s">
        <v>531</v>
      </c>
      <c r="B36" s="2" t="s">
        <v>541</v>
      </c>
    </row>
  </sheetData>
  <phoneticPr fontId="28" type="noConversion"/>
  <printOptions horizontalCentered="1"/>
  <pageMargins left="0.7" right="0.7" top="0.75" bottom="0.75" header="0.3" footer="0.3"/>
  <pageSetup scale="54" fitToHeight="0" orientation="landscape" r:id="rId1"/>
  <headerFooter>
    <oddHeader>&amp;L&amp;F&amp;C&amp;A&amp;RPage &amp;P of &amp;N</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6FB3C-A8FF-4526-A546-5D6F45BBC59A}">
  <sheetPr codeName="Sheet5">
    <tabColor rgb="FF0000FF"/>
  </sheetPr>
  <dimension ref="A1:N19"/>
  <sheetViews>
    <sheetView zoomScale="70" zoomScaleNormal="70" workbookViewId="0"/>
  </sheetViews>
  <sheetFormatPr defaultRowHeight="14.75" x14ac:dyDescent="0.75"/>
  <cols>
    <col min="1" max="1" width="33.453125" bestFit="1" customWidth="1"/>
    <col min="2" max="2" width="13.2265625" bestFit="1" customWidth="1"/>
    <col min="3" max="3" width="15.2265625" bestFit="1" customWidth="1"/>
    <col min="4" max="4" width="13.2265625" bestFit="1" customWidth="1"/>
    <col min="5" max="5" width="15.2265625" bestFit="1" customWidth="1"/>
    <col min="6" max="6" width="13.2265625" bestFit="1" customWidth="1"/>
    <col min="7" max="7" width="15.2265625" bestFit="1" customWidth="1"/>
    <col min="8" max="8" width="1.2265625" bestFit="1" customWidth="1"/>
    <col min="9" max="9" width="1.453125" bestFit="1" customWidth="1"/>
    <col min="10" max="10" width="9.453125" bestFit="1" customWidth="1"/>
    <col min="11" max="11" width="1.86328125" bestFit="1" customWidth="1"/>
    <col min="12" max="12" width="14" customWidth="1"/>
    <col min="13" max="13" width="1.453125" bestFit="1" customWidth="1"/>
  </cols>
  <sheetData>
    <row r="1" spans="1:14" x14ac:dyDescent="0.75">
      <c r="A1" s="11" t="s">
        <v>919</v>
      </c>
      <c r="B1" s="11"/>
      <c r="C1" s="11"/>
      <c r="D1" s="11"/>
      <c r="E1" s="11"/>
      <c r="F1" s="11"/>
      <c r="G1" s="11"/>
    </row>
    <row r="2" spans="1:14" x14ac:dyDescent="0.75">
      <c r="A2" s="11" t="s">
        <v>543</v>
      </c>
      <c r="B2" s="11"/>
      <c r="C2" s="11"/>
      <c r="D2" s="11"/>
      <c r="E2" s="11"/>
      <c r="F2" s="11"/>
      <c r="G2" s="11"/>
    </row>
    <row r="3" spans="1:14" s="1" customFormat="1" x14ac:dyDescent="0.75">
      <c r="A3" s="10" t="s">
        <v>850</v>
      </c>
      <c r="B3" s="88">
        <v>38984</v>
      </c>
      <c r="C3" s="19" t="s">
        <v>549</v>
      </c>
      <c r="D3" s="88">
        <v>38620</v>
      </c>
      <c r="E3" s="19" t="s">
        <v>549</v>
      </c>
      <c r="F3" s="88">
        <v>38256</v>
      </c>
      <c r="G3" s="19" t="s">
        <v>549</v>
      </c>
    </row>
    <row r="4" spans="1:14" x14ac:dyDescent="0.75">
      <c r="A4" s="12" t="s">
        <v>545</v>
      </c>
      <c r="B4" s="4">
        <v>5607376</v>
      </c>
      <c r="C4" s="245"/>
      <c r="D4" s="4">
        <v>4701289</v>
      </c>
      <c r="E4" s="245"/>
      <c r="F4" s="4">
        <v>3864950</v>
      </c>
      <c r="G4" s="245"/>
    </row>
    <row r="5" spans="1:14" ht="15.5" thickBot="1" x14ac:dyDescent="0.9">
      <c r="A5" s="13" t="s">
        <v>546</v>
      </c>
      <c r="B5" s="4">
        <v>3647734</v>
      </c>
      <c r="C5" s="245"/>
      <c r="D5" s="4">
        <v>3052184</v>
      </c>
      <c r="E5" s="245"/>
      <c r="F5" s="4">
        <v>2523816</v>
      </c>
      <c r="G5" s="245"/>
    </row>
    <row r="6" spans="1:14" x14ac:dyDescent="0.75">
      <c r="A6" s="12" t="s">
        <v>851</v>
      </c>
      <c r="B6" s="83">
        <v>1484410</v>
      </c>
      <c r="C6" s="245"/>
      <c r="D6" s="83">
        <v>1285613</v>
      </c>
      <c r="E6" s="245"/>
      <c r="F6" s="83">
        <v>1004089</v>
      </c>
      <c r="G6" s="245"/>
      <c r="J6" s="8"/>
      <c r="L6" s="8"/>
      <c r="N6" s="8"/>
    </row>
    <row r="7" spans="1:14" ht="15.5" thickBot="1" x14ac:dyDescent="0.9">
      <c r="A7" s="12" t="s">
        <v>547</v>
      </c>
      <c r="B7" s="86">
        <v>156223</v>
      </c>
      <c r="C7" s="254"/>
      <c r="D7" s="86">
        <v>133759</v>
      </c>
      <c r="E7" s="254"/>
      <c r="F7" s="86">
        <v>115157</v>
      </c>
      <c r="G7" s="254"/>
      <c r="H7" s="22" t="s">
        <v>922</v>
      </c>
      <c r="I7" s="23" t="s">
        <v>922</v>
      </c>
      <c r="K7" s="25"/>
      <c r="M7" s="23"/>
    </row>
    <row r="8" spans="1:14" x14ac:dyDescent="0.75">
      <c r="A8" s="14" t="s">
        <v>852</v>
      </c>
      <c r="B8" s="87">
        <f>B4-SUM(B5:B7)</f>
        <v>319009</v>
      </c>
      <c r="C8" s="248"/>
      <c r="D8" s="87">
        <f>D4-SUM(D5:D7)</f>
        <v>229733</v>
      </c>
      <c r="E8" s="248"/>
      <c r="F8" s="87">
        <f>F4-SUM(F5:F7)</f>
        <v>221888</v>
      </c>
      <c r="G8" s="248"/>
    </row>
    <row r="9" spans="1:14" ht="15.5" thickBot="1" x14ac:dyDescent="0.9">
      <c r="A9" s="13" t="s">
        <v>853</v>
      </c>
      <c r="B9" s="5">
        <v>20736</v>
      </c>
      <c r="C9" s="255"/>
      <c r="D9" s="5">
        <v>9623</v>
      </c>
      <c r="E9" s="255"/>
      <c r="F9" s="5">
        <v>6456</v>
      </c>
      <c r="G9" s="255"/>
    </row>
    <row r="10" spans="1:14" x14ac:dyDescent="0.75">
      <c r="A10" s="14" t="s">
        <v>854</v>
      </c>
      <c r="B10" s="9">
        <f>SUM(B8:B9)</f>
        <v>339745</v>
      </c>
      <c r="C10" s="256"/>
      <c r="D10" s="9">
        <f>SUM(D8:D9)</f>
        <v>239356</v>
      </c>
      <c r="E10" s="256"/>
      <c r="F10" s="9">
        <f>SUM(F8:F9)</f>
        <v>228344</v>
      </c>
      <c r="G10" s="256"/>
      <c r="J10" s="8"/>
      <c r="L10" s="8"/>
      <c r="N10" s="8"/>
    </row>
    <row r="11" spans="1:14" ht="15.5" thickBot="1" x14ac:dyDescent="0.9">
      <c r="A11" s="13" t="s">
        <v>855</v>
      </c>
      <c r="B11" s="5">
        <v>32</v>
      </c>
      <c r="C11" s="255"/>
      <c r="D11" s="5">
        <v>2223</v>
      </c>
      <c r="E11" s="255"/>
      <c r="F11" s="5">
        <v>7249</v>
      </c>
      <c r="G11" s="255"/>
    </row>
    <row r="12" spans="1:14" x14ac:dyDescent="0.75">
      <c r="A12" s="14" t="s">
        <v>856</v>
      </c>
      <c r="B12" s="6">
        <f>B10-B11</f>
        <v>339713</v>
      </c>
      <c r="C12" s="256"/>
      <c r="D12" s="6">
        <f>D10-D11</f>
        <v>237133</v>
      </c>
      <c r="E12" s="256"/>
      <c r="F12" s="6">
        <f>F10-F11</f>
        <v>221095</v>
      </c>
      <c r="G12" s="256"/>
    </row>
    <row r="13" spans="1:14" ht="15.5" thickBot="1" x14ac:dyDescent="0.9">
      <c r="A13" s="13" t="s">
        <v>857</v>
      </c>
      <c r="B13" s="5">
        <v>135885</v>
      </c>
      <c r="C13" s="255"/>
      <c r="D13" s="5">
        <v>100782</v>
      </c>
      <c r="E13" s="255"/>
      <c r="F13" s="5">
        <v>88438</v>
      </c>
      <c r="G13" s="255"/>
    </row>
    <row r="14" spans="1:14" ht="15.5" thickBot="1" x14ac:dyDescent="0.9">
      <c r="A14" s="15" t="s">
        <v>858</v>
      </c>
      <c r="B14" s="7">
        <f>B12-B13</f>
        <v>203828</v>
      </c>
      <c r="C14" s="250"/>
      <c r="D14" s="7">
        <f>D12-D13</f>
        <v>136351</v>
      </c>
      <c r="E14" s="250"/>
      <c r="F14" s="7">
        <f>F12-F13</f>
        <v>132657</v>
      </c>
      <c r="G14" s="250"/>
      <c r="H14" s="17"/>
    </row>
    <row r="15" spans="1:14" ht="15.5" thickTop="1" x14ac:dyDescent="0.75"/>
    <row r="16" spans="1:14" x14ac:dyDescent="0.75">
      <c r="A16" s="12" t="s">
        <v>495</v>
      </c>
      <c r="B16" s="3">
        <v>358075</v>
      </c>
      <c r="C16" s="17"/>
    </row>
    <row r="17" spans="1:7" x14ac:dyDescent="0.75">
      <c r="A17" s="12" t="s">
        <v>13</v>
      </c>
      <c r="B17" s="83">
        <f>B14-B16</f>
        <v>-154247</v>
      </c>
      <c r="C17" s="8"/>
    </row>
    <row r="19" spans="1:7" x14ac:dyDescent="0.75">
      <c r="A19" s="112" t="s">
        <v>562</v>
      </c>
      <c r="B19" s="112"/>
      <c r="C19" s="112"/>
      <c r="D19" s="112"/>
      <c r="E19" s="112"/>
      <c r="F19" s="112"/>
      <c r="G19" s="112"/>
    </row>
  </sheetData>
  <phoneticPr fontId="28" type="noConversion"/>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EF0ACB-4BED-492C-8B2C-702F3D2FA4BC}">
  <sheetPr codeName="Sheet7">
    <tabColor rgb="FFFF0000"/>
  </sheetPr>
  <dimension ref="A1:N36"/>
  <sheetViews>
    <sheetView zoomScale="70" zoomScaleNormal="70" workbookViewId="0"/>
  </sheetViews>
  <sheetFormatPr defaultRowHeight="14.75" x14ac:dyDescent="0.75"/>
  <cols>
    <col min="1" max="1" width="33.453125" bestFit="1" customWidth="1"/>
    <col min="2" max="7" width="16.08984375" customWidth="1"/>
    <col min="8" max="8" width="1.2265625" bestFit="1" customWidth="1"/>
    <col min="9" max="9" width="1.453125" bestFit="1" customWidth="1"/>
    <col min="10" max="10" width="9.453125" bestFit="1" customWidth="1"/>
    <col min="11" max="11" width="1.86328125" bestFit="1" customWidth="1"/>
    <col min="12" max="12" width="14" customWidth="1"/>
    <col min="13" max="13" width="1.453125" bestFit="1" customWidth="1"/>
  </cols>
  <sheetData>
    <row r="1" spans="1:14" x14ac:dyDescent="0.75">
      <c r="A1" s="11" t="s">
        <v>919</v>
      </c>
      <c r="B1" s="11"/>
      <c r="C1" s="11"/>
      <c r="D1" s="11"/>
      <c r="E1" s="11"/>
      <c r="F1" s="11"/>
      <c r="G1" s="11"/>
    </row>
    <row r="2" spans="1:14" x14ac:dyDescent="0.75">
      <c r="A2" s="11" t="s">
        <v>543</v>
      </c>
      <c r="B2" s="11"/>
      <c r="C2" s="11"/>
      <c r="D2" s="11"/>
      <c r="E2" s="11"/>
      <c r="F2" s="11"/>
      <c r="G2" s="11"/>
    </row>
    <row r="3" spans="1:14" s="1" customFormat="1" x14ac:dyDescent="0.75">
      <c r="A3" s="10" t="s">
        <v>850</v>
      </c>
      <c r="B3" s="88">
        <v>38984</v>
      </c>
      <c r="C3" s="19" t="s">
        <v>549</v>
      </c>
      <c r="D3" s="88">
        <v>38620</v>
      </c>
      <c r="E3" s="19" t="s">
        <v>549</v>
      </c>
      <c r="F3" s="88">
        <v>38256</v>
      </c>
      <c r="G3" s="19" t="s">
        <v>549</v>
      </c>
    </row>
    <row r="4" spans="1:14" x14ac:dyDescent="0.75">
      <c r="A4" s="12" t="s">
        <v>545</v>
      </c>
      <c r="B4" s="4">
        <f>'WFMI IS (%)'!B4</f>
        <v>5607376</v>
      </c>
      <c r="C4" s="245" cm="1">
        <f t="array" ref="C4:C14">B4:B14/B4</f>
        <v>1</v>
      </c>
      <c r="D4" s="4">
        <f>'WFMI IS (%)'!D4</f>
        <v>4701289</v>
      </c>
      <c r="E4" s="245" cm="1">
        <f t="array" ref="E4:E14">D4:D14/D4</f>
        <v>1</v>
      </c>
      <c r="F4" s="4">
        <f>'WFMI IS (%)'!F4</f>
        <v>3864950</v>
      </c>
      <c r="G4" s="245" cm="1">
        <f t="array" ref="G4:G14">F4:F14/F4</f>
        <v>1</v>
      </c>
      <c r="J4">
        <f t="shared" ref="J4:L14" si="0">B4/B$4</f>
        <v>1</v>
      </c>
      <c r="L4">
        <f t="shared" si="0"/>
        <v>1</v>
      </c>
      <c r="N4">
        <f t="shared" ref="N4:N14" si="1">F4/F$4</f>
        <v>1</v>
      </c>
    </row>
    <row r="5" spans="1:14" ht="15.5" thickBot="1" x14ac:dyDescent="0.9">
      <c r="A5" s="13" t="s">
        <v>546</v>
      </c>
      <c r="B5" s="4">
        <f>'WFMI IS (%)'!B5</f>
        <v>3647734</v>
      </c>
      <c r="C5" s="245">
        <v>0.6505242380749926</v>
      </c>
      <c r="D5" s="4">
        <f>'WFMI IS (%)'!D5</f>
        <v>3052184</v>
      </c>
      <c r="E5" s="245">
        <v>0.6492227982580947</v>
      </c>
      <c r="F5" s="4">
        <f>'WFMI IS (%)'!F5</f>
        <v>2523816</v>
      </c>
      <c r="G5" s="245">
        <v>0.6530009443847915</v>
      </c>
      <c r="J5">
        <f t="shared" si="0"/>
        <v>0.6505242380749926</v>
      </c>
      <c r="L5">
        <f t="shared" si="0"/>
        <v>0.6492227982580947</v>
      </c>
      <c r="N5">
        <f t="shared" si="1"/>
        <v>0.6530009443847915</v>
      </c>
    </row>
    <row r="6" spans="1:14" x14ac:dyDescent="0.75">
      <c r="A6" s="12" t="s">
        <v>851</v>
      </c>
      <c r="B6" s="83">
        <f>'WFMI IS (%)'!B6</f>
        <v>1484410</v>
      </c>
      <c r="C6" s="245">
        <v>0.2647245342563081</v>
      </c>
      <c r="D6" s="83">
        <f>'WFMI IS (%)'!D6</f>
        <v>1285613</v>
      </c>
      <c r="E6" s="245">
        <v>0.27345968307840679</v>
      </c>
      <c r="F6" s="83">
        <f>'WFMI IS (%)'!F6</f>
        <v>1004089</v>
      </c>
      <c r="G6" s="245">
        <v>0.25979352902366137</v>
      </c>
      <c r="J6" s="8">
        <f t="shared" si="0"/>
        <v>0.2647245342563081</v>
      </c>
      <c r="L6" s="8">
        <f t="shared" si="0"/>
        <v>0.27345968307840679</v>
      </c>
      <c r="N6" s="8">
        <f t="shared" si="1"/>
        <v>0.25979352902366137</v>
      </c>
    </row>
    <row r="7" spans="1:14" ht="15.5" thickBot="1" x14ac:dyDescent="0.9">
      <c r="A7" s="12" t="s">
        <v>547</v>
      </c>
      <c r="B7" s="86">
        <f>'WFMI IS (%)'!B7</f>
        <v>156223</v>
      </c>
      <c r="C7" s="254">
        <v>2.7860268332282338E-2</v>
      </c>
      <c r="D7" s="86">
        <f>'WFMI IS (%)'!D7</f>
        <v>133759</v>
      </c>
      <c r="E7" s="254">
        <v>2.8451558710813139E-2</v>
      </c>
      <c r="F7" s="86">
        <f>'WFMI IS (%)'!F7</f>
        <v>115157</v>
      </c>
      <c r="G7" s="254">
        <v>2.9795210804796957E-2</v>
      </c>
      <c r="H7" s="22" t="s">
        <v>922</v>
      </c>
      <c r="I7" s="23" t="s">
        <v>922</v>
      </c>
      <c r="J7">
        <f t="shared" si="0"/>
        <v>2.7860268332282338E-2</v>
      </c>
      <c r="K7" s="25" t="s">
        <v>922</v>
      </c>
      <c r="L7">
        <f t="shared" si="0"/>
        <v>2.8451558710813139E-2</v>
      </c>
      <c r="M7" s="23" t="s">
        <v>922</v>
      </c>
      <c r="N7">
        <f t="shared" si="1"/>
        <v>2.9795210804796957E-2</v>
      </c>
    </row>
    <row r="8" spans="1:14" x14ac:dyDescent="0.75">
      <c r="A8" s="14" t="s">
        <v>852</v>
      </c>
      <c r="B8" s="87">
        <f>B4-SUM(B5:B7)</f>
        <v>319009</v>
      </c>
      <c r="C8" s="248">
        <v>5.6890959336416892E-2</v>
      </c>
      <c r="D8" s="87">
        <f>D4-SUM(D5:D7)</f>
        <v>229733</v>
      </c>
      <c r="E8" s="248">
        <v>4.886595995268532E-2</v>
      </c>
      <c r="F8" s="87">
        <f>F4-SUM(F5:F7)</f>
        <v>221888</v>
      </c>
      <c r="G8" s="248">
        <v>5.7410315786750155E-2</v>
      </c>
      <c r="J8">
        <f t="shared" si="0"/>
        <v>5.6890959336416892E-2</v>
      </c>
      <c r="L8">
        <f t="shared" si="0"/>
        <v>4.886595995268532E-2</v>
      </c>
      <c r="N8">
        <f t="shared" si="1"/>
        <v>5.7410315786750155E-2</v>
      </c>
    </row>
    <row r="9" spans="1:14" ht="15.5" thickBot="1" x14ac:dyDescent="0.9">
      <c r="A9" s="13" t="s">
        <v>853</v>
      </c>
      <c r="B9" s="5">
        <f>'WFMI IS (%)'!B9</f>
        <v>20736</v>
      </c>
      <c r="C9" s="255">
        <v>3.697986366528658E-3</v>
      </c>
      <c r="D9" s="5">
        <f>'WFMI IS (%)'!D9</f>
        <v>9623</v>
      </c>
      <c r="E9" s="255">
        <v>2.0468854392912241E-3</v>
      </c>
      <c r="F9" s="5">
        <f>'WFMI IS (%)'!F9</f>
        <v>6456</v>
      </c>
      <c r="G9" s="255">
        <v>1.6703967709802198E-3</v>
      </c>
      <c r="J9">
        <f t="shared" si="0"/>
        <v>3.697986366528658E-3</v>
      </c>
      <c r="L9">
        <f t="shared" si="0"/>
        <v>2.0468854392912241E-3</v>
      </c>
      <c r="N9">
        <f t="shared" si="1"/>
        <v>1.6703967709802198E-3</v>
      </c>
    </row>
    <row r="10" spans="1:14" x14ac:dyDescent="0.75">
      <c r="A10" s="14" t="s">
        <v>854</v>
      </c>
      <c r="B10" s="9">
        <f>SUM(B8:B9)</f>
        <v>339745</v>
      </c>
      <c r="C10" s="256">
        <v>6.0588945702945547E-2</v>
      </c>
      <c r="D10" s="9">
        <f>SUM(D8:D9)</f>
        <v>239356</v>
      </c>
      <c r="E10" s="256">
        <v>5.091284539197654E-2</v>
      </c>
      <c r="F10" s="9">
        <f>SUM(F8:F9)</f>
        <v>228344</v>
      </c>
      <c r="G10" s="256">
        <v>5.9080712557730369E-2</v>
      </c>
      <c r="J10" s="8">
        <f t="shared" si="0"/>
        <v>6.0588945702945547E-2</v>
      </c>
      <c r="L10" s="8">
        <f t="shared" si="0"/>
        <v>5.091284539197654E-2</v>
      </c>
      <c r="N10" s="8">
        <f t="shared" si="1"/>
        <v>5.9080712557730369E-2</v>
      </c>
    </row>
    <row r="11" spans="1:14" ht="15.5" thickBot="1" x14ac:dyDescent="0.9">
      <c r="A11" s="13" t="s">
        <v>855</v>
      </c>
      <c r="B11" s="5">
        <f>'WFMI IS (%)'!B11</f>
        <v>32</v>
      </c>
      <c r="C11" s="255">
        <v>5.7067690841491636E-6</v>
      </c>
      <c r="D11" s="5">
        <f>'WFMI IS (%)'!D11</f>
        <v>2223</v>
      </c>
      <c r="E11" s="255">
        <v>4.7284904203932158E-4</v>
      </c>
      <c r="F11" s="5">
        <f>'WFMI IS (%)'!F11</f>
        <v>7249</v>
      </c>
      <c r="G11" s="255">
        <v>1.8755740695222448E-3</v>
      </c>
      <c r="J11">
        <f t="shared" si="0"/>
        <v>5.7067690841491636E-6</v>
      </c>
      <c r="L11">
        <f t="shared" si="0"/>
        <v>4.7284904203932158E-4</v>
      </c>
      <c r="N11">
        <f t="shared" si="1"/>
        <v>1.8755740695222448E-3</v>
      </c>
    </row>
    <row r="12" spans="1:14" x14ac:dyDescent="0.75">
      <c r="A12" s="14" t="s">
        <v>856</v>
      </c>
      <c r="B12" s="6">
        <f>B10-B11</f>
        <v>339713</v>
      </c>
      <c r="C12" s="256">
        <v>6.0583238933861402E-2</v>
      </c>
      <c r="D12" s="6">
        <f>D10-D11</f>
        <v>237133</v>
      </c>
      <c r="E12" s="256">
        <v>5.0439996349937219E-2</v>
      </c>
      <c r="F12" s="6">
        <f>F10-F11</f>
        <v>221095</v>
      </c>
      <c r="G12" s="256">
        <v>5.7205138488208129E-2</v>
      </c>
      <c r="J12">
        <f t="shared" si="0"/>
        <v>6.0583238933861402E-2</v>
      </c>
      <c r="L12">
        <f t="shared" si="0"/>
        <v>5.0439996349937219E-2</v>
      </c>
      <c r="N12">
        <f t="shared" si="1"/>
        <v>5.7205138488208129E-2</v>
      </c>
    </row>
    <row r="13" spans="1:14" ht="15.5" thickBot="1" x14ac:dyDescent="0.9">
      <c r="A13" s="13" t="s">
        <v>857</v>
      </c>
      <c r="B13" s="5">
        <f>'WFMI IS (%)'!B13</f>
        <v>135885</v>
      </c>
      <c r="C13" s="255">
        <v>2.4233259906237783E-2</v>
      </c>
      <c r="D13" s="5">
        <f>'WFMI IS (%)'!D13</f>
        <v>100782</v>
      </c>
      <c r="E13" s="255">
        <v>2.1437099484843413E-2</v>
      </c>
      <c r="F13" s="5">
        <f>'WFMI IS (%)'!F13</f>
        <v>88438</v>
      </c>
      <c r="G13" s="255">
        <v>2.2882055395283252E-2</v>
      </c>
      <c r="J13">
        <f t="shared" si="0"/>
        <v>2.4233259906237783E-2</v>
      </c>
      <c r="L13">
        <f t="shared" si="0"/>
        <v>2.1437099484843413E-2</v>
      </c>
      <c r="N13">
        <f t="shared" si="1"/>
        <v>2.2882055395283252E-2</v>
      </c>
    </row>
    <row r="14" spans="1:14" ht="15.5" thickBot="1" x14ac:dyDescent="0.9">
      <c r="A14" s="15" t="s">
        <v>858</v>
      </c>
      <c r="B14" s="7">
        <f>B12-B13</f>
        <v>203828</v>
      </c>
      <c r="C14" s="250">
        <v>3.6349979027623616E-2</v>
      </c>
      <c r="D14" s="7">
        <f>D12-D13</f>
        <v>136351</v>
      </c>
      <c r="E14" s="250">
        <v>2.9002896865093806E-2</v>
      </c>
      <c r="F14" s="7">
        <f>F12-F13</f>
        <v>132657</v>
      </c>
      <c r="G14" s="250">
        <v>3.4323083092924873E-2</v>
      </c>
      <c r="H14" s="17"/>
      <c r="J14">
        <f t="shared" si="0"/>
        <v>3.6349979027623616E-2</v>
      </c>
      <c r="L14">
        <f t="shared" si="0"/>
        <v>2.9002896865093806E-2</v>
      </c>
      <c r="N14">
        <f t="shared" si="1"/>
        <v>3.4323083092924873E-2</v>
      </c>
    </row>
    <row r="15" spans="1:14" ht="15.5" thickTop="1" x14ac:dyDescent="0.75"/>
    <row r="16" spans="1:14" x14ac:dyDescent="0.75">
      <c r="A16" s="12" t="s">
        <v>495</v>
      </c>
      <c r="B16" s="3">
        <f>'WFMI IS (%)'!B16</f>
        <v>358075</v>
      </c>
      <c r="C16" s="17"/>
    </row>
    <row r="17" spans="1:7" x14ac:dyDescent="0.75">
      <c r="A17" s="12" t="s">
        <v>13</v>
      </c>
      <c r="B17" s="83">
        <f>B14-B16</f>
        <v>-154247</v>
      </c>
      <c r="C17" s="8"/>
    </row>
    <row r="20" spans="1:7" x14ac:dyDescent="0.75">
      <c r="A20" s="11" t="s">
        <v>550</v>
      </c>
      <c r="B20" s="11"/>
      <c r="C20" s="11"/>
      <c r="D20" s="11"/>
      <c r="E20" s="11"/>
      <c r="F20" s="11"/>
      <c r="G20" s="11"/>
    </row>
    <row r="21" spans="1:7" x14ac:dyDescent="0.75">
      <c r="A21" s="11" t="s">
        <v>543</v>
      </c>
      <c r="B21" s="11"/>
      <c r="C21" s="11"/>
      <c r="D21" s="11"/>
      <c r="E21" s="11"/>
      <c r="F21" s="11"/>
      <c r="G21" s="11"/>
    </row>
    <row r="22" spans="1:7" x14ac:dyDescent="0.75">
      <c r="A22" s="10" t="s">
        <v>850</v>
      </c>
      <c r="B22" s="88">
        <v>39082</v>
      </c>
      <c r="C22" s="19" t="s">
        <v>549</v>
      </c>
      <c r="D22" s="88">
        <v>38717</v>
      </c>
      <c r="E22" s="19" t="s">
        <v>549</v>
      </c>
      <c r="F22" s="88">
        <v>38352</v>
      </c>
      <c r="G22" s="19" t="s">
        <v>549</v>
      </c>
    </row>
    <row r="23" spans="1:7" x14ac:dyDescent="0.75">
      <c r="A23" s="12" t="s">
        <v>545</v>
      </c>
      <c r="B23" s="4">
        <v>40185000</v>
      </c>
      <c r="C23" s="89">
        <f t="shared" ref="C23:C33" si="2">B23/B$23</f>
        <v>1</v>
      </c>
      <c r="D23" s="4">
        <v>38416000</v>
      </c>
      <c r="E23" s="89">
        <f t="shared" ref="E23:E33" si="3">D23/D$23</f>
        <v>1</v>
      </c>
      <c r="F23" s="4">
        <v>35822900</v>
      </c>
      <c r="G23" s="89">
        <f t="shared" ref="G23:G33" si="4">F23/F$23</f>
        <v>1</v>
      </c>
    </row>
    <row r="24" spans="1:7" ht="15.5" thickBot="1" x14ac:dyDescent="0.9">
      <c r="A24" s="13" t="s">
        <v>546</v>
      </c>
      <c r="B24" s="4">
        <v>28604000</v>
      </c>
      <c r="C24" s="89">
        <f t="shared" si="2"/>
        <v>0.71180788851561527</v>
      </c>
      <c r="D24" s="4">
        <v>27303100</v>
      </c>
      <c r="E24" s="89">
        <f t="shared" si="3"/>
        <v>0.71072209496043315</v>
      </c>
      <c r="F24" s="4">
        <v>25227600</v>
      </c>
      <c r="G24" s="89">
        <f t="shared" si="4"/>
        <v>0.70423109240178772</v>
      </c>
    </row>
    <row r="25" spans="1:7" x14ac:dyDescent="0.75">
      <c r="A25" s="12" t="s">
        <v>851</v>
      </c>
      <c r="B25" s="83">
        <v>8989800</v>
      </c>
      <c r="C25" s="89">
        <f t="shared" si="2"/>
        <v>0.22371033967898468</v>
      </c>
      <c r="D25" s="83">
        <v>8965500</v>
      </c>
      <c r="E25" s="89">
        <f t="shared" si="3"/>
        <v>0.23337932111620158</v>
      </c>
      <c r="F25" s="83">
        <v>8527900</v>
      </c>
      <c r="G25" s="89">
        <f t="shared" si="4"/>
        <v>0.23805722038137617</v>
      </c>
    </row>
    <row r="26" spans="1:7" ht="15.5" thickBot="1" x14ac:dyDescent="0.9">
      <c r="A26" s="12" t="s">
        <v>547</v>
      </c>
      <c r="B26" s="86">
        <v>991400</v>
      </c>
      <c r="C26" s="90">
        <f t="shared" si="2"/>
        <v>2.46708971009083E-2</v>
      </c>
      <c r="D26" s="86">
        <v>932700</v>
      </c>
      <c r="E26" s="90">
        <f t="shared" si="3"/>
        <v>2.4278946272386505E-2</v>
      </c>
      <c r="F26" s="86">
        <v>894600</v>
      </c>
      <c r="G26" s="90">
        <f t="shared" si="4"/>
        <v>2.4972852560792118E-2</v>
      </c>
    </row>
    <row r="27" spans="1:7" x14ac:dyDescent="0.75">
      <c r="A27" s="14" t="s">
        <v>852</v>
      </c>
      <c r="B27" s="87">
        <f>B23-SUM(B24:B26)</f>
        <v>1599800</v>
      </c>
      <c r="C27" s="91">
        <f t="shared" si="2"/>
        <v>3.9810874704491725E-2</v>
      </c>
      <c r="D27" s="87">
        <f>D23-SUM(D24:D26)</f>
        <v>1214700</v>
      </c>
      <c r="E27" s="91">
        <f t="shared" si="3"/>
        <v>3.1619637650978756E-2</v>
      </c>
      <c r="F27" s="87">
        <f>F23-SUM(F24:F26)</f>
        <v>1172800</v>
      </c>
      <c r="G27" s="91">
        <f t="shared" si="4"/>
        <v>3.273883465604404E-2</v>
      </c>
    </row>
    <row r="28" spans="1:7" ht="15.5" thickBot="1" x14ac:dyDescent="0.9">
      <c r="A28" s="13" t="s">
        <v>853</v>
      </c>
      <c r="B28" s="5">
        <v>36300</v>
      </c>
      <c r="C28" s="92">
        <f t="shared" si="2"/>
        <v>9.033221351250467E-4</v>
      </c>
      <c r="D28" s="5">
        <v>36900</v>
      </c>
      <c r="E28" s="92">
        <f t="shared" si="3"/>
        <v>9.6053727613494382E-4</v>
      </c>
      <c r="F28" s="5">
        <v>32299.999999999996</v>
      </c>
      <c r="G28" s="92">
        <f t="shared" si="4"/>
        <v>9.0165787806124008E-4</v>
      </c>
    </row>
    <row r="29" spans="1:7" x14ac:dyDescent="0.75">
      <c r="A29" s="14" t="s">
        <v>854</v>
      </c>
      <c r="B29" s="9">
        <f>B27-B28</f>
        <v>1563500</v>
      </c>
      <c r="C29" s="93">
        <f t="shared" si="2"/>
        <v>3.8907552569366677E-2</v>
      </c>
      <c r="D29" s="9">
        <f>D27-D28</f>
        <v>1177800</v>
      </c>
      <c r="E29" s="93">
        <f t="shared" si="3"/>
        <v>3.0659100374843814E-2</v>
      </c>
      <c r="F29" s="9">
        <f>F27-F28</f>
        <v>1140500</v>
      </c>
      <c r="G29" s="93">
        <f t="shared" si="4"/>
        <v>3.1837176777982798E-2</v>
      </c>
    </row>
    <row r="30" spans="1:7" ht="15.5" thickBot="1" x14ac:dyDescent="0.9">
      <c r="A30" s="13" t="s">
        <v>855</v>
      </c>
      <c r="B30" s="5">
        <v>132033.33333333331</v>
      </c>
      <c r="C30" s="92">
        <f t="shared" si="2"/>
        <v>3.2856372610012021E-3</v>
      </c>
      <c r="D30" s="5">
        <v>134200</v>
      </c>
      <c r="E30" s="92">
        <f t="shared" si="3"/>
        <v>3.4933361099541856E-3</v>
      </c>
      <c r="F30" s="5">
        <v>137066.66666666666</v>
      </c>
      <c r="G30" s="92">
        <f t="shared" si="4"/>
        <v>3.8262303349719498E-3</v>
      </c>
    </row>
    <row r="31" spans="1:7" x14ac:dyDescent="0.75">
      <c r="A31" s="14" t="s">
        <v>856</v>
      </c>
      <c r="B31" s="6">
        <f>B29-B30</f>
        <v>1431466.6666666667</v>
      </c>
      <c r="C31" s="93">
        <f t="shared" si="2"/>
        <v>3.5621915308365476E-2</v>
      </c>
      <c r="D31" s="6">
        <f>D29-D30</f>
        <v>1043600</v>
      </c>
      <c r="E31" s="93">
        <f t="shared" si="3"/>
        <v>2.716576426488963E-2</v>
      </c>
      <c r="F31" s="6">
        <f>F29-F30</f>
        <v>1003433.3333333334</v>
      </c>
      <c r="G31" s="93">
        <f t="shared" si="4"/>
        <v>2.8010946443010849E-2</v>
      </c>
    </row>
    <row r="32" spans="1:7" ht="15.5" thickBot="1" x14ac:dyDescent="0.9">
      <c r="A32" s="13" t="s">
        <v>857</v>
      </c>
      <c r="B32" s="5">
        <f>ROUND(B31*0.34,0)</f>
        <v>486699</v>
      </c>
      <c r="C32" s="92">
        <f t="shared" si="2"/>
        <v>1.2111459499813362E-2</v>
      </c>
      <c r="D32" s="5">
        <f>ROUND(D31*0.34,0)</f>
        <v>354824</v>
      </c>
      <c r="E32" s="92">
        <f t="shared" si="3"/>
        <v>9.2363598500624748E-3</v>
      </c>
      <c r="F32" s="5">
        <f>ROUND(F31*0.34,0)</f>
        <v>341167</v>
      </c>
      <c r="G32" s="92">
        <f t="shared" si="4"/>
        <v>9.523712485588828E-3</v>
      </c>
    </row>
    <row r="33" spans="1:7" ht="15.5" thickBot="1" x14ac:dyDescent="0.9">
      <c r="A33" s="15" t="s">
        <v>858</v>
      </c>
      <c r="B33" s="7">
        <f>B31-B32</f>
        <v>944767.66666666674</v>
      </c>
      <c r="C33" s="94">
        <f t="shared" si="2"/>
        <v>2.3510455808552114E-2</v>
      </c>
      <c r="D33" s="7">
        <f>D31-D32</f>
        <v>688776</v>
      </c>
      <c r="E33" s="94">
        <f t="shared" si="3"/>
        <v>1.7929404414827155E-2</v>
      </c>
      <c r="F33" s="7">
        <f>F31-F32</f>
        <v>662266.33333333337</v>
      </c>
      <c r="G33" s="94">
        <f t="shared" si="4"/>
        <v>1.8487233957422022E-2</v>
      </c>
    </row>
    <row r="34" spans="1:7" ht="15.5" thickTop="1" x14ac:dyDescent="0.75"/>
    <row r="35" spans="1:7" x14ac:dyDescent="0.75">
      <c r="A35" s="12" t="s">
        <v>495</v>
      </c>
      <c r="B35" s="3">
        <v>96000</v>
      </c>
    </row>
    <row r="36" spans="1:7" x14ac:dyDescent="0.75">
      <c r="A36" s="12" t="s">
        <v>13</v>
      </c>
      <c r="B36" s="83">
        <f>B33-B35</f>
        <v>848767.66666666674</v>
      </c>
    </row>
  </sheetData>
  <phoneticPr fontId="28" type="noConversion"/>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6EC92-028F-4F11-AC88-C10F147BB887}">
  <sheetPr codeName="Sheet6">
    <tabColor rgb="FF0000FF"/>
  </sheetPr>
  <dimension ref="A1:G19"/>
  <sheetViews>
    <sheetView zoomScale="70" zoomScaleNormal="70" workbookViewId="0"/>
  </sheetViews>
  <sheetFormatPr defaultRowHeight="14.75" x14ac:dyDescent="0.75"/>
  <cols>
    <col min="1" max="1" width="43.76953125" bestFit="1" customWidth="1"/>
    <col min="2" max="2" width="12.08984375" bestFit="1" customWidth="1"/>
    <col min="3" max="3" width="8.76953125" bestFit="1" customWidth="1"/>
    <col min="4" max="4" width="12.08984375" bestFit="1" customWidth="1"/>
    <col min="5" max="5" width="8.76953125" bestFit="1" customWidth="1"/>
    <col min="6" max="6" width="12.08984375" bestFit="1" customWidth="1"/>
    <col min="7" max="7" width="8.76953125" bestFit="1" customWidth="1"/>
    <col min="8" max="8" width="9.08984375" customWidth="1"/>
    <col min="9" max="9" width="14" customWidth="1"/>
    <col min="10" max="10" width="2.453125" customWidth="1"/>
    <col min="12" max="12" width="1.6796875" customWidth="1"/>
  </cols>
  <sheetData>
    <row r="1" spans="1:7" x14ac:dyDescent="0.75">
      <c r="A1" s="11" t="s">
        <v>919</v>
      </c>
      <c r="B1" s="11"/>
      <c r="C1" s="11"/>
      <c r="D1" s="11"/>
      <c r="E1" s="11"/>
      <c r="F1" s="18"/>
      <c r="G1" s="11"/>
    </row>
    <row r="2" spans="1:7" x14ac:dyDescent="0.75">
      <c r="A2" s="11" t="s">
        <v>551</v>
      </c>
      <c r="B2" s="11"/>
      <c r="C2" s="11"/>
      <c r="D2" s="11"/>
      <c r="E2" s="11"/>
      <c r="F2" s="18"/>
      <c r="G2" s="11"/>
    </row>
    <row r="3" spans="1:7" x14ac:dyDescent="0.75">
      <c r="A3" s="12" t="s">
        <v>850</v>
      </c>
      <c r="B3" s="88">
        <v>38984</v>
      </c>
      <c r="C3" s="88" t="s">
        <v>549</v>
      </c>
      <c r="D3" s="88">
        <v>38620</v>
      </c>
      <c r="E3" s="88" t="s">
        <v>549</v>
      </c>
      <c r="F3" s="88">
        <v>38256</v>
      </c>
      <c r="G3" s="88" t="s">
        <v>549</v>
      </c>
    </row>
    <row r="4" spans="1:7" ht="15.5" thickBot="1" x14ac:dyDescent="0.9">
      <c r="A4" s="72" t="s">
        <v>859</v>
      </c>
      <c r="B4" s="2"/>
      <c r="C4" s="2"/>
      <c r="D4" s="2"/>
      <c r="E4" s="2"/>
      <c r="F4" s="2"/>
      <c r="G4" s="2"/>
    </row>
    <row r="5" spans="1:7" x14ac:dyDescent="0.75">
      <c r="A5" s="52" t="s">
        <v>860</v>
      </c>
      <c r="B5" s="3">
        <v>623981</v>
      </c>
      <c r="C5" s="245"/>
      <c r="D5" s="3">
        <v>672529</v>
      </c>
      <c r="E5" s="245"/>
      <c r="F5" s="3">
        <v>485572</v>
      </c>
      <c r="G5" s="245"/>
    </row>
    <row r="6" spans="1:7" ht="15.5" thickBot="1" x14ac:dyDescent="0.9">
      <c r="A6" s="70" t="s">
        <v>544</v>
      </c>
      <c r="B6" s="84">
        <v>1419015</v>
      </c>
      <c r="C6" s="246"/>
      <c r="D6" s="84">
        <v>1216767</v>
      </c>
      <c r="E6" s="246"/>
      <c r="F6" s="84">
        <v>1062144</v>
      </c>
      <c r="G6" s="246"/>
    </row>
    <row r="7" spans="1:7" ht="15.5" thickBot="1" x14ac:dyDescent="0.9">
      <c r="A7" s="68" t="s">
        <v>861</v>
      </c>
      <c r="B7" s="69">
        <f>SUM(B5:B6)</f>
        <v>2042996</v>
      </c>
      <c r="C7" s="247"/>
      <c r="D7" s="69">
        <f>SUM(D5:D6)</f>
        <v>1889296</v>
      </c>
      <c r="E7" s="247"/>
      <c r="F7" s="69">
        <f>SUM(F5:F6)</f>
        <v>1547716</v>
      </c>
      <c r="G7" s="247"/>
    </row>
    <row r="8" spans="1:7" ht="15.5" thickTop="1" x14ac:dyDescent="0.75">
      <c r="A8" s="72" t="s">
        <v>862</v>
      </c>
      <c r="B8" s="95"/>
      <c r="C8" s="90"/>
      <c r="D8" s="95"/>
      <c r="E8" s="90"/>
      <c r="F8" s="95"/>
      <c r="G8" s="90"/>
    </row>
    <row r="9" spans="1:7" x14ac:dyDescent="0.75">
      <c r="A9" s="70" t="s">
        <v>863</v>
      </c>
      <c r="B9" s="3">
        <v>509770</v>
      </c>
      <c r="C9" s="245"/>
      <c r="D9" s="3">
        <v>418383</v>
      </c>
      <c r="E9" s="245"/>
      <c r="F9" s="3">
        <v>334950</v>
      </c>
      <c r="G9" s="245"/>
    </row>
    <row r="10" spans="1:7" ht="15.5" thickBot="1" x14ac:dyDescent="0.9">
      <c r="A10" s="70" t="s">
        <v>864</v>
      </c>
      <c r="B10" s="84">
        <v>129083</v>
      </c>
      <c r="C10" s="246"/>
      <c r="D10" s="84">
        <v>105237</v>
      </c>
      <c r="E10" s="246"/>
      <c r="F10" s="84">
        <v>244111</v>
      </c>
      <c r="G10" s="246"/>
    </row>
    <row r="11" spans="1:7" ht="15.5" thickBot="1" x14ac:dyDescent="0.9">
      <c r="A11" s="15" t="s">
        <v>865</v>
      </c>
      <c r="B11" s="53">
        <f>SUM(B9:B10)</f>
        <v>638853</v>
      </c>
      <c r="C11" s="248"/>
      <c r="D11" s="53">
        <f>SUM(D9:D10)</f>
        <v>523620</v>
      </c>
      <c r="E11" s="248"/>
      <c r="F11" s="53">
        <f>SUM(F9:F10)</f>
        <v>579061</v>
      </c>
      <c r="G11" s="248"/>
    </row>
    <row r="12" spans="1:7" ht="15.5" thickTop="1" x14ac:dyDescent="0.75">
      <c r="A12" s="74" t="s">
        <v>866</v>
      </c>
      <c r="B12" s="75"/>
      <c r="C12" s="93"/>
      <c r="D12" s="75"/>
      <c r="E12" s="93"/>
      <c r="F12" s="75"/>
      <c r="G12" s="93"/>
    </row>
    <row r="13" spans="1:7" x14ac:dyDescent="0.75">
      <c r="A13" s="85" t="s">
        <v>548</v>
      </c>
      <c r="B13" s="3">
        <v>1054883</v>
      </c>
      <c r="C13" s="245"/>
      <c r="D13" s="3">
        <v>879377</v>
      </c>
      <c r="E13" s="245"/>
      <c r="F13" s="3">
        <v>537160</v>
      </c>
      <c r="G13" s="245"/>
    </row>
    <row r="14" spans="1:7" ht="15.5" thickBot="1" x14ac:dyDescent="0.9">
      <c r="A14" s="70" t="s">
        <v>867</v>
      </c>
      <c r="B14" s="3">
        <v>349260</v>
      </c>
      <c r="C14" s="245"/>
      <c r="D14" s="3">
        <v>486299</v>
      </c>
      <c r="E14" s="245"/>
      <c r="F14" s="3">
        <v>431495</v>
      </c>
      <c r="G14" s="245"/>
    </row>
    <row r="15" spans="1:7" ht="15.5" thickBot="1" x14ac:dyDescent="0.9">
      <c r="A15" s="73" t="s">
        <v>868</v>
      </c>
      <c r="B15" s="71">
        <f>SUM(B13:B14)</f>
        <v>1404143</v>
      </c>
      <c r="C15" s="249"/>
      <c r="D15" s="71">
        <f>SUM(D13:D14)</f>
        <v>1365676</v>
      </c>
      <c r="E15" s="249"/>
      <c r="F15" s="71">
        <f>SUM(F13:F14)</f>
        <v>968655</v>
      </c>
      <c r="G15" s="249"/>
    </row>
    <row r="16" spans="1:7" ht="15.5" thickBot="1" x14ac:dyDescent="0.9">
      <c r="A16" s="15" t="str">
        <f>A15&amp;" and "&amp;A11</f>
        <v>Total Stockholder Equity and Total Liabilities</v>
      </c>
      <c r="B16" s="67">
        <f>SUM(B15,B11)</f>
        <v>2042996</v>
      </c>
      <c r="C16" s="250"/>
      <c r="D16" s="67">
        <f>SUM(D15,D11)</f>
        <v>1889296</v>
      </c>
      <c r="E16" s="250"/>
      <c r="F16" s="67">
        <f>SUM(F15,F11)</f>
        <v>1547716</v>
      </c>
      <c r="G16" s="250"/>
    </row>
    <row r="17" spans="1:6" ht="15.5" thickTop="1" x14ac:dyDescent="0.75">
      <c r="B17" t="b">
        <f>B16=B7</f>
        <v>1</v>
      </c>
      <c r="D17" t="b">
        <f>D16=D7</f>
        <v>1</v>
      </c>
      <c r="F17" t="b">
        <f>F16=F7</f>
        <v>1</v>
      </c>
    </row>
    <row r="19" spans="1:6" x14ac:dyDescent="0.75">
      <c r="A19" s="112" t="s">
        <v>561</v>
      </c>
      <c r="B19" s="112"/>
      <c r="C19" s="112"/>
      <c r="D19" s="112"/>
      <c r="E19" s="112"/>
    </row>
  </sheetData>
  <phoneticPr fontId="28" type="noConversion"/>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28169C-887C-4478-872F-4469570C2D10}">
  <sheetPr codeName="Sheet9">
    <tabColor rgb="FFFF0000"/>
  </sheetPr>
  <dimension ref="A1:M19"/>
  <sheetViews>
    <sheetView zoomScale="85" zoomScaleNormal="85" workbookViewId="0"/>
  </sheetViews>
  <sheetFormatPr defaultRowHeight="14.75" x14ac:dyDescent="0.75"/>
  <cols>
    <col min="1" max="1" width="43.76953125" bestFit="1" customWidth="1"/>
    <col min="2" max="2" width="12.08984375" bestFit="1" customWidth="1"/>
    <col min="3" max="3" width="8.76953125" bestFit="1" customWidth="1"/>
    <col min="4" max="4" width="12.08984375" bestFit="1" customWidth="1"/>
    <col min="5" max="5" width="8.76953125" bestFit="1" customWidth="1"/>
    <col min="6" max="6" width="12.08984375" bestFit="1" customWidth="1"/>
    <col min="7" max="7" width="8.76953125" bestFit="1" customWidth="1"/>
    <col min="8" max="8" width="9.08984375" customWidth="1"/>
    <col min="9" max="9" width="14" customWidth="1"/>
    <col min="10" max="10" width="2.453125" customWidth="1"/>
    <col min="12" max="12" width="1.6796875" customWidth="1"/>
  </cols>
  <sheetData>
    <row r="1" spans="1:13" x14ac:dyDescent="0.75">
      <c r="A1" s="11" t="s">
        <v>919</v>
      </c>
      <c r="B1" s="11"/>
      <c r="C1" s="11"/>
      <c r="D1" s="11"/>
      <c r="E1" s="11"/>
      <c r="F1" s="18"/>
      <c r="G1" s="11"/>
    </row>
    <row r="2" spans="1:13" x14ac:dyDescent="0.75">
      <c r="A2" s="11" t="s">
        <v>551</v>
      </c>
      <c r="B2" s="11"/>
      <c r="C2" s="11"/>
      <c r="D2" s="11"/>
      <c r="E2" s="11"/>
      <c r="F2" s="18"/>
      <c r="G2" s="11"/>
    </row>
    <row r="3" spans="1:13" x14ac:dyDescent="0.75">
      <c r="A3" s="12" t="s">
        <v>850</v>
      </c>
      <c r="B3" s="88">
        <v>38984</v>
      </c>
      <c r="C3" s="88" t="s">
        <v>549</v>
      </c>
      <c r="D3" s="88">
        <v>38620</v>
      </c>
      <c r="E3" s="88" t="s">
        <v>549</v>
      </c>
      <c r="F3" s="88">
        <v>38256</v>
      </c>
      <c r="G3" s="88" t="s">
        <v>549</v>
      </c>
    </row>
    <row r="4" spans="1:13" ht="15.5" thickBot="1" x14ac:dyDescent="0.9">
      <c r="A4" s="72" t="s">
        <v>859</v>
      </c>
      <c r="B4" s="2"/>
      <c r="C4" s="2"/>
      <c r="D4" s="2"/>
      <c r="E4" s="2"/>
      <c r="F4" s="2"/>
      <c r="G4" s="2"/>
    </row>
    <row r="5" spans="1:13" x14ac:dyDescent="0.75">
      <c r="A5" s="52" t="s">
        <v>860</v>
      </c>
      <c r="B5" s="3">
        <v>623981</v>
      </c>
      <c r="C5" s="245">
        <f t="shared" ref="C5:C7" si="0">B5/B$16</f>
        <v>0.3054244844336455</v>
      </c>
      <c r="D5" s="3">
        <v>672529</v>
      </c>
      <c r="E5" s="245">
        <f t="shared" ref="E5:E7" si="1">D5/D$16</f>
        <v>0.35596804312294106</v>
      </c>
      <c r="F5" s="3">
        <v>485572</v>
      </c>
      <c r="G5" s="245">
        <f t="shared" ref="G5:G7" si="2">F5/F$16</f>
        <v>0.31373456112103254</v>
      </c>
      <c r="I5">
        <f t="shared" ref="I5:I7" si="3">B5/B$16</f>
        <v>0.3054244844336455</v>
      </c>
      <c r="K5">
        <f t="shared" ref="K5:K7" si="4">D5/D$16</f>
        <v>0.35596804312294106</v>
      </c>
      <c r="M5">
        <f t="shared" ref="M5:M7" si="5">F5/F$16</f>
        <v>0.31373456112103254</v>
      </c>
    </row>
    <row r="6" spans="1:13" ht="15.5" thickBot="1" x14ac:dyDescent="0.9">
      <c r="A6" s="70" t="s">
        <v>544</v>
      </c>
      <c r="B6" s="84">
        <v>1419015</v>
      </c>
      <c r="C6" s="246">
        <f t="shared" si="0"/>
        <v>0.69457551556635455</v>
      </c>
      <c r="D6" s="84">
        <v>1216767</v>
      </c>
      <c r="E6" s="246">
        <f t="shared" si="1"/>
        <v>0.64403195687705894</v>
      </c>
      <c r="F6" s="84">
        <v>1062144</v>
      </c>
      <c r="G6" s="246">
        <f t="shared" si="2"/>
        <v>0.6862654388789674</v>
      </c>
      <c r="I6">
        <f t="shared" si="3"/>
        <v>0.69457551556635455</v>
      </c>
      <c r="K6">
        <f t="shared" si="4"/>
        <v>0.64403195687705894</v>
      </c>
      <c r="M6">
        <f t="shared" si="5"/>
        <v>0.6862654388789674</v>
      </c>
    </row>
    <row r="7" spans="1:13" ht="15.5" thickBot="1" x14ac:dyDescent="0.9">
      <c r="A7" s="68" t="s">
        <v>861</v>
      </c>
      <c r="B7" s="69">
        <f>SUM(B5:B6)</f>
        <v>2042996</v>
      </c>
      <c r="C7" s="247">
        <f t="shared" si="0"/>
        <v>1</v>
      </c>
      <c r="D7" s="69">
        <f>SUM(D5:D6)</f>
        <v>1889296</v>
      </c>
      <c r="E7" s="247">
        <f t="shared" si="1"/>
        <v>1</v>
      </c>
      <c r="F7" s="69">
        <f>SUM(F5:F6)</f>
        <v>1547716</v>
      </c>
      <c r="G7" s="247">
        <f t="shared" si="2"/>
        <v>1</v>
      </c>
      <c r="I7">
        <f t="shared" si="3"/>
        <v>1</v>
      </c>
      <c r="K7">
        <f t="shared" si="4"/>
        <v>1</v>
      </c>
      <c r="M7">
        <f t="shared" si="5"/>
        <v>1</v>
      </c>
    </row>
    <row r="8" spans="1:13" ht="15.5" thickTop="1" x14ac:dyDescent="0.75">
      <c r="A8" s="72" t="s">
        <v>862</v>
      </c>
      <c r="B8" s="95"/>
      <c r="C8" s="90"/>
      <c r="D8" s="95"/>
      <c r="E8" s="90"/>
      <c r="F8" s="95"/>
      <c r="G8" s="90"/>
    </row>
    <row r="9" spans="1:13" x14ac:dyDescent="0.75">
      <c r="A9" s="70" t="s">
        <v>863</v>
      </c>
      <c r="B9" s="3">
        <v>509770</v>
      </c>
      <c r="C9" s="245">
        <f t="shared" ref="C9:C11" si="6">B9/B$16</f>
        <v>0.2495208018028425</v>
      </c>
      <c r="D9" s="3">
        <v>418383</v>
      </c>
      <c r="E9" s="245">
        <f t="shared" ref="E9:E11" si="7">D9/D$16</f>
        <v>0.22144915354714137</v>
      </c>
      <c r="F9" s="3">
        <v>334950</v>
      </c>
      <c r="G9" s="245">
        <f t="shared" ref="G9:G11" si="8">F9/F$16</f>
        <v>0.21641567315967528</v>
      </c>
      <c r="I9">
        <f t="shared" ref="I9:I11" si="9">B9/B$16</f>
        <v>0.2495208018028425</v>
      </c>
      <c r="K9">
        <f t="shared" ref="K9:K11" si="10">D9/D$16</f>
        <v>0.22144915354714137</v>
      </c>
      <c r="M9">
        <f t="shared" ref="M9:M11" si="11">F9/F$16</f>
        <v>0.21641567315967528</v>
      </c>
    </row>
    <row r="10" spans="1:13" ht="15.5" thickBot="1" x14ac:dyDescent="0.9">
      <c r="A10" s="70" t="s">
        <v>864</v>
      </c>
      <c r="B10" s="84">
        <v>129083</v>
      </c>
      <c r="C10" s="246">
        <f t="shared" si="6"/>
        <v>6.3183187828072113E-2</v>
      </c>
      <c r="D10" s="84">
        <v>105237</v>
      </c>
      <c r="E10" s="246">
        <f t="shared" si="7"/>
        <v>5.5701700527603933E-2</v>
      </c>
      <c r="F10" s="84">
        <v>244111</v>
      </c>
      <c r="G10" s="246">
        <f t="shared" si="8"/>
        <v>0.15772338077528436</v>
      </c>
      <c r="I10">
        <f t="shared" si="9"/>
        <v>6.3183187828072113E-2</v>
      </c>
      <c r="K10">
        <f t="shared" si="10"/>
        <v>5.5701700527603933E-2</v>
      </c>
      <c r="M10">
        <f t="shared" si="11"/>
        <v>0.15772338077528436</v>
      </c>
    </row>
    <row r="11" spans="1:13" ht="15.5" thickBot="1" x14ac:dyDescent="0.9">
      <c r="A11" s="15" t="s">
        <v>865</v>
      </c>
      <c r="B11" s="53">
        <f>SUM(B9:B10)</f>
        <v>638853</v>
      </c>
      <c r="C11" s="248">
        <f t="shared" si="6"/>
        <v>0.31270398963091461</v>
      </c>
      <c r="D11" s="53">
        <f>SUM(D9:D10)</f>
        <v>523620</v>
      </c>
      <c r="E11" s="248">
        <f t="shared" si="7"/>
        <v>0.27715085407474532</v>
      </c>
      <c r="F11" s="53">
        <f>SUM(F9:F10)</f>
        <v>579061</v>
      </c>
      <c r="G11" s="248">
        <f t="shared" si="8"/>
        <v>0.37413905393495966</v>
      </c>
      <c r="I11">
        <f t="shared" si="9"/>
        <v>0.31270398963091461</v>
      </c>
      <c r="K11">
        <f t="shared" si="10"/>
        <v>0.27715085407474532</v>
      </c>
      <c r="M11">
        <f t="shared" si="11"/>
        <v>0.37413905393495966</v>
      </c>
    </row>
    <row r="12" spans="1:13" ht="15.5" thickTop="1" x14ac:dyDescent="0.75">
      <c r="A12" s="74" t="s">
        <v>866</v>
      </c>
      <c r="B12" s="75"/>
      <c r="C12" s="93"/>
      <c r="D12" s="75"/>
      <c r="E12" s="93"/>
      <c r="F12" s="75"/>
      <c r="G12" s="93"/>
    </row>
    <row r="13" spans="1:13" x14ac:dyDescent="0.75">
      <c r="A13" s="85" t="s">
        <v>548</v>
      </c>
      <c r="B13" s="3">
        <v>1054883</v>
      </c>
      <c r="C13" s="245">
        <f t="shared" ref="C13:C16" si="12">B13/B$16</f>
        <v>0.51634119694801162</v>
      </c>
      <c r="D13" s="3">
        <v>879377</v>
      </c>
      <c r="E13" s="245">
        <f t="shared" ref="E13:E16" si="13">D13/D$16</f>
        <v>0.46545221077057275</v>
      </c>
      <c r="F13" s="3">
        <v>537160</v>
      </c>
      <c r="G13" s="245">
        <f t="shared" ref="G13:G16" si="14">F13/F$16</f>
        <v>0.34706625763382948</v>
      </c>
      <c r="I13">
        <f t="shared" ref="I13:I16" si="15">B13/B$16</f>
        <v>0.51634119694801162</v>
      </c>
      <c r="K13">
        <f t="shared" ref="K13:K16" si="16">D13/D$16</f>
        <v>0.46545221077057275</v>
      </c>
      <c r="M13">
        <f t="shared" ref="M13:M16" si="17">F13/F$16</f>
        <v>0.34706625763382948</v>
      </c>
    </row>
    <row r="14" spans="1:13" ht="15.5" thickBot="1" x14ac:dyDescent="0.9">
      <c r="A14" s="70" t="s">
        <v>867</v>
      </c>
      <c r="B14" s="3">
        <v>349260</v>
      </c>
      <c r="C14" s="245">
        <f t="shared" si="12"/>
        <v>0.17095481342107377</v>
      </c>
      <c r="D14" s="3">
        <v>486299</v>
      </c>
      <c r="E14" s="245">
        <f t="shared" si="13"/>
        <v>0.25739693515468198</v>
      </c>
      <c r="F14" s="3">
        <v>431495</v>
      </c>
      <c r="G14" s="245">
        <f t="shared" si="14"/>
        <v>0.27879468843121091</v>
      </c>
      <c r="I14">
        <f t="shared" si="15"/>
        <v>0.17095481342107377</v>
      </c>
      <c r="K14">
        <f t="shared" si="16"/>
        <v>0.25739693515468198</v>
      </c>
      <c r="M14">
        <f t="shared" si="17"/>
        <v>0.27879468843121091</v>
      </c>
    </row>
    <row r="15" spans="1:13" ht="15.5" thickBot="1" x14ac:dyDescent="0.9">
      <c r="A15" s="73" t="s">
        <v>868</v>
      </c>
      <c r="B15" s="71">
        <f>SUM(B13:B14)</f>
        <v>1404143</v>
      </c>
      <c r="C15" s="249">
        <f t="shared" si="12"/>
        <v>0.68729601036908539</v>
      </c>
      <c r="D15" s="71">
        <f>SUM(D13:D14)</f>
        <v>1365676</v>
      </c>
      <c r="E15" s="249">
        <f t="shared" si="13"/>
        <v>0.72284914592525473</v>
      </c>
      <c r="F15" s="71">
        <f>SUM(F13:F14)</f>
        <v>968655</v>
      </c>
      <c r="G15" s="249">
        <f t="shared" si="14"/>
        <v>0.62586094606504039</v>
      </c>
      <c r="I15">
        <f t="shared" si="15"/>
        <v>0.68729601036908539</v>
      </c>
      <c r="K15">
        <f t="shared" si="16"/>
        <v>0.72284914592525473</v>
      </c>
      <c r="M15">
        <f t="shared" si="17"/>
        <v>0.62586094606504039</v>
      </c>
    </row>
    <row r="16" spans="1:13" ht="15.5" thickBot="1" x14ac:dyDescent="0.9">
      <c r="A16" s="15" t="str">
        <f>A15&amp;" and "&amp;A11</f>
        <v>Total Stockholder Equity and Total Liabilities</v>
      </c>
      <c r="B16" s="67">
        <f>SUM(B15,B11)</f>
        <v>2042996</v>
      </c>
      <c r="C16" s="250">
        <f t="shared" si="12"/>
        <v>1</v>
      </c>
      <c r="D16" s="67">
        <f>SUM(D15,D11)</f>
        <v>1889296</v>
      </c>
      <c r="E16" s="250">
        <f t="shared" si="13"/>
        <v>1</v>
      </c>
      <c r="F16" s="67">
        <f>SUM(F15,F11)</f>
        <v>1547716</v>
      </c>
      <c r="G16" s="250">
        <f t="shared" si="14"/>
        <v>1</v>
      </c>
      <c r="I16">
        <f t="shared" si="15"/>
        <v>1</v>
      </c>
      <c r="K16">
        <f t="shared" si="16"/>
        <v>1</v>
      </c>
      <c r="M16">
        <f t="shared" si="17"/>
        <v>1</v>
      </c>
    </row>
    <row r="17" spans="1:6" ht="15.5" thickTop="1" x14ac:dyDescent="0.75">
      <c r="B17" t="b">
        <f>B16=B7</f>
        <v>1</v>
      </c>
      <c r="D17" t="b">
        <f>D16=D7</f>
        <v>1</v>
      </c>
      <c r="F17" t="b">
        <f>F16=F7</f>
        <v>1</v>
      </c>
    </row>
    <row r="19" spans="1:6" x14ac:dyDescent="0.75">
      <c r="A19" s="112" t="s">
        <v>561</v>
      </c>
      <c r="B19" s="112"/>
      <c r="C19" s="112"/>
      <c r="D19" s="112"/>
      <c r="E19" s="112"/>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46</vt:i4>
      </vt:variant>
    </vt:vector>
  </HeadingPairs>
  <TitlesOfParts>
    <vt:vector size="46" baseType="lpstr">
      <vt:lpstr>Videos to re-do</vt:lpstr>
      <vt:lpstr>Topics</vt:lpstr>
      <vt:lpstr>Introduction to Ratios</vt:lpstr>
      <vt:lpstr>Introduction to Ratios (an)</vt:lpstr>
      <vt:lpstr>ListOfAllRatios</vt:lpstr>
      <vt:lpstr>WFMI IS (%)</vt:lpstr>
      <vt:lpstr>WFMI IS (an%)</vt:lpstr>
      <vt:lpstr>WFMI BS (%)</vt:lpstr>
      <vt:lpstr>WFMI BS (an%)</vt:lpstr>
      <vt:lpstr>WFMI LiquidityR</vt:lpstr>
      <vt:lpstr>WFMI LiquidityR (an)</vt:lpstr>
      <vt:lpstr>Current Ratio</vt:lpstr>
      <vt:lpstr>Current Ratio (an)</vt:lpstr>
      <vt:lpstr>WFMI TurnOverR</vt:lpstr>
      <vt:lpstr>WFMI TurnOverR (an)</vt:lpstr>
      <vt:lpstr>WFMI LeverageR</vt:lpstr>
      <vt:lpstr>WFMI LeverageR (an)</vt:lpstr>
      <vt:lpstr>WFMI Du Pont</vt:lpstr>
      <vt:lpstr>WFMI Du Pont (an)</vt:lpstr>
      <vt:lpstr>QuickDuPont</vt:lpstr>
      <vt:lpstr>QuickDuPont(an)</vt:lpstr>
      <vt:lpstr>GrowthMarketR</vt:lpstr>
      <vt:lpstr>GrowthMarketR (an)</vt:lpstr>
      <vt:lpstr>Industry Averages</vt:lpstr>
      <vt:lpstr>More Information ==&gt;</vt:lpstr>
      <vt:lpstr>WhyFS</vt:lpstr>
      <vt:lpstr>ProblemsFS</vt:lpstr>
      <vt:lpstr>WhyCommonSize</vt:lpstr>
      <vt:lpstr>CommonSizeHow (an)</vt:lpstr>
      <vt:lpstr>CommonSizeHow</vt:lpstr>
      <vt:lpstr>WFMI SEC Financials</vt:lpstr>
      <vt:lpstr>Ratios</vt:lpstr>
      <vt:lpstr>LiquidityR</vt:lpstr>
      <vt:lpstr>LeverageR (1)</vt:lpstr>
      <vt:lpstr>LeverageR (2)</vt:lpstr>
      <vt:lpstr>EfficencyR</vt:lpstr>
      <vt:lpstr>ProfitabilityR</vt:lpstr>
      <vt:lpstr>ROAandROE (1)</vt:lpstr>
      <vt:lpstr>Du Pont (1)</vt:lpstr>
      <vt:lpstr>Du Pont (2)</vt:lpstr>
      <vt:lpstr>MarketValueR</vt:lpstr>
      <vt:lpstr>GrowthR (1)</vt:lpstr>
      <vt:lpstr>GrowthR (2)</vt:lpstr>
      <vt:lpstr>InternalSustainable Growth</vt:lpstr>
      <vt:lpstr>Benchmarks</vt:lpstr>
      <vt:lpstr>More Industry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Gel</dc:creator>
  <cp:lastModifiedBy>Girvin, Michael</cp:lastModifiedBy>
  <cp:lastPrinted>2007-10-17T15:57:20Z</cp:lastPrinted>
  <dcterms:created xsi:type="dcterms:W3CDTF">2007-10-07T03:45:06Z</dcterms:created>
  <dcterms:modified xsi:type="dcterms:W3CDTF">2025-01-21T06:46:37Z</dcterms:modified>
</cp:coreProperties>
</file>