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24226"/>
  <mc:AlternateContent xmlns:mc="http://schemas.openxmlformats.org/markup-compatibility/2006">
    <mc:Choice Requires="x15">
      <x15ac:absPath xmlns:x15ac="http://schemas.microsoft.com/office/spreadsheetml/2010/11/ac" url="T:\AllClasses\455\ch02\"/>
    </mc:Choice>
  </mc:AlternateContent>
  <xr:revisionPtr revIDLastSave="0" documentId="13_ncr:1_{E1624117-4DFB-4093-95EF-301864A01873}" xr6:coauthVersionLast="47" xr6:coauthVersionMax="47" xr10:uidLastSave="{00000000-0000-0000-0000-000000000000}"/>
  <bookViews>
    <workbookView xWindow="-108" yWindow="-108" windowWidth="23256" windowHeight="12576" xr2:uid="{86FDC318-26EA-4583-A69C-6CEA000F4B13}"/>
  </bookViews>
  <sheets>
    <sheet name="Topics" sheetId="1" r:id="rId1"/>
    <sheet name="Assumptions" sheetId="5" r:id="rId2"/>
    <sheet name="Balance Sheet" sheetId="6" r:id="rId3"/>
    <sheet name="Balance Sheet (an)" sheetId="17" r:id="rId4"/>
    <sheet name="BasicBS" sheetId="69" r:id="rId5"/>
    <sheet name="BasicBS (an)" sheetId="70" r:id="rId6"/>
    <sheet name="Working Capital" sheetId="7" r:id="rId7"/>
    <sheet name="Working Capital (an)" sheetId="16" r:id="rId8"/>
    <sheet name="Build BS" sheetId="11" r:id="rId9"/>
    <sheet name="Build BS (an)" sheetId="15" r:id="rId10"/>
    <sheet name="NCS" sheetId="71" r:id="rId11"/>
    <sheet name="NCS (an)" sheetId="72" r:id="rId12"/>
    <sheet name="Liquidity" sheetId="9" r:id="rId13"/>
    <sheet name="Debt v Equity" sheetId="8" r:id="rId14"/>
    <sheet name="Debt" sheetId="12" r:id="rId15"/>
    <sheet name="Market v Book Value" sheetId="13" r:id="rId16"/>
    <sheet name="Show MV and BV" sheetId="14" r:id="rId17"/>
    <sheet name="Show MV and BV (an)" sheetId="18" r:id="rId18"/>
    <sheet name="Income Statement" sheetId="19" r:id="rId19"/>
    <sheet name="Income Statement (an)" sheetId="20" r:id="rId20"/>
    <sheet name="Depreciation" sheetId="23" r:id="rId21"/>
    <sheet name="Depreciation (an)" sheetId="65" r:id="rId22"/>
    <sheet name="Accounting" sheetId="22" r:id="rId23"/>
    <sheet name="Accounting (an)" sheetId="66" r:id="rId24"/>
    <sheet name="Cash Flows" sheetId="30" r:id="rId25"/>
    <sheet name="Cash Flow Identities" sheetId="31" r:id="rId26"/>
    <sheet name="In Class Example" sheetId="58" r:id="rId27"/>
    <sheet name="In Class Example (an)" sheetId="59" r:id="rId28"/>
    <sheet name="Why Debt Good" sheetId="60" r:id="rId29"/>
    <sheet name="Why Debt Good (an)" sheetId="67" r:id="rId30"/>
    <sheet name="Taxes" sheetId="28" r:id="rId31"/>
    <sheet name="Taxes (an)" sheetId="68" r:id="rId32"/>
    <sheet name="2005 C Corporation Tax Rates" sheetId="26" r:id="rId33"/>
    <sheet name="NotInVideo=&gt;" sheetId="75" r:id="rId34"/>
    <sheet name="Dole Example (T)" sheetId="73" r:id="rId35"/>
    <sheet name="Dole Example (an)" sheetId="74" r:id="rId36"/>
    <sheet name="WFMIexample==&gt;&gt;" sheetId="64" r:id="rId37"/>
    <sheet name="SEC Financials" sheetId="61" r:id="rId38"/>
    <sheet name="WFMI Cash Flows" sheetId="62" r:id="rId39"/>
    <sheet name="Cash Flow (an)" sheetId="63" r:id="rId40"/>
  </sheets>
  <definedNames>
    <definedName name="_xlnm.Print_Area" localSheetId="26">'In Class Example'!$A$1:$C$23,'In Class Example'!$E$1:$G$15,'In Class Example'!$I$1:$O$13,'In Class Example'!$Q$1:$W$14</definedName>
    <definedName name="_xlnm.Print_Area" localSheetId="27">'In Class Example (an)'!$A$1:$C$23,'In Class Example (an)'!$E$1:$G$15,'In Class Example (an)'!$I$1:$O$13,'In Class Example (an)'!$Q$1:$W$14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1" l="1"/>
  <c r="B3" i="5"/>
  <c r="H45" i="74"/>
  <c r="F45" i="74"/>
  <c r="H43" i="74"/>
  <c r="F43" i="74"/>
  <c r="B35" i="74"/>
  <c r="B30" i="74"/>
  <c r="F49" i="74" s="1"/>
  <c r="B25" i="74"/>
  <c r="F47" i="74" s="1"/>
  <c r="A25" i="74"/>
  <c r="B23" i="74"/>
  <c r="A23" i="74"/>
  <c r="B21" i="74"/>
  <c r="A21" i="74"/>
  <c r="B20" i="74"/>
  <c r="B22" i="74" s="1"/>
  <c r="B24" i="74" s="1"/>
  <c r="A20" i="74"/>
  <c r="A19" i="74"/>
  <c r="A17" i="74"/>
  <c r="A24" i="73"/>
  <c r="A22" i="73"/>
  <c r="A21" i="73"/>
  <c r="A20" i="73"/>
  <c r="A19" i="73"/>
  <c r="A17" i="73"/>
  <c r="B19" i="67"/>
  <c r="H18" i="18" a="1"/>
  <c r="H18" i="18" s="1"/>
  <c r="E6" i="63"/>
  <c r="G6" i="63"/>
  <c r="C8" i="63"/>
  <c r="A8" i="63" s="1"/>
  <c r="E4" i="63" s="1"/>
  <c r="E8" i="63"/>
  <c r="G8" i="63"/>
  <c r="C10" i="63"/>
  <c r="A10" i="63" s="1"/>
  <c r="G4" i="63" s="1"/>
  <c r="E10" i="63"/>
  <c r="C12" i="63"/>
  <c r="A12" i="63" s="1"/>
  <c r="C2" i="63" s="1"/>
  <c r="E12" i="63"/>
  <c r="C14" i="63"/>
  <c r="B8" i="62"/>
  <c r="C8" i="62"/>
  <c r="D8" i="62"/>
  <c r="B10" i="62"/>
  <c r="C6" i="63" s="1"/>
  <c r="A6" i="63" s="1"/>
  <c r="C4" i="63" s="1"/>
  <c r="A4" i="63" s="1"/>
  <c r="C10" i="62"/>
  <c r="D10" i="62"/>
  <c r="B17" i="62"/>
  <c r="G14" i="63" s="1"/>
  <c r="F22" i="62"/>
  <c r="H22" i="62"/>
  <c r="J22" i="62"/>
  <c r="B25" i="62"/>
  <c r="C25" i="62"/>
  <c r="D25" i="62"/>
  <c r="B29" i="62"/>
  <c r="C29" i="62"/>
  <c r="D29" i="62"/>
  <c r="B33" i="62"/>
  <c r="C33" i="62"/>
  <c r="D33" i="62"/>
  <c r="A34" i="62"/>
  <c r="B34" i="62"/>
  <c r="C34" i="62"/>
  <c r="D34" i="62"/>
  <c r="B35" i="62"/>
  <c r="C35" i="62"/>
  <c r="D35" i="62"/>
  <c r="A4" i="26"/>
  <c r="F4" i="26"/>
  <c r="B5" i="26"/>
  <c r="A5" i="26" s="1"/>
  <c r="D5" i="26"/>
  <c r="F5" i="26"/>
  <c r="B6" i="26"/>
  <c r="A6" i="26" s="1"/>
  <c r="D6" i="26"/>
  <c r="F6" i="26"/>
  <c r="B7" i="26"/>
  <c r="A7" i="26" s="1"/>
  <c r="G19" i="26" s="1"/>
  <c r="D7" i="26"/>
  <c r="F7" i="26"/>
  <c r="B8" i="26"/>
  <c r="A8" i="26" s="1"/>
  <c r="D8" i="26"/>
  <c r="B9" i="26"/>
  <c r="A9" i="26" s="1"/>
  <c r="B10" i="26"/>
  <c r="A10" i="26" s="1"/>
  <c r="B11" i="26"/>
  <c r="A11" i="26" s="1"/>
  <c r="F11" i="26"/>
  <c r="E14" i="68"/>
  <c r="P15" i="68"/>
  <c r="P16" i="68" s="1"/>
  <c r="P17" i="68" s="1"/>
  <c r="E16" i="68"/>
  <c r="F16" i="68"/>
  <c r="E17" i="68"/>
  <c r="F17" i="68"/>
  <c r="E18" i="68"/>
  <c r="F18" i="68"/>
  <c r="E19" i="68"/>
  <c r="F19" i="68"/>
  <c r="F20" i="68"/>
  <c r="F22" i="68"/>
  <c r="F23" i="68"/>
  <c r="E14" i="28"/>
  <c r="E16" i="28"/>
  <c r="F16" i="28"/>
  <c r="E17" i="28"/>
  <c r="F17" i="28"/>
  <c r="E18" i="28"/>
  <c r="F18" i="28"/>
  <c r="E19" i="28"/>
  <c r="F19" i="28"/>
  <c r="A6" i="67"/>
  <c r="B6" i="67"/>
  <c r="D11" i="67"/>
  <c r="D12" i="67"/>
  <c r="B13" i="67"/>
  <c r="D13" i="67"/>
  <c r="D15" i="67" s="1"/>
  <c r="A6" i="60"/>
  <c r="B6" i="60"/>
  <c r="A7" i="60"/>
  <c r="B7" i="60"/>
  <c r="A8" i="60"/>
  <c r="B8" i="60"/>
  <c r="D11" i="60"/>
  <c r="D12" i="60"/>
  <c r="B13" i="60"/>
  <c r="D13" i="60"/>
  <c r="B14" i="60"/>
  <c r="B15" i="60"/>
  <c r="D15" i="60"/>
  <c r="E1" i="59"/>
  <c r="I1" i="59"/>
  <c r="E2" i="59"/>
  <c r="I2" i="59"/>
  <c r="B4" i="59"/>
  <c r="E4" i="59"/>
  <c r="G4" i="59"/>
  <c r="E5" i="59"/>
  <c r="J5" i="59" a="1"/>
  <c r="J5" i="59" s="1"/>
  <c r="N5" i="59" s="1"/>
  <c r="K5" i="59"/>
  <c r="O5" i="59"/>
  <c r="Q5" i="59"/>
  <c r="U5" i="59"/>
  <c r="W5" i="59"/>
  <c r="E6" i="59"/>
  <c r="G6" i="59"/>
  <c r="I6" i="59"/>
  <c r="J6" i="59"/>
  <c r="K6" i="59"/>
  <c r="M6" i="59"/>
  <c r="N6" i="59"/>
  <c r="O6" i="59"/>
  <c r="U6" i="59"/>
  <c r="I7" i="59"/>
  <c r="J7" i="59"/>
  <c r="K7" i="59"/>
  <c r="M7" i="59"/>
  <c r="N7" i="59"/>
  <c r="O7" i="59"/>
  <c r="W7" i="59"/>
  <c r="E8" i="59"/>
  <c r="G8" i="59"/>
  <c r="N8" i="59"/>
  <c r="O8" i="59"/>
  <c r="S8" i="59"/>
  <c r="Q8" i="59" s="1"/>
  <c r="U4" i="59" s="1"/>
  <c r="U8" i="59"/>
  <c r="W8" i="59"/>
  <c r="A9" i="59"/>
  <c r="A10" i="59"/>
  <c r="S10" i="59"/>
  <c r="Q10" i="59" s="1"/>
  <c r="W4" i="59" s="1"/>
  <c r="U10" i="59"/>
  <c r="A11" i="59"/>
  <c r="S11" i="59"/>
  <c r="A12" i="59"/>
  <c r="I12" i="59"/>
  <c r="J12" i="59"/>
  <c r="N11" i="59" s="1"/>
  <c r="N12" i="59" s="1"/>
  <c r="K12" i="59"/>
  <c r="O11" i="59" s="1"/>
  <c r="M12" i="59"/>
  <c r="S12" i="59"/>
  <c r="Q12" i="59" s="1"/>
  <c r="U12" i="59"/>
  <c r="A13" i="59"/>
  <c r="G13" i="59"/>
  <c r="S13" i="59"/>
  <c r="B14" i="59" a="1"/>
  <c r="S14" i="59"/>
  <c r="C16" i="59"/>
  <c r="G5" i="59" s="1"/>
  <c r="G7" i="59" s="1"/>
  <c r="E1" i="58"/>
  <c r="I1" i="58" s="1"/>
  <c r="E2" i="58"/>
  <c r="I2" i="58"/>
  <c r="B4" i="58"/>
  <c r="E4" i="58"/>
  <c r="E5" i="58"/>
  <c r="J5" i="58" a="1"/>
  <c r="Q5" i="58"/>
  <c r="U5" i="58"/>
  <c r="W7" i="58" s="1"/>
  <c r="W5" i="58"/>
  <c r="E6" i="58"/>
  <c r="I6" i="58"/>
  <c r="M6" i="58"/>
  <c r="I7" i="58"/>
  <c r="M7" i="58"/>
  <c r="E8" i="58"/>
  <c r="A9" i="58"/>
  <c r="A10" i="58"/>
  <c r="A11" i="58"/>
  <c r="S11" i="58"/>
  <c r="A12" i="58"/>
  <c r="I12" i="58"/>
  <c r="M12" i="58"/>
  <c r="A13" i="58"/>
  <c r="S13" i="58"/>
  <c r="B14" i="58" a="1"/>
  <c r="C16" i="58"/>
  <c r="A1" i="30"/>
  <c r="E1" i="30"/>
  <c r="A2" i="30"/>
  <c r="E2" i="30"/>
  <c r="A4" i="30"/>
  <c r="B4" i="30"/>
  <c r="C4" i="30"/>
  <c r="E4" i="30"/>
  <c r="F4" i="30"/>
  <c r="G4" i="30"/>
  <c r="H4" i="30"/>
  <c r="I4" i="30"/>
  <c r="J4" i="30"/>
  <c r="K4" i="30"/>
  <c r="A5" i="30"/>
  <c r="B5" i="30"/>
  <c r="C5" i="30"/>
  <c r="E5" i="30"/>
  <c r="H5" i="30"/>
  <c r="I5" i="30"/>
  <c r="A6" i="30"/>
  <c r="B6" i="30"/>
  <c r="C6" i="30"/>
  <c r="E6" i="30"/>
  <c r="F6" i="30"/>
  <c r="G6" i="30"/>
  <c r="H6" i="30"/>
  <c r="I6" i="30"/>
  <c r="J6" i="30"/>
  <c r="K6" i="30"/>
  <c r="A7" i="30"/>
  <c r="B7" i="30"/>
  <c r="E7" i="30"/>
  <c r="F7" i="30"/>
  <c r="G7" i="30"/>
  <c r="H7" i="30"/>
  <c r="I7" i="30"/>
  <c r="J7" i="30"/>
  <c r="K7" i="30"/>
  <c r="A8" i="30"/>
  <c r="B8" i="30"/>
  <c r="C8" i="30"/>
  <c r="E8" i="30"/>
  <c r="F8" i="30"/>
  <c r="G8" i="30"/>
  <c r="H8" i="30"/>
  <c r="I8" i="30"/>
  <c r="J8" i="30"/>
  <c r="K8" i="30"/>
  <c r="A9" i="30"/>
  <c r="B9" i="30"/>
  <c r="E9" i="30"/>
  <c r="F9" i="30"/>
  <c r="G9" i="30"/>
  <c r="H9" i="30"/>
  <c r="I9" i="30"/>
  <c r="A10" i="30"/>
  <c r="B10" i="30"/>
  <c r="C10" i="30"/>
  <c r="E10" i="30"/>
  <c r="H10" i="30"/>
  <c r="I10" i="30"/>
  <c r="J10" i="30"/>
  <c r="K10" i="30"/>
  <c r="A11" i="30"/>
  <c r="B11" i="30"/>
  <c r="E11" i="30"/>
  <c r="F11" i="30"/>
  <c r="G11" i="30"/>
  <c r="H11" i="30"/>
  <c r="I11" i="30"/>
  <c r="J11" i="30"/>
  <c r="K11" i="30"/>
  <c r="A12" i="30"/>
  <c r="B12" i="30"/>
  <c r="C12" i="30"/>
  <c r="E12" i="30"/>
  <c r="F12" i="30"/>
  <c r="G12" i="30"/>
  <c r="H12" i="30"/>
  <c r="I12" i="30"/>
  <c r="J12" i="30"/>
  <c r="K12" i="30"/>
  <c r="A13" i="30"/>
  <c r="B13" i="30"/>
  <c r="C13" i="30"/>
  <c r="E13" i="30"/>
  <c r="F13" i="30"/>
  <c r="G13" i="30"/>
  <c r="H13" i="30"/>
  <c r="I13" i="30"/>
  <c r="J13" i="30"/>
  <c r="K13" i="30"/>
  <c r="A14" i="30"/>
  <c r="B14" i="30"/>
  <c r="C14" i="30"/>
  <c r="E14" i="30"/>
  <c r="F14" i="30"/>
  <c r="G14" i="30"/>
  <c r="H14" i="30"/>
  <c r="I14" i="30"/>
  <c r="J14" i="30"/>
  <c r="K14" i="30"/>
  <c r="E15" i="30"/>
  <c r="F15" i="30"/>
  <c r="G15" i="30"/>
  <c r="H15" i="30"/>
  <c r="I15" i="30"/>
  <c r="J15" i="30"/>
  <c r="K15" i="30"/>
  <c r="E16" i="30"/>
  <c r="F16" i="30"/>
  <c r="G16" i="30"/>
  <c r="H16" i="30"/>
  <c r="I16" i="30"/>
  <c r="J16" i="30"/>
  <c r="K16" i="30"/>
  <c r="E17" i="30"/>
  <c r="F17" i="30"/>
  <c r="G17" i="30"/>
  <c r="H17" i="30"/>
  <c r="I17" i="30"/>
  <c r="J17" i="30"/>
  <c r="K17" i="30"/>
  <c r="E18" i="30"/>
  <c r="F18" i="30"/>
  <c r="G18" i="30"/>
  <c r="H18" i="30"/>
  <c r="I18" i="30"/>
  <c r="J18" i="30"/>
  <c r="K18" i="30"/>
  <c r="B41" i="66"/>
  <c r="B45" i="66"/>
  <c r="C45" i="66"/>
  <c r="D45" i="66"/>
  <c r="E45" i="66"/>
  <c r="F45" i="66"/>
  <c r="B47" i="66"/>
  <c r="C47" i="66"/>
  <c r="D47" i="66"/>
  <c r="E47" i="66"/>
  <c r="F47" i="66"/>
  <c r="B41" i="22"/>
  <c r="B47" i="22"/>
  <c r="C47" i="22"/>
  <c r="D47" i="22"/>
  <c r="E47" i="22"/>
  <c r="F47" i="22"/>
  <c r="B4" i="65"/>
  <c r="A1" i="20"/>
  <c r="A4" i="20"/>
  <c r="B4" i="20"/>
  <c r="C4" i="20"/>
  <c r="A5" i="20"/>
  <c r="B5" i="20"/>
  <c r="C5" i="20"/>
  <c r="A6" i="20"/>
  <c r="B6" i="20"/>
  <c r="C6" i="20"/>
  <c r="A7" i="20"/>
  <c r="B7" i="20"/>
  <c r="A8" i="20"/>
  <c r="B8" i="20"/>
  <c r="C8" i="20"/>
  <c r="A9" i="20"/>
  <c r="B9" i="20"/>
  <c r="A10" i="20"/>
  <c r="B10" i="20"/>
  <c r="C10" i="20"/>
  <c r="A11" i="20"/>
  <c r="B11" i="20"/>
  <c r="A13" i="20"/>
  <c r="B13" i="20"/>
  <c r="C13" i="20"/>
  <c r="A14" i="20"/>
  <c r="B14" i="20"/>
  <c r="C14" i="20"/>
  <c r="C15" i="20"/>
  <c r="A17" i="20"/>
  <c r="C17" i="20"/>
  <c r="C7" i="19"/>
  <c r="E13" i="19"/>
  <c r="E15" i="19"/>
  <c r="E17" i="19"/>
  <c r="E21" i="19"/>
  <c r="C22" i="19"/>
  <c r="C23" i="19"/>
  <c r="A2" i="18"/>
  <c r="B2" i="18"/>
  <c r="A3" i="18"/>
  <c r="B3" i="18"/>
  <c r="A4" i="18"/>
  <c r="B4" i="18"/>
  <c r="A5" i="18"/>
  <c r="B5" i="18"/>
  <c r="A6" i="18"/>
  <c r="B6" i="18"/>
  <c r="A7" i="18"/>
  <c r="B7" i="18"/>
  <c r="A8" i="18"/>
  <c r="B8" i="18"/>
  <c r="C8" i="18"/>
  <c r="A9" i="18"/>
  <c r="B9" i="18"/>
  <c r="H12" i="18"/>
  <c r="I12" i="18"/>
  <c r="D13" i="18"/>
  <c r="E13" i="18"/>
  <c r="H13" i="18"/>
  <c r="I13" i="18"/>
  <c r="D14" i="18"/>
  <c r="E14" i="18"/>
  <c r="D15" i="18"/>
  <c r="H14" i="18" s="1"/>
  <c r="H15" i="18" s="1"/>
  <c r="E15" i="18"/>
  <c r="I14" i="18" s="1"/>
  <c r="I15" i="18" s="1"/>
  <c r="C8" i="14"/>
  <c r="H12" i="14"/>
  <c r="I12" i="14"/>
  <c r="A1" i="8"/>
  <c r="E1" i="8"/>
  <c r="A9" i="72"/>
  <c r="A10" i="72"/>
  <c r="A11" i="72"/>
  <c r="A13" i="72"/>
  <c r="B13" i="72"/>
  <c r="A23" i="72"/>
  <c r="A24" i="72"/>
  <c r="A25" i="72"/>
  <c r="A27" i="72"/>
  <c r="B27" i="72"/>
  <c r="A9" i="71"/>
  <c r="A23" i="71"/>
  <c r="A24" i="71"/>
  <c r="A25" i="71"/>
  <c r="A2" i="15"/>
  <c r="B2" i="15"/>
  <c r="A3" i="15"/>
  <c r="B3" i="15"/>
  <c r="A4" i="15"/>
  <c r="B4" i="15"/>
  <c r="A5" i="15"/>
  <c r="B5" i="15"/>
  <c r="C8" i="15"/>
  <c r="D8" i="15"/>
  <c r="F8" i="15"/>
  <c r="G8" i="15"/>
  <c r="C9" i="15"/>
  <c r="D9" i="15"/>
  <c r="F9" i="15"/>
  <c r="G9" i="15"/>
  <c r="G10" i="15"/>
  <c r="D12" i="15"/>
  <c r="G11" i="15" s="1"/>
  <c r="G12" i="15" s="1"/>
  <c r="C14" i="15"/>
  <c r="C7" i="11"/>
  <c r="D7" i="11"/>
  <c r="F7" i="11"/>
  <c r="G7" i="11"/>
  <c r="C8" i="11"/>
  <c r="D8" i="11"/>
  <c r="F8" i="11"/>
  <c r="G8" i="11"/>
  <c r="A1" i="16"/>
  <c r="D1" i="16"/>
  <c r="A3" i="16"/>
  <c r="D3" i="16"/>
  <c r="D6" i="16"/>
  <c r="D10" i="16"/>
  <c r="A1" i="7"/>
  <c r="D1" i="7"/>
  <c r="A3" i="7"/>
  <c r="D3" i="7"/>
  <c r="D6" i="7"/>
  <c r="D10" i="7"/>
  <c r="A12" i="70"/>
  <c r="A15" i="70"/>
  <c r="B15" i="70"/>
  <c r="D15" i="70"/>
  <c r="E15" i="70"/>
  <c r="A16" i="70"/>
  <c r="B16" i="70"/>
  <c r="B18" i="70" s="1"/>
  <c r="E17" i="70" s="1"/>
  <c r="E18" i="70" s="1"/>
  <c r="D16" i="70"/>
  <c r="E16" i="70"/>
  <c r="A12" i="69"/>
  <c r="A15" i="69"/>
  <c r="D15" i="69"/>
  <c r="A16" i="69"/>
  <c r="D16" i="69"/>
  <c r="A4" i="17"/>
  <c r="B8" i="17"/>
  <c r="F8" i="17"/>
  <c r="F12" i="17"/>
  <c r="G12" i="17"/>
  <c r="B13" i="17"/>
  <c r="C13" i="17"/>
  <c r="G15" i="17"/>
  <c r="G18" i="17"/>
  <c r="F20" i="17"/>
  <c r="G20" i="17"/>
  <c r="B21" i="17"/>
  <c r="C21" i="17"/>
  <c r="E21" i="17"/>
  <c r="G21" i="17"/>
  <c r="F24" i="17"/>
  <c r="A4" i="6"/>
  <c r="B8" i="6"/>
  <c r="F5" i="30" s="1"/>
  <c r="F8" i="6"/>
  <c r="J5" i="30" s="1"/>
  <c r="F12" i="6"/>
  <c r="J9" i="30" s="1"/>
  <c r="G12" i="6"/>
  <c r="K9" i="30" s="1"/>
  <c r="B13" i="6"/>
  <c r="F10" i="30" s="1"/>
  <c r="C13" i="6"/>
  <c r="G10" i="30" s="1"/>
  <c r="F15" i="6"/>
  <c r="G15" i="6"/>
  <c r="G18" i="6"/>
  <c r="F20" i="6"/>
  <c r="G20" i="6"/>
  <c r="B21" i="6"/>
  <c r="C21" i="6"/>
  <c r="E21" i="6"/>
  <c r="F21" i="6"/>
  <c r="G21" i="6"/>
  <c r="A10" i="71" l="1"/>
  <c r="A13" i="71"/>
  <c r="A27" i="71"/>
  <c r="A11" i="71"/>
  <c r="A3" i="20"/>
  <c r="C9" i="19"/>
  <c r="A3" i="30" s="1"/>
  <c r="A6" i="17"/>
  <c r="C8" i="17"/>
  <c r="G8" i="17"/>
  <c r="A6" i="6"/>
  <c r="E3" i="30" s="1"/>
  <c r="A5" i="5"/>
  <c r="C8" i="6"/>
  <c r="G5" i="30" s="1"/>
  <c r="G8" i="6"/>
  <c r="K5" i="30" s="1"/>
  <c r="D45" i="74"/>
  <c r="J39" i="74" s="1"/>
  <c r="I44" i="74"/>
  <c r="D49" i="74"/>
  <c r="J43" i="74"/>
  <c r="H41" i="74"/>
  <c r="B26" i="74"/>
  <c r="F41" i="74"/>
  <c r="E14" i="63"/>
  <c r="A14" i="63" s="1"/>
  <c r="E2" i="63" s="1"/>
  <c r="A2" i="63" s="1"/>
  <c r="J16" i="62"/>
  <c r="D9" i="26"/>
  <c r="F8" i="26"/>
  <c r="P18" i="68"/>
  <c r="P19" i="68" s="1"/>
  <c r="P20" i="68" s="1"/>
  <c r="P21" i="68" s="1"/>
  <c r="H20" i="68"/>
  <c r="B7" i="67"/>
  <c r="A7" i="67"/>
  <c r="B14" i="67"/>
  <c r="B15" i="67" s="1"/>
  <c r="B16" i="67"/>
  <c r="B17" i="67" s="1"/>
  <c r="D16" i="67"/>
  <c r="D17" i="67" s="1"/>
  <c r="I3" i="59"/>
  <c r="E3" i="59"/>
  <c r="O12" i="59"/>
  <c r="B12" i="59"/>
  <c r="S2" i="59"/>
  <c r="B14" i="59"/>
  <c r="C14" i="59"/>
  <c r="S6" i="59"/>
  <c r="G9" i="59"/>
  <c r="E3" i="58"/>
  <c r="I3" i="58"/>
  <c r="J5" i="58"/>
  <c r="N5" i="58" s="1"/>
  <c r="K5" i="58"/>
  <c r="O5" i="58" s="1"/>
  <c r="C14" i="58"/>
  <c r="B14" i="58"/>
  <c r="C7" i="20"/>
  <c r="C7" i="30"/>
  <c r="C9" i="20"/>
  <c r="C9" i="30"/>
  <c r="C11" i="20"/>
  <c r="C11" i="30"/>
  <c r="F15" i="17"/>
  <c r="F21" i="17" s="1"/>
  <c r="G24" i="17" s="1"/>
  <c r="H24" i="17" s="1"/>
  <c r="B18" i="16"/>
  <c r="C21" i="19" l="1"/>
  <c r="A15" i="20"/>
  <c r="B27" i="74"/>
  <c r="H37" i="74"/>
  <c r="I48" i="74"/>
  <c r="D43" i="74"/>
  <c r="D10" i="26"/>
  <c r="F10" i="26" s="1"/>
  <c r="F9" i="26"/>
  <c r="A8" i="67"/>
  <c r="B8" i="67"/>
  <c r="G11" i="59"/>
  <c r="G14" i="59" s="1"/>
  <c r="O10" i="59" s="1"/>
  <c r="O9" i="59" s="1"/>
  <c r="U14" i="59" s="1"/>
  <c r="Q14" i="59" s="1"/>
  <c r="G10" i="59"/>
  <c r="W6" i="59" s="1"/>
  <c r="Q6" i="59" s="1"/>
  <c r="S4" i="59" s="1"/>
  <c r="Q4" i="59" s="1"/>
  <c r="C16" i="20"/>
  <c r="A16" i="20"/>
  <c r="J41" i="74" l="1"/>
  <c r="B28" i="74"/>
  <c r="B31" i="74" s="1"/>
  <c r="H39" i="74"/>
  <c r="K42" i="74"/>
  <c r="U2" i="59"/>
  <c r="B13" i="59"/>
  <c r="C11" i="59" s="1"/>
  <c r="B11" i="59"/>
  <c r="Q2" i="59"/>
  <c r="V1" i="59" s="1"/>
  <c r="D41" i="74" l="1"/>
  <c r="K40" i="74" s="1"/>
  <c r="F39" i="74" l="1"/>
  <c r="B33" i="74"/>
  <c r="D39" i="74" l="1"/>
  <c r="D37" i="74" s="1"/>
  <c r="K38" i="74"/>
  <c r="F37" i="74" l="1"/>
  <c r="D47" i="74" s="1"/>
  <c r="H47" i="74" s="1"/>
  <c r="I46" i="74" s="1"/>
  <c r="J36"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Mgirvin</author>
    <author>Gel</author>
  </authors>
  <commentList>
    <comment ref="H4" authorId="0" shapeId="0" xr:uid="{F6A8F45D-3897-4FCE-8808-6B96E96534B9}">
      <text>
        <r>
          <rPr>
            <b/>
            <sz val="10"/>
            <color indexed="81"/>
            <rFont val="Tahoma"/>
            <family val="2"/>
          </rPr>
          <t xml:space="preserve">Note for those of you who have done accounting:
In this class we will not prepare financial statements, we will use them as a source of information.
The financial statements we see in this textbook will be condensed and will ignore some accounting customs such as:
1) Proper Titles
2) Showing the proper expense:
Interest Expense and Tax Expense will be shown on the Income Statement as Interest Paid and Taxes Paid
</t>
        </r>
      </text>
    </comment>
    <comment ref="G7" authorId="0" shapeId="0" xr:uid="{799B5238-0C23-439B-BAA9-6F7A655A624A}">
      <text>
        <r>
          <rPr>
            <b/>
            <sz val="8"/>
            <color indexed="81"/>
            <rFont val="Tahoma"/>
            <family val="2"/>
          </rPr>
          <t>Liability = Debt
Shareholders' Equity = Assets - Debt (residual value left over after all Creditors are paid)</t>
        </r>
      </text>
    </comment>
    <comment ref="A9" authorId="0" shapeId="0" xr:uid="{3CEEB75F-4873-4F63-ADCE-A82B1C8B754A}">
      <text>
        <r>
          <rPr>
            <b/>
            <sz val="8"/>
            <color indexed="81"/>
            <rFont val="Tahoma"/>
            <family val="2"/>
          </rPr>
          <t>Asset with a life of less than one year. Current Assets are usually converted to cash within one year.</t>
        </r>
      </text>
    </comment>
    <comment ref="E9" authorId="0" shapeId="0" xr:uid="{BD8C9707-9355-4D8B-BD67-0A88866D57CC}">
      <text>
        <r>
          <rPr>
            <b/>
            <sz val="8"/>
            <color indexed="81"/>
            <rFont val="Tahoma"/>
            <family val="2"/>
          </rPr>
          <t>Liability with a life of less than one year. Current Liabilities are usually paid out in cash within one year.</t>
        </r>
      </text>
    </comment>
    <comment ref="A14" authorId="0" shapeId="0" xr:uid="{C5E2265A-E22F-4AEF-9E38-F5E641944D27}">
      <text>
        <r>
          <rPr>
            <b/>
            <sz val="8"/>
            <color indexed="81"/>
            <rFont val="Tahoma"/>
            <family val="2"/>
          </rPr>
          <t>Assets with a life longer than one year. Fixed Assets are the assets used to generate revenue for the business over the long run.
Tangible Asset: Truck, Building, etc.
Intangible Assets: Patent, Employees, Brand Name.</t>
        </r>
      </text>
    </comment>
    <comment ref="E14" authorId="0" shapeId="0" xr:uid="{86C09C56-5B09-4BB1-A387-DB07DF27C6FC}">
      <text>
        <r>
          <rPr>
            <b/>
            <sz val="8"/>
            <color indexed="81"/>
            <rFont val="Tahoma"/>
            <family val="2"/>
          </rPr>
          <t>Debt that is not due in the coming year.
Long-term debt = Long-term Liability = Bonds (term used in this book)
Long-term creditors = Bondholders (term used in this book)</t>
        </r>
      </text>
    </comment>
    <comment ref="E17" authorId="0" shapeId="0" xr:uid="{939FBE51-F744-4755-B66A-B323D1AA638C}">
      <text>
        <r>
          <rPr>
            <b/>
            <sz val="8"/>
            <color indexed="81"/>
            <rFont val="Tahoma"/>
            <family val="2"/>
          </rPr>
          <t>Shareholders' Equity = Owners' Equity = Stockholders' Equity = Net Worth</t>
        </r>
      </text>
    </comment>
    <comment ref="E18" authorId="1" shapeId="0" xr:uid="{3A2E5059-C705-46CE-BDF0-13A8DEA2053E}">
      <text>
        <r>
          <rPr>
            <b/>
            <sz val="8"/>
            <color indexed="81"/>
            <rFont val="Tahoma"/>
            <family val="2"/>
          </rPr>
          <t>This represents the amount of money the owners paid initially to get the stock</t>
        </r>
      </text>
    </comment>
    <comment ref="E19" authorId="1" shapeId="0" xr:uid="{736F3EDF-A98F-4132-B4B3-3494A0960303}">
      <text>
        <r>
          <rPr>
            <b/>
            <sz val="8"/>
            <color indexed="81"/>
            <rFont val="Tahoma"/>
            <family val="2"/>
          </rPr>
          <t>This is the profit from past years that the firm has kept instead of paying out in dividends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Mgirvin</author>
    <author>Gel</author>
  </authors>
  <commentList>
    <comment ref="H4" authorId="0" shapeId="0" xr:uid="{421E8AA5-8600-4090-AF4A-C13A2EF31A12}">
      <text>
        <r>
          <rPr>
            <b/>
            <sz val="10"/>
            <color indexed="81"/>
            <rFont val="Tahoma"/>
            <family val="2"/>
          </rPr>
          <t xml:space="preserve">Note for those of you who have done accounting:
In this class we will not prepare financial statements, we will use them as a source of information.
The financial statements we see in this textbook will be condensed and will ignore some accounting customs such as:
1) Proper Titles
2) Showing the proper expense:
Interest Expense and Tax Expense will be shown on the Income Statement as Interest Paid and Taxes Paid
</t>
        </r>
      </text>
    </comment>
    <comment ref="G7" authorId="0" shapeId="0" xr:uid="{1E47790D-5F5D-41F8-8BDF-0C01CA45C984}">
      <text>
        <r>
          <rPr>
            <b/>
            <sz val="8"/>
            <color indexed="81"/>
            <rFont val="Tahoma"/>
            <family val="2"/>
          </rPr>
          <t>Liability = Debt
Shareholders' Equity = Assets - Debt (residual value left over after all Creditors are paid)</t>
        </r>
      </text>
    </comment>
    <comment ref="A9" authorId="0" shapeId="0" xr:uid="{85E5F33E-4B82-4F63-8249-9B50FCBCF24F}">
      <text>
        <r>
          <rPr>
            <b/>
            <sz val="8"/>
            <color indexed="81"/>
            <rFont val="Tahoma"/>
            <family val="2"/>
          </rPr>
          <t>Asset with a life of less than one year. Current Assets are usually converted to cash within one year.</t>
        </r>
      </text>
    </comment>
    <comment ref="E9" authorId="0" shapeId="0" xr:uid="{E6313099-CAB0-4B03-952F-2DDE962A712C}">
      <text>
        <r>
          <rPr>
            <b/>
            <sz val="8"/>
            <color indexed="81"/>
            <rFont val="Tahoma"/>
            <family val="2"/>
          </rPr>
          <t>Liability with a life of less than one year. Current Liabilities are usually paid out in cash within one year.</t>
        </r>
      </text>
    </comment>
    <comment ref="A14" authorId="0" shapeId="0" xr:uid="{357D966D-64FE-483B-AE56-852365830E8C}">
      <text>
        <r>
          <rPr>
            <b/>
            <sz val="8"/>
            <color indexed="81"/>
            <rFont val="Tahoma"/>
            <family val="2"/>
          </rPr>
          <t>Assets with a life longer than one year. Fixed Assets are the assets used to generate revenue for the business over the long run.
Tangible Asset: Truck, Building, etc.
Intangible Assets: Patent, Employees, Brand Name.</t>
        </r>
      </text>
    </comment>
    <comment ref="E14" authorId="0" shapeId="0" xr:uid="{5B8DE236-664D-44FB-A3AD-950E427E032A}">
      <text>
        <r>
          <rPr>
            <b/>
            <sz val="8"/>
            <color indexed="81"/>
            <rFont val="Tahoma"/>
            <family val="2"/>
          </rPr>
          <t>Debt that is not due in the coming year.
Long-term debt = Long-term Liability = Bonds (term used in this book)
Long-term creditors = Bondholders (term used in this book)</t>
        </r>
      </text>
    </comment>
    <comment ref="E17" authorId="0" shapeId="0" xr:uid="{C8BBE31C-B52B-4334-BB25-BC3D3D65A925}">
      <text>
        <r>
          <rPr>
            <b/>
            <sz val="8"/>
            <color indexed="81"/>
            <rFont val="Tahoma"/>
            <family val="2"/>
          </rPr>
          <t>Shareholders' Equity = Owners' Equity = Stockholders' Equity = Net Worth</t>
        </r>
      </text>
    </comment>
    <comment ref="E18" authorId="1" shapeId="0" xr:uid="{A9CFCBA3-C47F-478F-800D-906665BEFF56}">
      <text>
        <r>
          <rPr>
            <b/>
            <sz val="8"/>
            <color indexed="81"/>
            <rFont val="Tahoma"/>
            <family val="2"/>
          </rPr>
          <t>This represents the amount of money the owners paid initially to get the stock</t>
        </r>
      </text>
    </comment>
    <comment ref="E19" authorId="1" shapeId="0" xr:uid="{DB676503-5A5B-4CBA-ACB7-C6B79E722C8D}">
      <text>
        <r>
          <rPr>
            <b/>
            <sz val="8"/>
            <color indexed="81"/>
            <rFont val="Tahoma"/>
            <family val="2"/>
          </rPr>
          <t>This is the profit from past years that the firm has kept instead of paying out in dividends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<sst xmlns="http://schemas.openxmlformats.org/spreadsheetml/2006/main" count="4487" uniqueCount="839">
  <si>
    <t>Financial Statements:</t>
  </si>
  <si>
    <t>Balance Sheet</t>
  </si>
  <si>
    <t>Income Statement</t>
  </si>
  <si>
    <t>The basic difference between accounting value (or “book” value) and market value</t>
  </si>
  <si>
    <t>The difference between accounting income and cash flow</t>
  </si>
  <si>
    <t>How to determine a firm’s cash flow from its financial statements</t>
  </si>
  <si>
    <t>Calculate cash flow</t>
  </si>
  <si>
    <t>The difference between average and marginal tax rates</t>
  </si>
  <si>
    <t xml:space="preserve">Calculate taxes </t>
  </si>
  <si>
    <t>Balance Sheet ($ in Millions)</t>
  </si>
  <si>
    <t>Assets</t>
  </si>
  <si>
    <t>Liabilities and Shareholders' Equity</t>
  </si>
  <si>
    <t>Current assets</t>
  </si>
  <si>
    <t>Current Liabilities</t>
  </si>
  <si>
    <t>Cash</t>
  </si>
  <si>
    <t>Accounts Payable</t>
  </si>
  <si>
    <t>Accounts Receivable</t>
  </si>
  <si>
    <t>Notes Payable</t>
  </si>
  <si>
    <t>Inventory</t>
  </si>
  <si>
    <t>Total</t>
  </si>
  <si>
    <t>Fixed Assets</t>
  </si>
  <si>
    <t>Long-term debt</t>
  </si>
  <si>
    <t>Net Fixed Assets</t>
  </si>
  <si>
    <t>Total Liabilities</t>
  </si>
  <si>
    <t>Shareholders' Equity</t>
  </si>
  <si>
    <t>Common Stock and paid-in surplus</t>
  </si>
  <si>
    <t>Retained Earnings</t>
  </si>
  <si>
    <t>Total Assets</t>
  </si>
  <si>
    <t>Assumptions</t>
  </si>
  <si>
    <t>Year 1</t>
  </si>
  <si>
    <t>Year 2</t>
  </si>
  <si>
    <t>Company Name</t>
  </si>
  <si>
    <t>RAD Corporation</t>
  </si>
  <si>
    <t>Tangible Fixed Assets</t>
  </si>
  <si>
    <t>Intangible Fixed Assets</t>
  </si>
  <si>
    <t xml:space="preserve"> =</t>
  </si>
  <si>
    <t>Debt</t>
  </si>
  <si>
    <t xml:space="preserve"> +</t>
  </si>
  <si>
    <t>Use
of
Funds</t>
  </si>
  <si>
    <t>Source
of
Funds</t>
  </si>
  <si>
    <t>Residual Claim</t>
  </si>
  <si>
    <t>Interest expense (cash out) is a tax deductible item</t>
  </si>
  <si>
    <t>Dividend (Cash out) is not tax deductible</t>
  </si>
  <si>
    <t>Paid first during bankruptcy</t>
  </si>
  <si>
    <t>Get what's left over</t>
  </si>
  <si>
    <t>Assets = Liabilities + Shareholders' Equity</t>
  </si>
  <si>
    <t>Net Working Capital is the short-term capital (Cash) that the firm has to work with</t>
  </si>
  <si>
    <t>* Capital is a term that means assets (this term is often used in economics and finance)</t>
  </si>
  <si>
    <t>* Firm means corporation in this example</t>
  </si>
  <si>
    <t>Why is this called the balance sheet?</t>
  </si>
  <si>
    <t>Fixed Claim (contractual claim)</t>
  </si>
  <si>
    <t>Liquidity: How Quickly An Asset Can Be Converted To Cash</t>
  </si>
  <si>
    <t>Liquidity has two dimensions:</t>
  </si>
  <si>
    <t>Ease of conversion to cash</t>
  </si>
  <si>
    <t>Loss of value because you have to sell it quickly</t>
  </si>
  <si>
    <t>Highly liquid asset:</t>
  </si>
  <si>
    <t>Quickly sold without significant loss of value (inventory, short-term investments)</t>
  </si>
  <si>
    <t>Illiquid asset:</t>
  </si>
  <si>
    <t>Items on balance sheet are listed in order of decreasing liquidity (most liquid are first)</t>
  </si>
  <si>
    <t xml:space="preserve">What is the working Capital for the Rad Corp at the end of 2006? </t>
  </si>
  <si>
    <t xml:space="preserve">Total Assets </t>
  </si>
  <si>
    <t>Total Liabilities and Shareholders' Equity</t>
  </si>
  <si>
    <t xml:space="preserve">Working Capital = </t>
  </si>
  <si>
    <t>Current Assets</t>
  </si>
  <si>
    <t>Long-term Debt</t>
  </si>
  <si>
    <t>Liquidity is valuable:</t>
  </si>
  <si>
    <t>Firm can readily pay bills and buy assets quickly</t>
  </si>
  <si>
    <t>Liquid assets such as cash tend to be less profitable than illiquid assets such as buildings/trucks and subdivisions of business</t>
  </si>
  <si>
    <t>The topic of whether to use Debt or Equity to raise funds is called "Capital Structure"</t>
  </si>
  <si>
    <t>More later!</t>
  </si>
  <si>
    <t>The more debt (as a % of assets), the more leverage</t>
  </si>
  <si>
    <t>Leverage can magnify:</t>
  </si>
  <si>
    <t>Gains</t>
  </si>
  <si>
    <t>Losses</t>
  </si>
  <si>
    <t>The term "Financial Leverage" is used when the firm has debt</t>
  </si>
  <si>
    <t>Market value</t>
  </si>
  <si>
    <t>The amount of cash we would get if we sold it</t>
  </si>
  <si>
    <t>You never know for sure until you sell it</t>
  </si>
  <si>
    <t>Book value</t>
  </si>
  <si>
    <t>The historical cost that was recorded when the firm purchased the asset</t>
  </si>
  <si>
    <t>Book value of assets often does not reflect the firm’s most valuable assets such as:</t>
  </si>
  <si>
    <t>Talented employees/ managers</t>
  </si>
  <si>
    <t>Customer list</t>
  </si>
  <si>
    <t>Reputation</t>
  </si>
  <si>
    <t>Asset’s Market or Book Value</t>
  </si>
  <si>
    <t>Shareholders’ Equity</t>
  </si>
  <si>
    <t>The market value for a share of stock is virtually always different that its book value</t>
  </si>
  <si>
    <t>The goal of the financial manager is to maximize the market value for the stock</t>
  </si>
  <si>
    <t>Thus, the financial manager is more interested in the MARKET VALUE than the book value</t>
  </si>
  <si>
    <t>Name:</t>
  </si>
  <si>
    <t>Queen's Corp</t>
  </si>
  <si>
    <t>Fixed Assets Book Value</t>
  </si>
  <si>
    <t>Fixed Assets Apprised Market Value</t>
  </si>
  <si>
    <t>Net Working Capital Book Value</t>
  </si>
  <si>
    <t>Net Working Capital Market Value (perhaps inventory value increased)</t>
  </si>
  <si>
    <t>What is book value of equity?</t>
  </si>
  <si>
    <t>What is the market value of equity?</t>
  </si>
  <si>
    <t>Balance Sheets</t>
  </si>
  <si>
    <t>Market Value vs. Book Value</t>
  </si>
  <si>
    <t>Book</t>
  </si>
  <si>
    <t>Market</t>
  </si>
  <si>
    <t>Net Working Capital</t>
  </si>
  <si>
    <t/>
  </si>
  <si>
    <t>Income Statement ($ in Millions)</t>
  </si>
  <si>
    <t>Net Sales</t>
  </si>
  <si>
    <t>Cost of Goods Sold</t>
  </si>
  <si>
    <t>Depreciation</t>
  </si>
  <si>
    <t>Earnings before interest and tax</t>
  </si>
  <si>
    <t>Interest paid</t>
  </si>
  <si>
    <t>Taxable income</t>
  </si>
  <si>
    <t>Taxes</t>
  </si>
  <si>
    <t>Net Income</t>
  </si>
  <si>
    <t>Dividends =</t>
  </si>
  <si>
    <t>Addition to retained earnings =</t>
  </si>
  <si>
    <t>Income Statement = Profits = Earnings = Shows profit for period. Income Statement Formula is: Revenues - Expenses = Net Income</t>
  </si>
  <si>
    <t>Ex</t>
  </si>
  <si>
    <t>Rev</t>
  </si>
  <si>
    <t>UPS Trucks Cost</t>
  </si>
  <si>
    <t>Salvage Value</t>
  </si>
  <si>
    <t>Years in Use</t>
  </si>
  <si>
    <t>The Cash went out the first year, but the Depreciation Expense shows up each year even though the cash was paid out in year 1</t>
  </si>
  <si>
    <t>Depreciation is a non-cash expense that shows up on the Income Statement</t>
  </si>
  <si>
    <t>Revenues = Sales = Net Sales = Amounts earned by business from delivering products or services to customer. Example: Customer gets shoes, business gets $100; the $100 is the Revenue. Revenues may take the form of cash, credit card receipts, or accounts receivable (collect from customer later).</t>
  </si>
  <si>
    <t>Expenses = Costs associated with creating Revenues. Example01: The business paid $50 for the shoes and sold the shoes for $100 Revenue; the $50 is an expense called "Cost Of Goods Sold" or COGS. Example02: Employee's pay is an expense to the business. Expenses may be paid in cash, immediately or at a future time (accounts payable).</t>
  </si>
  <si>
    <t>Net Income does not necessarily mean “Cash in”.</t>
  </si>
  <si>
    <t xml:space="preserve">SL Depreciation Expense for one Year = (Cost-Salvage)/Years = </t>
  </si>
  <si>
    <t>Balance Sheet is a snapshot of the account balances on the last day of the period</t>
  </si>
  <si>
    <t>2004 Corporate Income Tax Rates (for C corporations)</t>
  </si>
  <si>
    <t>http://www.givingto.msu.edu/pgaol/html/2004_federal_income_tax_rates.html</t>
  </si>
  <si>
    <t>Over</t>
  </si>
  <si>
    <t>Tax from previous bracket</t>
  </si>
  <si>
    <t>Rate for this bracket</t>
  </si>
  <si>
    <t>The tax is</t>
  </si>
  <si>
    <t>Of excess over</t>
  </si>
  <si>
    <t>The corporate rate schedule neutralizes the benefit of the two lowest brackets for higher-income corporations by levying a 5% surtax on corporate taxable income between $100,001 and $335,000. Corporations which pay tax at the corporate level (C corporations) with taxable incomes of at least $335,001 but not over $10 million essentially pay a flat 34% tax. Taxable income over $10 million is taxed at 35%, but with a surtax of the lesser of $100,000 or 3% of taxable income over $15 million. Above $18,333,333, the tax rate becomes a flat 35%.</t>
  </si>
  <si>
    <t>Corporations that have made an S election generally are not taxed as corporations. Instead, their net income passes through and is taxed directly to the shareholders on their personal income tax returns.</t>
  </si>
  <si>
    <t>Certain personal service corporations are taxed at a flat rate of 35% regardless of the amount of their taxable income.</t>
  </si>
  <si>
    <t>Taxable Income</t>
  </si>
  <si>
    <t>Calculate tax for entire year</t>
  </si>
  <si>
    <t xml:space="preserve">Average Tax Rate = </t>
  </si>
  <si>
    <t>Income From</t>
  </si>
  <si>
    <t>Income To</t>
  </si>
  <si>
    <t>Tax Rate</t>
  </si>
  <si>
    <t>Tax Rate Table</t>
  </si>
  <si>
    <t>Marginal Tax Rate for next dollar =</t>
  </si>
  <si>
    <t>Average Tax Rates = total taxes/taxable income</t>
  </si>
  <si>
    <t>Marginal Tax Rates = rate used on the next taxable $</t>
  </si>
  <si>
    <t>Taxable Income =</t>
  </si>
  <si>
    <t>Total Tax =</t>
  </si>
  <si>
    <t>But Not Over</t>
  </si>
  <si>
    <t>VLOOKUP</t>
  </si>
  <si>
    <t>Cash flow from assets</t>
  </si>
  <si>
    <t>Cash flow to creditors (bondholders)</t>
  </si>
  <si>
    <t>Cash flow to stockholders (owners)</t>
  </si>
  <si>
    <t>Operating cash flow</t>
  </si>
  <si>
    <t xml:space="preserve"> -</t>
  </si>
  <si>
    <t>Net capital spending</t>
  </si>
  <si>
    <t>Change in net working capital (NWC)</t>
  </si>
  <si>
    <t>Earnings before interest and taxes (EBIT)</t>
  </si>
  <si>
    <t>Ending net fixed assets</t>
  </si>
  <si>
    <t>Beginning net fixed assets</t>
  </si>
  <si>
    <t>Change in NWC</t>
  </si>
  <si>
    <t>Ending NWC (End CA - End CL)</t>
  </si>
  <si>
    <t>Beginning NWC (Beg CA - Beg CL)</t>
  </si>
  <si>
    <t>Net new borrowing (end long-term debt - beg LTD)</t>
  </si>
  <si>
    <t>Dividends paid</t>
  </si>
  <si>
    <t>Net new equity raised (end Common stock &amp; Paid-in surplus - beg CS &amp; PIS)</t>
  </si>
  <si>
    <t>Accounting Information does not always give us good information about Cash Flows</t>
  </si>
  <si>
    <t>Sales</t>
  </si>
  <si>
    <t>COGS</t>
  </si>
  <si>
    <t>Depreciation Expense</t>
  </si>
  <si>
    <t>Dividends</t>
  </si>
  <si>
    <t>How do we calculate the change in anything?</t>
  </si>
  <si>
    <t>End - Beg</t>
  </si>
  <si>
    <t>Statements</t>
  </si>
  <si>
    <t>Requirements:</t>
  </si>
  <si>
    <t>Done</t>
  </si>
  <si>
    <t>Account Name</t>
  </si>
  <si>
    <t>Cost of goods sold</t>
  </si>
  <si>
    <t>Interest</t>
  </si>
  <si>
    <t>Net fixed assets</t>
  </si>
  <si>
    <t>Current liabilities</t>
  </si>
  <si>
    <t>Addition to retained earnings</t>
  </si>
  <si>
    <t>Liabilities and Owners' Equity</t>
  </si>
  <si>
    <t>Change in Common Stock and Paid-in surplus</t>
  </si>
  <si>
    <t>Total Owners' Equity</t>
  </si>
  <si>
    <t>Cash flow to creditors</t>
  </si>
  <si>
    <t>Cash flow to stockholders</t>
  </si>
  <si>
    <t>Cash flow from operations</t>
  </si>
  <si>
    <t>EBIT</t>
  </si>
  <si>
    <t>End net fixed assets</t>
  </si>
  <si>
    <t>Beg net fixed assets</t>
  </si>
  <si>
    <t>End NWC</t>
  </si>
  <si>
    <t>Beg NWC</t>
  </si>
  <si>
    <t>Net new borrowing</t>
  </si>
  <si>
    <t>Net new equity</t>
  </si>
  <si>
    <t>Name</t>
  </si>
  <si>
    <t>CA</t>
  </si>
  <si>
    <t>NFA</t>
  </si>
  <si>
    <t>CL</t>
  </si>
  <si>
    <t>LTD</t>
  </si>
  <si>
    <t>Solve for:</t>
  </si>
  <si>
    <t>Shareholders' Equity =</t>
  </si>
  <si>
    <t>NWC =</t>
  </si>
  <si>
    <t>Interest Expense</t>
  </si>
  <si>
    <t>Tax</t>
  </si>
  <si>
    <t>Total Liabilities + Owners' Equity</t>
  </si>
  <si>
    <t>Liabilities + Owners' Equity</t>
  </si>
  <si>
    <t>Date 1</t>
  </si>
  <si>
    <t>Date 2</t>
  </si>
  <si>
    <t>Statement</t>
  </si>
  <si>
    <t>Accounts:</t>
  </si>
  <si>
    <t>Change in Retained earnings</t>
  </si>
  <si>
    <t>Entrepreneur Corporation</t>
  </si>
  <si>
    <t>* In Finance it is the marginal tax rate that is used in cash flow analysis. This is because if you are considering a new project, any new cash flows will be taxed at the marginal rate</t>
  </si>
  <si>
    <t>In Finance, usually Cash Flows are used for analysis. Because of this, we need to be able to take accounting information and convert it to Cash Flows ==&gt;</t>
  </si>
  <si>
    <t>Interest on Debt is Rent on Money</t>
  </si>
  <si>
    <t>Cash going out to the bank ==&gt;</t>
  </si>
  <si>
    <t>&lt;== Cash coming in from the savings on your tax bill</t>
  </si>
  <si>
    <t>Interest on Debt is deductable on your tax bill</t>
  </si>
  <si>
    <t>If you use Debt to buy a new asset worth =</t>
  </si>
  <si>
    <t>The annual interest rate, compunded annually =</t>
  </si>
  <si>
    <t>Income Statement without Debt</t>
  </si>
  <si>
    <t>Expeneses</t>
  </si>
  <si>
    <t>Earnings Before Interest and tax</t>
  </si>
  <si>
    <t>Taxable earnings</t>
  </si>
  <si>
    <t>Expenses</t>
  </si>
  <si>
    <t>Difference between Debt and No Debt =</t>
  </si>
  <si>
    <t>http://finance.yahoo.com/q?s=wfmi</t>
  </si>
  <si>
    <t>http://biz.yahoo.com/f/g/g.html</t>
  </si>
  <si>
    <t xml:space="preserve">Whole Foods Market, Inc. </t>
  </si>
  <si>
    <t xml:space="preserve">Consolidated Balance Sheets </t>
  </si>
  <si>
    <t xml:space="preserve">(In thousands) </t>
  </si>
  <si>
    <t xml:space="preserve">September 24, 2006 and September 25, 2005 </t>
  </si>
  <si>
    <t xml:space="preserve">  </t>
  </si>
  <si>
    <t xml:space="preserve">   </t>
  </si>
  <si>
    <t xml:space="preserve">Assets </t>
  </si>
  <si>
    <t xml:space="preserve">Current assets: </t>
  </si>
  <si>
    <t xml:space="preserve">Cash and cash equivalents </t>
  </si>
  <si>
    <t xml:space="preserve">$ </t>
  </si>
  <si>
    <t xml:space="preserve">Short-term investments – available-for-sale securities </t>
  </si>
  <si>
    <t xml:space="preserve">—   </t>
  </si>
  <si>
    <t xml:space="preserve">Restricted cash </t>
  </si>
  <si>
    <t xml:space="preserve">Trade accounts receivable </t>
  </si>
  <si>
    <t xml:space="preserve">Merchandise inventories </t>
  </si>
  <si>
    <t xml:space="preserve">Prepaid expenses and other current assets </t>
  </si>
  <si>
    <t xml:space="preserve">Deferred income taxes </t>
  </si>
  <si>
    <t>  </t>
  </si>
  <si>
    <t xml:space="preserve">Total current assets </t>
  </si>
  <si>
    <t xml:space="preserve">Property and equipment, net of accumulated depreciation and amortization </t>
  </si>
  <si>
    <t xml:space="preserve">Goodwill </t>
  </si>
  <si>
    <t xml:space="preserve">Intangible assets, net of accumulated amortization </t>
  </si>
  <si>
    <t xml:space="preserve">Other assets </t>
  </si>
  <si>
    <t xml:space="preserve">Total assets </t>
  </si>
  <si>
    <t xml:space="preserve">Liabilities and Shareholders’ Equity </t>
  </si>
  <si>
    <t xml:space="preserve">Current liabilities: </t>
  </si>
  <si>
    <t xml:space="preserve">Current installments of long-term debt and capital lease obligations </t>
  </si>
  <si>
    <t xml:space="preserve">Trade accounts payable </t>
  </si>
  <si>
    <t xml:space="preserve">Accrued payroll, bonus and other benefits due team members </t>
  </si>
  <si>
    <t xml:space="preserve">Dividends payable </t>
  </si>
  <si>
    <t xml:space="preserve">Other current liabilities </t>
  </si>
  <si>
    <t xml:space="preserve">Total current liabilities </t>
  </si>
  <si>
    <t xml:space="preserve">Long-term debt and capital lease obligations, less current installments </t>
  </si>
  <si>
    <t xml:space="preserve">Deferred rent liability </t>
  </si>
  <si>
    <t xml:space="preserve">Other long-term liabilities </t>
  </si>
  <si>
    <t xml:space="preserve">Total liabilities </t>
  </si>
  <si>
    <t xml:space="preserve">Shareholders’ equity: </t>
  </si>
  <si>
    <t>Common stock, no par value, 300,000 shares authorized;</t>
  </si>
  <si>
    <t>142,198 and 136,017 shares issued, 139,607 and 135,908 shares</t>
  </si>
  <si>
    <t xml:space="preserve">outstanding in 2006 and 2005, respectively </t>
  </si>
  <si>
    <t xml:space="preserve">Common stock in treasury, at cost </t>
  </si>
  <si>
    <t xml:space="preserve">(99,964 </t>
  </si>
  <si>
    <t xml:space="preserve">) </t>
  </si>
  <si>
    <t xml:space="preserve">Accumulated other comprehensive income </t>
  </si>
  <si>
    <t xml:space="preserve">Retained earnings </t>
  </si>
  <si>
    <t xml:space="preserve">Total shareholders’ equity </t>
  </si>
  <si>
    <t xml:space="preserve">Commitments and contingencies </t>
  </si>
  <si>
    <t xml:space="preserve">Total liabilities and shareholders’ equity </t>
  </si>
  <si>
    <t xml:space="preserve">The accompanying notes are an integral part of these consolidated financial statements. </t>
  </si>
  <si>
    <t xml:space="preserve">Table of Contents </t>
  </si>
  <si>
    <t xml:space="preserve">Consolidated Statements of Operations </t>
  </si>
  <si>
    <t xml:space="preserve">(In thousands, except per share amounts) </t>
  </si>
  <si>
    <t xml:space="preserve">Fiscal years ended September 24, 2006, September 25, 2005 and September 26, 2004 </t>
  </si>
  <si>
    <t xml:space="preserve">Sales </t>
  </si>
  <si>
    <t xml:space="preserve">Cost of goods sold and occupancy costs </t>
  </si>
  <si>
    <t xml:space="preserve">Gross profit </t>
  </si>
  <si>
    <t xml:space="preserve">Direct store expenses </t>
  </si>
  <si>
    <t xml:space="preserve">General and administrative expenses </t>
  </si>
  <si>
    <t xml:space="preserve">Pre-opening and relocation costs </t>
  </si>
  <si>
    <t xml:space="preserve">Operating income </t>
  </si>
  <si>
    <t xml:space="preserve">Other income (expense): </t>
  </si>
  <si>
    <t xml:space="preserve">Interest expense </t>
  </si>
  <si>
    <t xml:space="preserve">(32 </t>
  </si>
  <si>
    <t xml:space="preserve">(2,223 </t>
  </si>
  <si>
    <t xml:space="preserve">(7,249 </t>
  </si>
  <si>
    <t xml:space="preserve">Investment and other income </t>
  </si>
  <si>
    <t xml:space="preserve">Income before income taxes </t>
  </si>
  <si>
    <t xml:space="preserve">Provision for income taxes </t>
  </si>
  <si>
    <t xml:space="preserve">Net income </t>
  </si>
  <si>
    <t xml:space="preserve">Basic earnings per share </t>
  </si>
  <si>
    <t xml:space="preserve">Weighted average shares outstanding </t>
  </si>
  <si>
    <t xml:space="preserve">Diluted earnings per share </t>
  </si>
  <si>
    <t xml:space="preserve">Weighted average shares outstanding, diluted basis </t>
  </si>
  <si>
    <t xml:space="preserve">Dividends declared per share </t>
  </si>
  <si>
    <t xml:space="preserve">Consolidated Statements of Shareholders’ Equity and Comprehensive Income </t>
  </si>
  <si>
    <t>Shares</t>
  </si>
  <si>
    <t>Common</t>
  </si>
  <si>
    <t xml:space="preserve">Accumulated </t>
  </si>
  <si>
    <t>Retained</t>
  </si>
  <si>
    <t xml:space="preserve">Outstanding </t>
  </si>
  <si>
    <t xml:space="preserve">Stock </t>
  </si>
  <si>
    <t>Stock in</t>
  </si>
  <si>
    <t xml:space="preserve">Other </t>
  </si>
  <si>
    <t xml:space="preserve">Earnings </t>
  </si>
  <si>
    <t>Shareholders’</t>
  </si>
  <si>
    <t xml:space="preserve">Treasury </t>
  </si>
  <si>
    <t>Comprehensive</t>
  </si>
  <si>
    <t xml:space="preserve">Equity </t>
  </si>
  <si>
    <t xml:space="preserve">Income (Loss) </t>
  </si>
  <si>
    <t xml:space="preserve">Balances at September 28, 2003 </t>
  </si>
  <si>
    <t xml:space="preserve">Foreign currency translation adjustments </t>
  </si>
  <si>
    <t xml:space="preserve">Reclassification adjustments for losses included in net income </t>
  </si>
  <si>
    <t xml:space="preserve">Change in unrealized gain (loss) on investments, net of income taxes </t>
  </si>
  <si>
    <t xml:space="preserve">(515 </t>
  </si>
  <si>
    <t xml:space="preserve">Comprehensive income </t>
  </si>
  <si>
    <t xml:space="preserve">Dividends ($0.30 per share) </t>
  </si>
  <si>
    <t xml:space="preserve">(37,089 </t>
  </si>
  <si>
    <t xml:space="preserve">Issuance of common stock pursuant to team member stock plans </t>
  </si>
  <si>
    <t xml:space="preserve">Issuance of common stock in connection with acquisition </t>
  </si>
  <si>
    <t xml:space="preserve">Tax benefit related to exercise of team member stock options </t>
  </si>
  <si>
    <t xml:space="preserve">Balances at September 26, 2004 </t>
  </si>
  <si>
    <t xml:space="preserve">(604 </t>
  </si>
  <si>
    <t xml:space="preserve">Dividends ($0.47 per share) </t>
  </si>
  <si>
    <t xml:space="preserve">(62,530 </t>
  </si>
  <si>
    <t xml:space="preserve">Share-based compensation </t>
  </si>
  <si>
    <t xml:space="preserve">Conversion of subordinated debentures </t>
  </si>
  <si>
    <t xml:space="preserve">Balances at September 25, 2005 </t>
  </si>
  <si>
    <t xml:space="preserve">Dividends ($2.45 per share) </t>
  </si>
  <si>
    <t xml:space="preserve">(340,867 </t>
  </si>
  <si>
    <t xml:space="preserve">Purchase of treasury stock </t>
  </si>
  <si>
    <t xml:space="preserve">(2,005 </t>
  </si>
  <si>
    <t xml:space="preserve">Excess tax benefit related to exercise of team member stock options </t>
  </si>
  <si>
    <t xml:space="preserve">Balances at September 24, 2006 </t>
  </si>
  <si>
    <t xml:space="preserve">Consolidated Statements of Cash Flows </t>
  </si>
  <si>
    <t xml:space="preserve">Cash flows from operating activities </t>
  </si>
  <si>
    <t xml:space="preserve">Adjustments to reconcile net income to net cash provided by operating activities: </t>
  </si>
  <si>
    <t xml:space="preserve">Depreciation and amortization </t>
  </si>
  <si>
    <t xml:space="preserve">Loss on disposal of fixed assets </t>
  </si>
  <si>
    <t xml:space="preserve">Deferred income tax expense (benefit) </t>
  </si>
  <si>
    <t xml:space="preserve">(15,521 </t>
  </si>
  <si>
    <t xml:space="preserve">(27,873 </t>
  </si>
  <si>
    <t xml:space="preserve">(682 </t>
  </si>
  <si>
    <t xml:space="preserve">(52,008 </t>
  </si>
  <si>
    <t xml:space="preserve">Interest accretion on long-term debt </t>
  </si>
  <si>
    <t xml:space="preserve">Deferred rent </t>
  </si>
  <si>
    <t xml:space="preserve">(1,133 </t>
  </si>
  <si>
    <t xml:space="preserve">Net change in current assets and liabilities: </t>
  </si>
  <si>
    <t xml:space="preserve">(17,720 </t>
  </si>
  <si>
    <t xml:space="preserve">(2,027 </t>
  </si>
  <si>
    <t xml:space="preserve">(19,158 </t>
  </si>
  <si>
    <t xml:space="preserve">(32,200 </t>
  </si>
  <si>
    <t xml:space="preserve">(21,486 </t>
  </si>
  <si>
    <t xml:space="preserve">(27,868 </t>
  </si>
  <si>
    <t xml:space="preserve">(7,849 </t>
  </si>
  <si>
    <t xml:space="preserve">(4,151 </t>
  </si>
  <si>
    <t xml:space="preserve">(2,940 </t>
  </si>
  <si>
    <t xml:space="preserve">Accrued payroll, bonus and other benefits due team member </t>
  </si>
  <si>
    <t xml:space="preserve">Other accrued expenses </t>
  </si>
  <si>
    <t xml:space="preserve">Net cash provided by operating activities </t>
  </si>
  <si>
    <t xml:space="preserve">Cash flows from investing activities </t>
  </si>
  <si>
    <t xml:space="preserve">Development costs of new store locations </t>
  </si>
  <si>
    <t xml:space="preserve">(208,588 </t>
  </si>
  <si>
    <t xml:space="preserve">(207,792 </t>
  </si>
  <si>
    <t xml:space="preserve">(156,728 </t>
  </si>
  <si>
    <t xml:space="preserve">Other property, plant and equipment expenditures </t>
  </si>
  <si>
    <t xml:space="preserve">(131,614 </t>
  </si>
  <si>
    <t xml:space="preserve">(116,318 </t>
  </si>
  <si>
    <t xml:space="preserve">(109,739 </t>
  </si>
  <si>
    <t xml:space="preserve">Proceeds from hurricane insurance </t>
  </si>
  <si>
    <t xml:space="preserve">Acquisition of intangible assets </t>
  </si>
  <si>
    <t xml:space="preserve">(16,332 </t>
  </si>
  <si>
    <t xml:space="preserve">(1,500 </t>
  </si>
  <si>
    <t xml:space="preserve">Change in notes receivable </t>
  </si>
  <si>
    <t xml:space="preserve">(13,500 </t>
  </si>
  <si>
    <t xml:space="preserve">Purchase of available-for-sale securities </t>
  </si>
  <si>
    <t xml:space="preserve">(555,095 </t>
  </si>
  <si>
    <t xml:space="preserve">Sale of available-for-sale securities </t>
  </si>
  <si>
    <t xml:space="preserve">Increase in restricted cash </t>
  </si>
  <si>
    <t xml:space="preserve">(23,143 </t>
  </si>
  <si>
    <t xml:space="preserve">(10,132 </t>
  </si>
  <si>
    <t xml:space="preserve">(26,790 </t>
  </si>
  <si>
    <t xml:space="preserve">Payment for purchase of acquired entities, net of cash acquired </t>
  </si>
  <si>
    <t xml:space="preserve">(18,873 </t>
  </si>
  <si>
    <t xml:space="preserve">Other investing activities </t>
  </si>
  <si>
    <t xml:space="preserve">Net cash used in investing activities </t>
  </si>
  <si>
    <t xml:space="preserve">(569,255 </t>
  </si>
  <si>
    <t xml:space="preserve">(322,242 </t>
  </si>
  <si>
    <t xml:space="preserve">(324,298 </t>
  </si>
  <si>
    <t xml:space="preserve">Cash flows from financing activities </t>
  </si>
  <si>
    <t xml:space="preserve">Dividends paid </t>
  </si>
  <si>
    <t xml:space="preserve">(358,075 </t>
  </si>
  <si>
    <t xml:space="preserve">(54,683 </t>
  </si>
  <si>
    <t xml:space="preserve">(27,728 </t>
  </si>
  <si>
    <t xml:space="preserve">Issuance of common stock </t>
  </si>
  <si>
    <t xml:space="preserve">Payments on long-term debt and capital lease obligations </t>
  </si>
  <si>
    <t xml:space="preserve">(5,680 </t>
  </si>
  <si>
    <t xml:space="preserve">(5,933 </t>
  </si>
  <si>
    <t xml:space="preserve">(8,864 </t>
  </si>
  <si>
    <t xml:space="preserve">Net cash provided by (used in) financing activities </t>
  </si>
  <si>
    <t xml:space="preserve">(189,681 </t>
  </si>
  <si>
    <t xml:space="preserve">Net change in cash and cash equivalents </t>
  </si>
  <si>
    <t xml:space="preserve">(306,272 </t>
  </si>
  <si>
    <t xml:space="preserve">Cash and cash equivalents at beginning of year </t>
  </si>
  <si>
    <t xml:space="preserve">Cash and cash equivalents at end of year </t>
  </si>
  <si>
    <t xml:space="preserve">Supplemental disclosures of cash flow information: </t>
  </si>
  <si>
    <t xml:space="preserve">Interest paid </t>
  </si>
  <si>
    <t xml:space="preserve">Federal and state income taxes paid </t>
  </si>
  <si>
    <t xml:space="preserve">Non-cash transactions: </t>
  </si>
  <si>
    <t xml:space="preserve">Common stock issued in connection with acquisition </t>
  </si>
  <si>
    <t xml:space="preserve">Conversion of convertible debentures into common stock, net of fees </t>
  </si>
  <si>
    <t xml:space="preserve">Notes to Consolidated Financial Statements </t>
  </si>
  <si>
    <t xml:space="preserve">(1) Description of Business </t>
  </si>
  <si>
    <t xml:space="preserve">Whole Foods Market, Inc. and its consolidated subsidiaries (collectively “Whole Foods Market,” “Company,” or “We”) own and operate the largest chain of natural and organic foods supermarkets. Our Company mission is to promote vitality and well-being for all individuals by supplying the highest quality, most wholesome foods available. Through our growth, we have had a large and positive impact on the natural and organic foods movement throughout the United States, helping lead the industry to nationwide acceptance over the last 25 years. We opened our first store in Texas in 1980 and, as of September 24, 2006, have expanded our operations both by opening new stores and acquiring existing stores from third parties to 186 stores: 177 stores in 31 U.S. states and the District of Columbia; three stores in Canada; and six stores in the United Kingdom. </t>
  </si>
  <si>
    <t xml:space="preserve">(2) Summary of Significant Accounting Policies </t>
  </si>
  <si>
    <t xml:space="preserve">Definition of Fiscal Year </t>
  </si>
  <si>
    <t xml:space="preserve">We report our results of operations on a 52- or 53-week fiscal year ending on the last Sunday in September. Fiscal years 2006, 2005 and 2004 were 52-week years. </t>
  </si>
  <si>
    <t xml:space="preserve">Principles of Consolidation </t>
  </si>
  <si>
    <t xml:space="preserve">The accompanying consolidated financial statements have been prepared in accordance with U.S. generally accepted accounting principles. All significant majority-owned subsidiaries are consolidated on a line-by-line basis, and all significant intercompany accounts and transactions are eliminated upon consolidation. </t>
  </si>
  <si>
    <t xml:space="preserve">Cash and Cash Equivalents </t>
  </si>
  <si>
    <t xml:space="preserve">We consider all highly liquid investments with an original maturity of 90 days or less to be cash equivalents. </t>
  </si>
  <si>
    <t xml:space="preserve">Investments </t>
  </si>
  <si>
    <t xml:space="preserve">We classify as available-for-sale our cash equivalent investments and our short-term and long-term investments in debt and equity securities that have readily determinable fair values. Available-for-sale investments are recorded at fair value. Unrealized holding gains and losses, net of the related tax effect, on available-for-sale investments are excluded from earnings and are reported as a separate component of shareholders’ equity until realized. A decline in the fair value of any available-for-sale security below cost that is deemed to be other-than-temporary or for a period greater than two fiscal quarters results in a reduction in carrying amount to fair value. The impairment is charged to earnings and a new cost basis of the security is established. Cost basis is established and maintained utilizing the specific identification method. </t>
  </si>
  <si>
    <t xml:space="preserve">Restricted Cash </t>
  </si>
  <si>
    <t xml:space="preserve">Restricted cash primarily relates to cash held as collateral to support projected workers’ compensation obligations. </t>
  </si>
  <si>
    <t xml:space="preserve">Inventories </t>
  </si>
  <si>
    <t xml:space="preserve">We value our inventories at the lower of cost or market. Cost was determined using the last-in, first-out (“LIFO”) method for approximately 94% of inventories in fiscal years 2006 and 2005. Under the LIFO method, the cost assigned to items sold is based on the cost of the most recent items purchased. As a result, the costs of the first items purchased remain in inventory and are used to value ending inventory. The excess of estimated current costs over LIFO carrying value, or LIFO reserve, was approximately $13.2 million and $10.7 million at September 24, 2006 and September 25, 2005, respectively. Costs for remaining inventories are determined by the first-in, first-out (“FIFO”) method. </t>
  </si>
  <si>
    <t xml:space="preserve">Cost was determined using the retail method for approximately 54% of inventories in fiscal years 2006 and 2005. Under the retail method, the valuation of inventories at cost and the resulting gross margins are determined by applying a cost-to-retail ratio for various groupings of similar items to the retail value of inventories. Inherent in the retail inventory method calculations are certain management judgments and estimates, including shrinkage, which could impact the ending inventory valuation at cost as well as the resulting gross margins. Cost was determined using the item cost method for approximately 46% of inventories in fiscal years 2006 and 2005. This method involves counting each item in inventory, assigning costs to each of these items based on the actual purchase costs (net of vendor allowances) of each item and recording the actual cost of items sold. The item-cost method of accounting allows for more accurate reporting of periodic inventory balances and enables management to more precisely manage inventory and purchasing levels when compared to the retail method of accounting. </t>
  </si>
  <si>
    <t xml:space="preserve">Our largest supplier, United Natural Foods, Inc., accounted for approximately 22%, 22% and 20% of our total purchases in fiscal years 2006, 2005 and 2004, respectively. </t>
  </si>
  <si>
    <t xml:space="preserve">Property and Equipment </t>
  </si>
  <si>
    <t xml:space="preserve">Property and equipment is stated at cost, net of accumulated depreciation and amortization. We provide depreciation of equipment over the estimated useful lives (generally three to 15 years) using the straight-line method. We provide amortization of leasehold improvements on the straight-line method over the shorter of the estimated useful lives of the improvements or the terms of the related leases. Terms of leases used in the determination of estimated useful lives may include renewal periods at the Company’s option if exercise of the option is determined to be reasonably assured at the inception of the lease. We provide depreciation of buildings over the estimated useful lives (generally 20 to 30 years) using the straight-line method. Costs related to a projected site determined to be unsatisfactory and general site selection costs that cannot be identified with a specific store location are charged to operations currently. The Company recognizes a liability for the fair value of a conditional asset retirement obligation when the obligation is incurred. Repair and maintenance costs are expensed as incurred. Interest costs on significant projects constructed or developed for the Company’s own use are capitalized as a separate component of the asset. Upon retirement or disposal of assets, the cost and related accumulated depreciation are removed from the balance sheet and any gain or loss is reflected in earnings. </t>
  </si>
  <si>
    <t xml:space="preserve">Operating Leases </t>
  </si>
  <si>
    <t xml:space="preserve">The Company leases stores, distribution centers, bakehouses and administrative facilities under operating leases. Store lease agreements generally include rent holidays, rent escalation clauses and contingent rent provisions for percentage of sales in excess of specified levels. Most of our lease agreements include renewal periods at the Company’s option. We recognize rent holiday periods and scheduled rent increases on a straight-line basis over the lease term beginning with the date the Company takes possession of the leased space for construction and other purposes. We record tenant improvement allowances and rent holidays as deferred rent liabilities and amortize the deferred rent over the terms of the lease to rent. We record rent liabilities for contingent percentage of sales lease provisions when we determine that it is probable that the specified levels will be reached during the fiscal year. </t>
  </si>
  <si>
    <t xml:space="preserve">Goodwill consists of the excess of cost of acquired enterprises over the sum of the amounts assigned to identifiable assets acquired less liabilities assumed. Goodwill is reviewed for impairment annually, or more frequently if impairment indicators arise, on a reporting unit level. We allocate goodwill to one reporting unit for goodwill impairment testing. We determine fair value utilizing both a market value method and discounted projected future cash flows compared to our carrying value for the purpose of identifying impairment. Our annual impairment review requires extensive use of accounting judgment and financial estimates. Application of alternative assumptions and definitions, such as reviewing goodwill for impairment at a different organizational level, could produce significantly different results. </t>
  </si>
  <si>
    <t xml:space="preserve">Intangible Assets </t>
  </si>
  <si>
    <t xml:space="preserve">Intangible assets include acquired leasehold rights, liquor licenses, license agreements, non-competition agreements and debt issuance costs. Indefinite-lived intangible assets are reviewed for impairment annually, or more frequently if impairment indicators arise. We amortize definite-lived intangible assets on a straight-line basis over the life of the related agreement, currently one to 48 years for contract-based intangible assets and one to five years for marketing-related and other identifiable intangible assets. </t>
  </si>
  <si>
    <t xml:space="preserve">Impairment of Long-Lived Assets and Long-Lived Assets to be Disposed of </t>
  </si>
  <si>
    <t xml:space="preserve">We evaluate long-lived assets and identifiable intangibles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 When the Company commits to relocate a location, a charge to write down the related assets to their estimated net recoverable value is included in the “Pre-opening and relocation costs” line item in the Consolidated Statements of Operations. </t>
  </si>
  <si>
    <t xml:space="preserve">Fair Value of Financial Instruments </t>
  </si>
  <si>
    <t xml:space="preserve">The carrying amounts of cash and cash equivalents, trade accounts receivable, trade accounts payable, accrued payroll, bonuses and team member benefits, and other accrued expenses approximate fair value because of the short maturity of those instruments. Investments are stated at fair value with unrealized gains and losses included as a component of shareholders’ equity until realized. </t>
  </si>
  <si>
    <t xml:space="preserve">The fair value of convertible subordinated debentures is estimated using quoted market prices. The fair value of senior unsecured notes is estimated by discounting the future cash flows at the rates currently available to us for similar debt instruments of comparable maturities. Carrying amounts and estimated fair values of our financial instruments other than those for which carrying amounts approximate fair values as noted above are as follows (in thousands): </t>
  </si>
  <si>
    <t>Carrying</t>
  </si>
  <si>
    <t>Estimated Fair</t>
  </si>
  <si>
    <t xml:space="preserve">Amount </t>
  </si>
  <si>
    <t xml:space="preserve">Value </t>
  </si>
  <si>
    <t xml:space="preserve">Convertible subordinated debentures </t>
  </si>
  <si>
    <t xml:space="preserve">Senior unsecured notes </t>
  </si>
  <si>
    <t xml:space="preserve">Insurance and Self-Insurance Reserves </t>
  </si>
  <si>
    <t xml:space="preserve">The Company uses a combination of insurance and self-insurance plans to provide for the potential liabilities for workers’ compensation, general liability, property insurance, director and officers’ liability insurance, vehicle liability and employee health care benefits. Liabilities associated with the risks that are retained by the Company are estimated, in part, by considering historical claims experience, demographic factors, severity factors and other actuarial assumptions. While we believe that our assumptions are appropriate, the estimated accruals for these liabilities could be significantly affected if future occurrences and claims differ from these assumptions and historical trends. </t>
  </si>
  <si>
    <t xml:space="preserve">Revenue Recognition </t>
  </si>
  <si>
    <t xml:space="preserve">We recognize revenue for sales of our products at the point of sale. Discounts provided to customers at the point of sale are recognized as a reduction in sales as the products are sold. </t>
  </si>
  <si>
    <t xml:space="preserve">Cost of Goods Sold and Occupancy Costs </t>
  </si>
  <si>
    <t xml:space="preserve">Cost of goods sold includes cost of inventory sold during the period, net of discounts and allowances, contribution from non-retail distribution and food preparation operations, shipping and handling costs and occupancy costs. The Company receives various rebates from third party vendors in the form of quantity discounts and payments under cooperative advertising agreements. Quantity discounts and co-operative advertising discounts in excess of identifiable advertising costs are recognized as a reduction of cost of goods sold when the related merchandise is sold. </t>
  </si>
  <si>
    <t xml:space="preserve">Advertising </t>
  </si>
  <si>
    <t xml:space="preserve">Advertising and marketing expense for fiscal years 2006, 2005 and 2004 was approximately $24.0 million, $20.1 million and $17.4 million, respectively. These amounts are shown net of vendor allowances received for co-operative advertising of approximately $1.2 million, $1.2 million and $1.0 million in fiscal years 2006, 2005 and 2004, respectively. Advertising costs are charged to expense as incurred and are included in the “Direct store expenses” line item in the Consolidated Statements of Operations. </t>
  </si>
  <si>
    <t xml:space="preserve">Pre-opening and Relocation Costs </t>
  </si>
  <si>
    <t xml:space="preserve">Pre-opening costs include rent expense incurred during construction of new stores and costs related to new store openings including costs associated with hiring and training personnel, smallwares, supplies and other miscellaneous costs. Rent expense is generally incurred approximately nine months prior to a store’s opening date. Other pre-opening costs are incurred primarily in the 30 days prior to a new store opening. Pre-opening costs are expensed as incurred. Relocation costs, which consist of moving costs, remaining lease payments, accelerated depreciation costs, asset impairment costs, other costs associated with replaced facilities and other related expenses, are expensed as incurred. </t>
  </si>
  <si>
    <t xml:space="preserve">Share-Based Compensation </t>
  </si>
  <si>
    <t xml:space="preserve">Our Company maintains several share-based incentive plans. We grant options to purchase common stock under our 1992 Stock Option Plans, as amended. Under these plans, options are granted at an option price equal to the market value of the stock at the grant date and are generally exercisable ratably over a four-year period beginning one year from grant date and have a five-year term. The grant date is established once the Company’s Board of Directors approves the grant and all key terms have been determined. The exercise prices of our stock option grants are the closing price on the grant date. Stock option grant terms and conditions are communicated to team members within a relatively short period of time. Our Board of Directors generally approves one primary stock option grant annually with a grant date that occurs during a trading window. Our Company offers a team member stock purchase plan to all full-time team members with a minimum of 400 hours of </t>
  </si>
  <si>
    <t xml:space="preserve">service. Under this plan, participating team members may purchase our common stock each calendar quarter through payroll deductions. Participants in the stock purchase plan may elect to purchase unrestricted shares at 100 percent of market value or restricted shares at 85 percent of market value on the purchase date. </t>
  </si>
  <si>
    <t xml:space="preserve">Prior to the effective date of revised Statement of Financial Accounting Standards (“SFAS”) No. 123R, “Share-Based Payment,” the Company applied Accounting Principles Board Opinion No. 25 (“APB No. 25”), “Accounting for Stock Issued to Employees” and related interpretations for our stock option grants. APB No. 25 provides that the compensation expense relative to our team member stock options is measured based on the intrinsic value of the stock option at date of grant. </t>
  </si>
  <si>
    <t xml:space="preserve">Effective the beginning of the first quarter of fiscal year 2006, the Company adopted the provisions of SFAS No. 123R using the modified prospective transition method. Under this method, prior periods were not restated. The Company’s methods used to determine share-based compensation, which includes the utilization of the Black-Scholes option pricing model, requires extensive use of accounting judgment and financial estimates, including estimates of the expected term team members will retain their vested stock options before exercising them, the estimated volatility of the Company’s common stock price over the expected term, and the number of options that will be forfeited prior to the completion of their vesting requirements. The related share-based compensation expense is recognized on a straight-line basis over the vesting period. Application of alternative assumptions could produce significantly different estimates of the fair value of share-based compensation and consequently, the related amounts recognized in the Consolidated Statements of Operations. The provisions of SFAS No. 123R apply to new stock options and stock options outstanding, but not yet vested, on the effective date. </t>
  </si>
  <si>
    <t xml:space="preserve">SFAS No. 123R requires the Company to value unvested stock options granted prior to its adoption of SFAS No. 123 under the fair value method and expense these amounts in the income statement over the stock option’s remaining vesting period. In the fourth quarter of fiscal year 2005, the Company accelerated the vesting of all outstanding stock options, except options held by the members of the executive team and certain options held by team members in the United Kingdom, in order to prevent past option grants from having an impact on future results. The Company intends to keep its broad-based stock option program in place, but also intends to limit the number of shares granted in any one year so that annual earnings per share dilution from equity-based compensation expense will not exceed 10%. </t>
  </si>
  <si>
    <t xml:space="preserve">Prior to the adoption of SFAS No. 123R, the Company presented the tax savings resulting from tax deductions resulting from the exercise of stock options as an operating cash flow, in accordance with Emerging Issues Task Force (“EITF”) Issue No. 00-15, “Classification in the Statement of Cash Flows of the Income Tax Benefit Received by a Company upon Exercise of a Nonqualified Employee Stock Option.” SFAS No. 123R requires the Company to reflect gross tax savings resulting from tax deductions in excess of expense reflected in its financial statements, including pro forma amounts, as a financing cash flow. </t>
  </si>
  <si>
    <t xml:space="preserve">In November 2005, the FASB issued Staff Position No. FAS 123R-3, “Transition Election Related to Accounting for the Tax Effects of the Share-Based Payment Awards” (“FSP FAS 123R-3”). The Company has elected to adopt the transition guidance for the additional paid-in-capital pool (“APIC pool”) pool in paragraph 81 of SFAS No. 123R. The prescribed transition method is a detailed method to establish the beginning balance of the APIC pool related to the tax effects of share-based compensation, and to determine the subsequent impact on the APIC pool and Consolidated Statement of Cash Flows of the tax effects of share-based compensation awards that are outstanding upon adoption of SFAS No. 123R. </t>
  </si>
  <si>
    <t xml:space="preserve">Income Taxes </t>
  </si>
  <si>
    <t xml:space="preserve">We recognize deferred income tax assets and liabilities by applying statutory tax rates in effect at the balance sheet date to differences between the book basis and the tax basis of assets and liabilities. Deferred tax assets and liabilities are measured using enacted tax rates expected to apply to taxable income in the years in which those temporary differences are expected to reverse. Deferred tax assets and liabilities are adjusted to reflect changes in tax laws or rates in the period that includes the enactment date. Significant accounting judgment is required in determining the provision for income taxes and related accruals, deferred tax assets and liabilities. In the ordinary course of business, there are transactions and calculations where the ultimate tax outcome is uncertain. In addition, we are subject to periodic audits and examinations by the IRS and other state and local taxing authorities. Although we believe that our estimates are reasonable, actual results could differ from these estimates. </t>
  </si>
  <si>
    <t xml:space="preserve">Earnings per Share </t>
  </si>
  <si>
    <t xml:space="preserve">Basic earnings per share is based on the weighted average number of common shares outstanding during the fiscal period. Diluted earnings per share is based on the weighted average number of common shares outstanding plus, where applicable, the additional common shares that would have been outstanding as a result of the conversion of dilutive options and convertible debt. </t>
  </si>
  <si>
    <t xml:space="preserve">Comprehensive Income </t>
  </si>
  <si>
    <t xml:space="preserve">Comprehensive income consists of net income, foreign currency translation adjustments, and unrealized gains and losses on marketable securities, net of income taxes. Comprehensive income is reflected in the Consolidated Statements of Shareholders’ Equity and Comprehensive Income. At September 24, 2006, accumulated other comprehensive income consisted of foreign currency translation adjustment gains of approximately $6.9 million and unrealized gains on marketable securities of approximately $0.1 million. At September 25, 2005, accumulated other comprehensive income consisted of foreign currency translation adjustment gains of approximately $4.4 million. </t>
  </si>
  <si>
    <t xml:space="preserve">Foreign Currency Translation </t>
  </si>
  <si>
    <t xml:space="preserve">The Company’s Canadian and United Kingdom operations use their local currency as their functional currency. Assets and liabilities are translated at exchange rates in effect at the balance sheet date. Income and expense accounts are translated at the average monthly exchange rates during the year. Resulting translation adjustments are recorded as a separate component of accumulated other comprehensive income. </t>
  </si>
  <si>
    <t xml:space="preserve">Segment Information </t>
  </si>
  <si>
    <t xml:space="preserve">We operate in one reportable segment, natural foods supermarkets. We currently have three stores in Canada and six stores in the United Kingdom. All of our remaining operations are domestic. </t>
  </si>
  <si>
    <t xml:space="preserve">Use of Estimates </t>
  </si>
  <si>
    <t xml:space="preserve">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revenues and expenses during the period reported. Actual results could differ from those estimates. We use estimates when accounting for depreciation and amortization, allowance for doubtful accounts, inventory valuation, long-term investments, team member benefit plans, team member health insurance plans, workers’ compensation liabilities, share-based compensation, store closure reserves, income taxes and contingencies. </t>
  </si>
  <si>
    <t xml:space="preserve">Reclassifications </t>
  </si>
  <si>
    <t xml:space="preserve">Where appropriate, we have reclassified prior years’ financial statements to conform to current year presentation. </t>
  </si>
  <si>
    <t xml:space="preserve">Recent Accounting Pronouncements </t>
  </si>
  <si>
    <t xml:space="preserve">In September 2006, the Securities and Exchange Commission issued Staff Accounting Bulletin No.108 (“SAB No. 108”), “Considering the Effects of Prior Year Misstatements when Quantifying Misstatements in the Current Year Financial Statements.” SAB No. 108 addresses how the effects of prior-year uncorrected misstatements should be considered when quantifying misstatements in current-year financial statements. SAB No. 108 requires an entity to quantify misstatements using a balance sheet and income statement approach and to evaluate whether either approach results in quantifying an error that is material in light of relevant quantitative and qualitative factors. The requirements of SAB No. 108 are effective for fiscal years ending after November 15, 2006. We are currently evaluating the effect, if any, that the adoption of SAB No. 108 will have on our consolidated financial statements. </t>
  </si>
  <si>
    <t xml:space="preserve">In September 2006, the FASB issued SFAS No. 157, “Fair Value Measures.” SFAS No. 157 defines fair value, establishes a framework for measuring fair value, and requires additional disclosures about fair value measurements. SFAS No. 157 applies to fair value measurements that are already required or permitted by other accounting standards, except for measurements of share-based payments and measurements that are similar to, but not intended to be, fair value and does not change existing guidance as to whether or not an instrument is carried at fair value. The provisions of SFAS No. 157 are effective for the specified fair value measures for financial statements issued for fiscal years beginning after November 15, 2007. We are currently evaluating the impact, if any, that the adoption of SFAS No. 157 will have on our consolidated financial statements. </t>
  </si>
  <si>
    <t xml:space="preserve">In July 2006, the FASB issued Interpretation 48 (“FIN 48”), “Accounting for Uncertainty in Income Taxes,” an interpretation of SFAS No. 109, “Accounting for Income Taxes.” FIN 48 clarifies the accounting for uncertainty in income taxes recognized in an enterprise’s financial statements in accordance with SFAS No. 109. The interpretation applies to all tax positions accounted for in accordance with Statement 109 and requires a recognition threshold and measurement attribute for the financial statement recognition and measurement of a tax position taken, or expected to be taken, in an income tax return. Subsequent recognition, derecognition, and measurement is based on management’s best judgment given the facts, circumstances and information available at the reporting date. FIN 48 is effective for fiscal years beginning after December 15, 2006. Early adoption is permitted as of the beginning of an enterprise’s fiscal year, provided the enterprise has not yet issued financial statements, including financial statements for any interim period, for that fiscal year. We are currently evaluating the effect, if any, that the adoption of FIN 48 will have on our consolidated financial statements. </t>
  </si>
  <si>
    <t xml:space="preserve">In March 2006, the Emerging Issues Task Force (“EITF”) reached a consensus on EITF Issue No. 06-3, “How Taxes Collected from Customers and Remitted to Governmental Authorities Should Be Presented in the Income Statement (that is, Gross versus Net Presentation). Taxes within the scope of EITF Issue No. 06-3 include any taxes assessed by a governmental authority that are directly imposed on a revenue-producing transaction between a seller and a customer and may include, but are not limited to, sales taxes, use taxes, value-added taxes, and some excise taxes. The EITF concluded that the presentation of these taxes on either a gross (included in revenues and costs) or a net (excluded from revenues) basis is an accounting policy decision that should be disclosed. For any such taxes that are reported on a gross basis, a company should disclose the amounts of those taxes in interim and annual financial statements. The Company’s policy is to exclude all such taxes from revenue. The provisions of EITF 06-3 are effective for interim and annual reporting periods beginning after December 15, 2006. The adoption of EITF 06-3 will not have any effect on our consolidated financial statements. </t>
  </si>
  <si>
    <t xml:space="preserve">In May 2005, the FASB issued SFAS No. 154, “Accounting Changes and Error Corrections, a Replacement of Accounting Principles Board Opinion No. 20 and FASB Statement No. 3.” SFAS No. 154 requires retrospective application to prior periods’ financial statements for changes in accounting principles, unless it is impracticable to determine either the period-specific effects or the cumulative effect of the change. SFAS No. 154 also requires that retrospective application of a change in accounting principle be limited to the direct effects of the change. Indirect effects of a change in accounting principle, such as a change in non-discretionary profit-sharing payments resulting from an accounting change, should be recognized in the period of the accounting change. SFAS No. 154 also requires that a change in depreciation, amortization, or depletion method for long-lived, non-financial assets be accounted for as a change in accounting estimate affected by a change in accounting principle. The provisions of SFAS No. 154 are effective for accounting changes and corrections of errors made in fiscal years beginning after December 15, 2005. Early adoption is permitted for accounting changes and corrections of errors made in fiscal years beginning after the date this Statement was issued. The Company is required to adopt the provisions of SFAS No. 154, as applicable, beginning in fiscal year 2007. We do not expect the adoption of SFAS No. 154 will have a significant effect on our future consolidated financial statements. </t>
  </si>
  <si>
    <t xml:space="preserve">(3) Natural Disaster Costs </t>
  </si>
  <si>
    <t xml:space="preserve">The Company has two stores in the New Orleans area which were damaged by and closed due to Hurricane Katrina during the fourth quarter of fiscal year 2005, and accordingly the Company recorded expenses totaling approximately $16.5 million for related estimated net losses. The main components of the $16.5 million expense were estimated impaired assets totaling approximately $12.2 million, estimated inventory losses totaling approximately $2.5 million, salaries and relocation allowances for displaced Team Members and other costs totaling approximately $3.4 million, and a $1.0 million special donation from the Company to the American Red Cross, net of accrued estimated insurance proceeds totaling approximately $2.6 million. In fiscal year 2005, approximately $13.4 million of net natural disaster costs is included in “Direct store expenses” in the Consolidated Statements of Operations, approximately $1.0 million is included in “General and administrative expenses,” and approximately $2.1 million is included in “Cost of goods sold and occupancy costs.” In fiscal year 2006, the Company recognized approximately $7.2 million in pre-tax credits for insurance proceeds and other adjustments related to previously estimated Hurricane Katrina losses, of which approximately $4.2 million is included in “Direct store expenses,” approximately $0.9 million is included in “Cost of goods sold and occupancy costs,” and approximately $2.1 million is included in “Investment and other income.” </t>
  </si>
  <si>
    <t xml:space="preserve">(4) Property and Equipment </t>
  </si>
  <si>
    <t xml:space="preserve">Balances of major classes of property and equipment are as follows (in thousands): </t>
  </si>
  <si>
    <t xml:space="preserve">Land </t>
  </si>
  <si>
    <t xml:space="preserve">Buildings and leasehold improvements </t>
  </si>
  <si>
    <t xml:space="preserve">Fixtures and equipment </t>
  </si>
  <si>
    <t xml:space="preserve">Construction in progress and equipment not yet in service </t>
  </si>
  <si>
    <t xml:space="preserve">Less accumulated depreciation and amortization </t>
  </si>
  <si>
    <t xml:space="preserve">Depreciation and amortization expense related to property and equipment totaled approximately $152.4 million, $129.8 million and $111.2 million for fiscal years 2006, 2005 and 2004, respectively. Property and equipment included accumulated </t>
  </si>
  <si>
    <t xml:space="preserve">accelerated depreciation and other asset impairments totaling approximately $13.1 million and $5.9 million at September 24, 2006 and September 25, 2005, respectively. Property and equipment includes approximately $0.9 million, $3.0 million and $2.1 million of interest capitalized during fiscal years 2006, 2005 and 2004, respectively. Development costs of new store locations totaled approximately $208.6 million, 207.8 million and $156.7 million in fiscal years 2006, 2005 and 2004, respectively. As of November 2, 2006, we had signed leases for 88 stores under development. </t>
  </si>
  <si>
    <t xml:space="preserve">(5) Business Combinations </t>
  </si>
  <si>
    <t xml:space="preserve">Fresh &amp; Wild Holdings Limited </t>
  </si>
  <si>
    <t xml:space="preserve">On January 31, 2004, we acquired all of the outstanding stock of Fresh &amp; Wild Holdings Limited (“Fresh &amp; Wild”) for a total of approximately $20 million in cash and approximately $16 million in Company common stock, totaling 477,470 shares. The acquisition of Fresh &amp; Wild, which owned and operated seven natural and organic food stores in London and Bristol, England, provided a platform for expansion of the Whole Foods Market brand in the United Kingdom. This transaction was accounted for using the purchase method and, accordingly, the purchase price has been allocated to tangible and identifiable intangible assets acquired based on their estimated fair values at the date of acquisition. Total costs in excess of tangible and intangible assets acquired of approximately $30.5 million have been recorded as goodwill. Fresh &amp; Wild results of operations are included in our consolidated income statements for the period beginning February 1, 2004 through September 26, 2004 and all subsequent periods. John Mackey and Walter Robb, executive officers of the Company, each owned approximately 0.2% of the outstanding stock of Fresh &amp; Wild and received proceeds totaling approximately $54,000 and $78,000, respectively, in consideration for their ownership interest. </t>
  </si>
  <si>
    <t xml:space="preserve">Select Fish LLC </t>
  </si>
  <si>
    <t xml:space="preserve">On October 27, 2003, we acquired certain assets of Select Fish LLC (“Select Fish”) in exchange for approximately $3 million in cash plus the assumption of certain liabilities. All assets acquired relate to a seafood processing and distribution facility located in Seattle, Washington. This transaction was accounted for using the purchase method. Accordingly the purchase price was allocated to tangible and identifiable intangible assets acquired based on their estimated fair values at the date of the acquisition. Total costs in excess of tangible and intangible assets acquired of approximately $1.1 million have been recorded as goodwill. Select Fish results of operations are included in our consolidated income statements beginning October 27, 2003. </t>
  </si>
  <si>
    <t xml:space="preserve">Goodwill and Other Intangible Assets </t>
  </si>
  <si>
    <t xml:space="preserve">Goodwill and indefinite-lived intangible assets are reviewed for impairment annually, or more frequently if impairment indicators arise. We allocate goodwill to one reporting unit for goodwill impairment testing. During fiscal year 2006, we acquired goodwill totaling approximately $1.1 million, primarily related to the acquisition of one small store in Portland, Maine. We acquired indefinite-lived intangible assets totaling approximately $50,000 and $0.7 million during fiscal years 2006 and 2005, respectively, consisting primarily of liquor licenses. There was no impairment of goodwill or indefinite-lived intangible assets during fiscal years 2006, 2005 or 2004. </t>
  </si>
  <si>
    <t xml:space="preserve">Definite-lived intangible assets are amortized over the useful life of the related agreement. We acquired definite-lived intangible assets totaling approximately $15.7 million and $1.5 million during fiscal years 2006 and 2005, respectively, consisting primarily of acquired leasehold rights. Amortization associated with intangible assets totaled approximately $2.5 million, $2.8 million, and 3.0 million during fiscal years 2006, 2005 and 2004, respectively. The components of intangible assets were as follows (in thousands): </t>
  </si>
  <si>
    <t>Gross carrying</t>
  </si>
  <si>
    <t>Accumulated</t>
  </si>
  <si>
    <t xml:space="preserve">amount </t>
  </si>
  <si>
    <t xml:space="preserve">amortization </t>
  </si>
  <si>
    <t xml:space="preserve">Indefinite-lived contract-based </t>
  </si>
  <si>
    <t xml:space="preserve">Definite-lived contract-based </t>
  </si>
  <si>
    <t xml:space="preserve">(11,833 </t>
  </si>
  <si>
    <t xml:space="preserve">(11,827 </t>
  </si>
  <si>
    <t xml:space="preserve">Definite-lived marketing-related and other </t>
  </si>
  <si>
    <t xml:space="preserve">(1,995 </t>
  </si>
  <si>
    <t xml:space="preserve">(2,425 </t>
  </si>
  <si>
    <t xml:space="preserve">(13,828 </t>
  </si>
  <si>
    <t xml:space="preserve">(14,252 </t>
  </si>
  <si>
    <t xml:space="preserve">Amortization associated with the net carrying amount of intangible assets is estimated to be approximately $2.4 million in fiscal year 2007, $2.3 million in fiscal year 2008, $2.3 million in fiscal year 2009, $2.2 million in fiscal year 2010 and $2.2 million in fiscal year 2011. </t>
  </si>
  <si>
    <t xml:space="preserve">(7) Long-Term Debt </t>
  </si>
  <si>
    <t xml:space="preserve">We have long-term debt and obligations under capital leases as follows (in thousands): </t>
  </si>
  <si>
    <t xml:space="preserve">Obligations under capital lease agreements for equipment, due in monthly installments through 2012 </t>
  </si>
  <si>
    <t xml:space="preserve">Convertible debentures, including accreted interest </t>
  </si>
  <si>
    <t xml:space="preserve">Total Long-term debt </t>
  </si>
  <si>
    <t xml:space="preserve">Less current installments </t>
  </si>
  <si>
    <t xml:space="preserve">Long-term debt, less current installments </t>
  </si>
  <si>
    <t xml:space="preserve">On October 1, 2004, we amended our credit facility to extend the maturity of our $100 million revolving line of credit to October 1, 2009. The credit agreement contains certain affirmative covenants including maintenance of certain financial ratios and certain negative covenants including limitations on additional indebtedness as defined in the agreement. At September 24, 2006 and September 25, 2005, we were in compliance with the applicable debt covenants. All outstanding amounts borrowed under this agreement bear interest at our option of either the defined base rate or the LIBOR rate plus a premium. Commitment fees of 0.15% of the undrawn amount are payable under this agreement. At September 24, 2006 and September 25, 2005 no amounts were drawn under the agreement. The amount available to the Company under the agreement was effectively reduced to $88.4 million by outstanding letters of credit totaling approximately $11.6 million at September 25, 2005. On November 7, 2005, we amended our credit facility to delete negative covenants related to the repurchase of Company stock and payment of dividends. </t>
  </si>
  <si>
    <t xml:space="preserve">We have outstanding zero coupon convertible subordinated debentures which had a carrying amount of approximately $8.3 million and $12.9 million at September 24, 2006 and September 25, 2005, respectively. The debentures have an effective yield to maturity of 5 percent and a scheduled maturity date of March 2, 2018. The debentures are convertible at the option of the holder, at any time on or prior to maturity, unless previously redeemed or otherwise purchased. The debentures may be redeemed at the option of the holder on March 2, 2008 or March 2, 2013 at the issue price plus accrued original discount to the date of redemption. Subject to certain limitations, at our option, we may elect to pay this purchase price in cash, shares of common stock or any combination thereof. The debentures may also be redeemed in cash at the option of the holder if there is a change in control at the issue price plus accrued original discount to the date of redemption. The Company may redeem the debentures for cash, in whole or in part, at redemption prices equal to the issue price plus accrued original discount to the date of redemption. The debentures are subordinated in the right of payment to all existing and future senior indebtedness. The debentures have a conversion rate of 21.280 shares of Company common stock per $1,000 principal amount at maturity, or approximately 311,000 shares and 505,000 shares at September 24, 2006 and September 25, 2005, respectively. Approximately $5.0 million and $150.1 million of the carrying amount of the debentures were voluntarily converted by holders to shares of Company common stock during fiscal years 2006 and 2005, respectively. </t>
  </si>
  <si>
    <t xml:space="preserve">We also had outstanding senior unsecured notes that bear interest at 7.29% payable quarterly with a carrying amount of approximately $5.7 million at September 25, 2005. The Company made the final principal payment totaling approximately $5.7 million to retire its senior notes on May 16, 2006. </t>
  </si>
  <si>
    <t xml:space="preserve">(8) Leases </t>
  </si>
  <si>
    <t xml:space="preserve">The Company is committed under certain capital leases for rental of equipment and certain operating leases for rental of facilities and equipment. These leases expire or become subject to renewal clauses at various dates from 2006 to 2038. Amortization of equipment under capital lease is included with depreciation expense. </t>
  </si>
  <si>
    <t xml:space="preserve">Rental expense charged to operations under operating leases for fiscal years 2006, 2005 and 2004 totaled approximately $153.1 million, $124.8 million and $99.9 million, respectively. Minimum rental commitments required by all non-cancelable leases are approximately as follows (in thousands): </t>
  </si>
  <si>
    <t xml:space="preserve">Capital </t>
  </si>
  <si>
    <t xml:space="preserve">Operating </t>
  </si>
  <si>
    <t xml:space="preserve">Future fiscal years </t>
  </si>
  <si>
    <t xml:space="preserve">Less amounts representing interest </t>
  </si>
  <si>
    <t xml:space="preserve">Net present value of capital lease obligations </t>
  </si>
  <si>
    <t xml:space="preserve">Long-term capital lease obligations, less current installments </t>
  </si>
  <si>
    <t xml:space="preserve">During fiscal years 2006, 2005 and 2004, we paid contingent rentals totaling approximately $9.6 million, $7.6 million and $4.8 million, respectively. No asset retirement obligations have been incurred associated with operating leases. Sublease rental income totaled approximately $1.6 million, $1.3 million and $1.4 million during fiscal years 2006, 2005 and 2004, respectively. John Mackey and Glenda Chamberlain, executive officers of the Company, own approximately 51% and 2%, respectively, of BookPeople, Inc., a retailer of books and periodicals that is unaffiliated with the Company, which leases retail space in Austin, Texas from the Company. The lease provides for an aggregate annual minimum rent of approximately $0.4 million which the Company received in rental income in fiscal years 2006, 2005 and 2004. </t>
  </si>
  <si>
    <t xml:space="preserve">(9) Income Taxes </t>
  </si>
  <si>
    <t xml:space="preserve">Components of income tax expense are as follows (in thousands): </t>
  </si>
  <si>
    <t xml:space="preserve">Current federal income tax </t>
  </si>
  <si>
    <t xml:space="preserve">Current state income tax </t>
  </si>
  <si>
    <t xml:space="preserve">Total current tax </t>
  </si>
  <si>
    <t xml:space="preserve">Deferred federal income tax </t>
  </si>
  <si>
    <t xml:space="preserve">(13,350 </t>
  </si>
  <si>
    <t xml:space="preserve">(22,462 </t>
  </si>
  <si>
    <t xml:space="preserve">Deferred state income tax </t>
  </si>
  <si>
    <t xml:space="preserve">(2,171 </t>
  </si>
  <si>
    <t xml:space="preserve">(5,411 </t>
  </si>
  <si>
    <t xml:space="preserve">(965 </t>
  </si>
  <si>
    <t xml:space="preserve">Total deferred income tax </t>
  </si>
  <si>
    <t xml:space="preserve">(681 </t>
  </si>
  <si>
    <t xml:space="preserve">Total income tax expense </t>
  </si>
  <si>
    <t xml:space="preserve">Actual income tax expense differed from the amount computed by applying statutory corporate income tax rates to income before income taxes as follows (in thousands): </t>
  </si>
  <si>
    <t xml:space="preserve">Federal income tax based on statutory rates </t>
  </si>
  <si>
    <t xml:space="preserve">Increase (reduction) in income taxes resulting from: </t>
  </si>
  <si>
    <t xml:space="preserve">Change in valuation allowance </t>
  </si>
  <si>
    <t xml:space="preserve">(31 </t>
  </si>
  <si>
    <t xml:space="preserve">Tax exempt interest </t>
  </si>
  <si>
    <t xml:space="preserve">(1,352 </t>
  </si>
  <si>
    <t xml:space="preserve">(462 </t>
  </si>
  <si>
    <t xml:space="preserve">Deductible state income taxes </t>
  </si>
  <si>
    <t xml:space="preserve">(9,962 </t>
  </si>
  <si>
    <t xml:space="preserve">(6,005 </t>
  </si>
  <si>
    <t xml:space="preserve">(5,357 </t>
  </si>
  <si>
    <t xml:space="preserve">Other, net </t>
  </si>
  <si>
    <t xml:space="preserve">(1,467 </t>
  </si>
  <si>
    <t xml:space="preserve">Total federal income taxes </t>
  </si>
  <si>
    <t xml:space="preserve">State income taxes </t>
  </si>
  <si>
    <t xml:space="preserve">Current income taxes payable as of September 24, 2006 and September 25, 2005 totaled approximately $27.2 million and $5.2 million, respectively. The tax effects of temporary differences that give rise to significant portions of the deferred tax assets and deferred tax liabilities are as follows (in thousands): </t>
  </si>
  <si>
    <t xml:space="preserve">Deferred tax assets: </t>
  </si>
  <si>
    <t xml:space="preserve">Compensation-related costs </t>
  </si>
  <si>
    <t xml:space="preserve">Insurance-related costs </t>
  </si>
  <si>
    <t xml:space="preserve">Lease and other termination accruals </t>
  </si>
  <si>
    <t xml:space="preserve">Rent differential </t>
  </si>
  <si>
    <t xml:space="preserve">Net domestic and international operating loss carryforwards </t>
  </si>
  <si>
    <t xml:space="preserve">Capital loss carryforwards </t>
  </si>
  <si>
    <t xml:space="preserve">Gross deferred tax assets </t>
  </si>
  <si>
    <t xml:space="preserve">Valuation allowance </t>
  </si>
  <si>
    <t xml:space="preserve">(13,271 </t>
  </si>
  <si>
    <t xml:space="preserve">(17,364 </t>
  </si>
  <si>
    <t xml:space="preserve">Deferred tax liabilities: </t>
  </si>
  <si>
    <t xml:space="preserve">Financial basis of fixed assets in excess of tax basis </t>
  </si>
  <si>
    <t xml:space="preserve">(21,858 </t>
  </si>
  <si>
    <t xml:space="preserve">(24,673 </t>
  </si>
  <si>
    <t xml:space="preserve">(313 </t>
  </si>
  <si>
    <t xml:space="preserve">Capitalized costs expensed for tax purposes </t>
  </si>
  <si>
    <t xml:space="preserve">(1,290 </t>
  </si>
  <si>
    <t xml:space="preserve">(1,841 </t>
  </si>
  <si>
    <t xml:space="preserve">(905 </t>
  </si>
  <si>
    <t xml:space="preserve">(980 </t>
  </si>
  <si>
    <t xml:space="preserve">(24,366 </t>
  </si>
  <si>
    <t xml:space="preserve">(27,494 </t>
  </si>
  <si>
    <t xml:space="preserve">Net deferred tax asset </t>
  </si>
  <si>
    <t xml:space="preserve">Deferred taxes have been classified on the consolidated balance sheets as follows: </t>
  </si>
  <si>
    <t xml:space="preserve">Current assets </t>
  </si>
  <si>
    <t xml:space="preserve">Noncurrent assets </t>
  </si>
  <si>
    <t xml:space="preserve">As of September 24, 2006, we had international operating loss carryforwards totaling approximately $32.5 million, of which approximately $11.8 million will begin to expire in fiscal year 2008 and approximately $20.7 million has an indefinite life. During fiscal year 2006, approximately $31,000 of the valuation allowance related to the utilization of certain operating and capital loss carryforwards was released. Additionally, the valuation allowance decreased by approximately $4.1 million due to the expiration of capital loss carryforwards for which no benefit was realized. We have provided a valuation allowance of approximately $13.3 million for deferred tax assets associated with international operating loss carryforwards and domestic capital loss carryforwards for which management has determined it is more likely than not that the deferred tax asset will not be realized. Management believes that it is more likely than not that we will fully realize the remaining domestic deferred tax assets in the form of future tax deductions based on the nature of these deductible temporary differences and a history of profitable operations. </t>
  </si>
  <si>
    <t xml:space="preserve">(10) Investments </t>
  </si>
  <si>
    <t xml:space="preserve">We had short-term cash equivalent investments totaling approximately $10.1 million and $325.7 million at September 24, 2006 and September 25, 2005, respectively. </t>
  </si>
  <si>
    <t xml:space="preserve">As of September 24, 2006, we also had short-term available-for-sale securities, generally consisting of state and local government obligations totaling approximately $193.8 million. Gross unrealized gains on the securities totals approximately $77,000 as of September 24, 2006. </t>
  </si>
  <si>
    <t xml:space="preserve">(11) Shareholders’ Equity </t>
  </si>
  <si>
    <t xml:space="preserve">Dividends </t>
  </si>
  <si>
    <t xml:space="preserve">The Company’s Board of Directors approved the following dividends during fiscal years 2006 and 2005 (in thousands, except per share amounts): </t>
  </si>
  <si>
    <t xml:space="preserve">Date of Declaration </t>
  </si>
  <si>
    <t xml:space="preserve">Dividend </t>
  </si>
  <si>
    <t xml:space="preserve">Date of Record </t>
  </si>
  <si>
    <t xml:space="preserve">Date of Payment </t>
  </si>
  <si>
    <t xml:space="preserve">per Share </t>
  </si>
  <si>
    <t xml:space="preserve">Fiscal year 2006: </t>
  </si>
  <si>
    <t xml:space="preserve">November 9, 2005 </t>
  </si>
  <si>
    <t xml:space="preserve">January 13, 2006 </t>
  </si>
  <si>
    <t xml:space="preserve">January 23, 2006 </t>
  </si>
  <si>
    <t xml:space="preserve">March 6, 2006 </t>
  </si>
  <si>
    <t xml:space="preserve">June 13, 2006 </t>
  </si>
  <si>
    <t xml:space="preserve">Fiscal year 2005: </t>
  </si>
  <si>
    <t xml:space="preserve">November 10, 2004 </t>
  </si>
  <si>
    <t xml:space="preserve">April 5, 2005 </t>
  </si>
  <si>
    <t xml:space="preserve">June 7, 2005 </t>
  </si>
  <si>
    <t xml:space="preserve">September 14, 2005 </t>
  </si>
  <si>
    <t xml:space="preserve">October 14, 2005 </t>
  </si>
  <si>
    <t xml:space="preserve">October 24, 2005 </t>
  </si>
  <si>
    <t xml:space="preserve">On September 27, 2006, the Company’s Board of Directors approved a quarterly dividend of $0.15 per share that was paid on October 23, 2006 to shareholders of record on October 13, 2006. On November 2, 2006, the Company’s Board of Directors approved a 20% increase in the Company’s quarterly dividend to $0.18 per share payable on January 22, 2007 to shareholders of record on January 12, 2007. The Company will pay future dividends at the discretion of the Board of Directors. The continuation of these payments, the amount of such dividends, and the form in which the dividends are paid (cash or stock) depend on many factors, including the results of operations and the financial condition of the Company. Subject to these qualifications, the Company currently expects to pay dividends on a quarterly basis. </t>
  </si>
  <si>
    <t xml:space="preserve">On November 9, 2005, the Company’s Board of Directors approved a two-for-one stock split to be distributed on December 27, 2005 to shareholders of record at the close of business on December 12, 2005. The stock split was effected in the form of a stock dividend. Shareholders received one additional share of Whole Foods Market common stock for each share owned. All share and per share amounts in these financial statements have been adjusted to reflect the effect of the stock split. All shares reserved for issuance pursuant to the Company’s stock option and stock purchase plans were automatically increased by the same proportion. In addition, shares subject to outstanding options or other rights to acquire the Company’s stock and the exercise price for such shares were adjusted proportionately. </t>
  </si>
  <si>
    <t xml:space="preserve">Treasury Stock </t>
  </si>
  <si>
    <t xml:space="preserve">On November 8, 2005, the Company’s Board of Directors approved a stock repurchase program of up to $200 million over the next four years. During the fourth quarter of fiscal year 2006, the Company repurchased on the open market approximately 2.0 million shares of Company common stock that were held in treasury at September 24, 2006. The average price per share paid was $49.85, for a total of approximately $100 million. At September 25, 2005, we had no shares of Company common stock in treasury. </t>
  </si>
  <si>
    <t xml:space="preserve">On November 6, 2006, the Company’s Board of Directors approved a $100 million increase in the Company’s stock repurchase program, bringing the total remaining authorization to $200 million over the next three years. The specific timing and repurchase amounts will vary based on market conditions, securities law limitations and other factors and will be made using the Company’s available cash resources and line of credit availability. The repurchase program may be suspended or discontinued at any time without prior notice. </t>
  </si>
  <si>
    <t xml:space="preserve">(12) Earnings per Share </t>
  </si>
  <si>
    <t xml:space="preserve">The computation of basic earnings per share is based on the number of weighted average common shares outstanding during the period. The computation of diluted earnings per share includes the dilutive effect of common stock equivalents consisting of common shares deemed outstanding from the assumed exercise of stock options and the assumed conversion of zero coupon convertible subordinated debentures. </t>
  </si>
  <si>
    <t xml:space="preserve">A reconciliation of the numerators and denominators of the basic and diluted earnings per share calculations follows (in thousands, except per share amounts): </t>
  </si>
  <si>
    <t xml:space="preserve">Net income (numerator for basic earnings per share) </t>
  </si>
  <si>
    <t xml:space="preserve">Interest on 5% zero coupon convertible subordinated debentures, net of income taxes </t>
  </si>
  <si>
    <t xml:space="preserve">Adjusted net income (numerator for diluted earnings per share) </t>
  </si>
  <si>
    <t xml:space="preserve">Weighted average common shares outstanding (denominator for basic earnings per share) </t>
  </si>
  <si>
    <t xml:space="preserve">Potential common shares outstanding: </t>
  </si>
  <si>
    <t xml:space="preserve">Assumed conversion of 5% zero coupon convertible subordinated debentures </t>
  </si>
  <si>
    <t xml:space="preserve">Assumed exercise of stock options </t>
  </si>
  <si>
    <t xml:space="preserve">Weighted average common shares outstanding and potential additional common shares outstanding (denominator for diluted earnings per share) </t>
  </si>
  <si>
    <t xml:space="preserve">The computation of diluted earnings per share does not include options to purchase approximately 4.3 million, 158,000 shares and 6,000 shares of common stock at the end of fiscal years 2006, 2005 and 2004, respectively, due to their antidilutive effect. </t>
  </si>
  <si>
    <t xml:space="preserve">(13) Share-Based Compensation </t>
  </si>
  <si>
    <t xml:space="preserve">Total share-based compensation expense recognized during fiscal year 2006 and fiscal year 2005 was approximately $9.4 million and $19.9 million, respectively. Of these totals, approximately $3.6 million and $10.1 million was included in “Direct store expenses”, $5.5 million and $8.6 million was included in “General and administrative expenses”, and $0.3 million and $1.2 million was included in “Cost of goods sold and occupancy costs” in the Consolidated Statements of Operations in fiscal year 2006 and fiscal year 2005, respectively. The related total tax benefit was approximately $2.7 million and $4.5 million in fiscal year 2006 and fiscal year 2005, respectively. Our Company maintains several share-based incentive plans. </t>
  </si>
  <si>
    <t xml:space="preserve">Stock Option Plan </t>
  </si>
  <si>
    <t xml:space="preserve">We grant options to purchase common stock under our 1992 Stock Option Plans, as amended. Under these plans, options are granted at an option price equal to the market value of the stock at the grant date and are generally exercisable ratably over a four-year period beginning one year from grant date. Options granted in fiscal year 2006 expire five years from the date of grant and options granted in fiscal years 2005 and 2004 expire seven years from date of grant. Certain options granted during fiscal year 2005 were granted fully vested. Our Company has, in connection with certain of our business combinations, assumed the stock option plans of the acquired companies. All options outstanding under our Company’s previous plans and plans assumed in business combinations continue to be governed by the terms and conditions of those grants. The market value of the stock is determined as the closing stock price at the grant date. At September 24, 2006, September 25, 2005 and September 26, 2004 approximately 6.5 million, 7.7 million and 11.2 million shares of our common stock, respectively, were available for future stock option grants. </t>
  </si>
  <si>
    <t xml:space="preserve">The following table summarizes option activity (in thousands, except per share amounts): </t>
  </si>
  <si>
    <t xml:space="preserve">Number </t>
  </si>
  <si>
    <t>Weighted</t>
  </si>
  <si>
    <t>Aggregate</t>
  </si>
  <si>
    <t>of Options</t>
  </si>
  <si>
    <t>Average</t>
  </si>
  <si>
    <t>Intrinsic</t>
  </si>
  <si>
    <t xml:space="preserve">Exercise Price </t>
  </si>
  <si>
    <t>Remaining</t>
  </si>
  <si>
    <t xml:space="preserve">Contractual Life </t>
  </si>
  <si>
    <t xml:space="preserve">Outstanding options September 28, 2003 </t>
  </si>
  <si>
    <t xml:space="preserve">Options granted </t>
  </si>
  <si>
    <t xml:space="preserve">Options exercised </t>
  </si>
  <si>
    <t xml:space="preserve">(4,154 </t>
  </si>
  <si>
    <t xml:space="preserve">Options expired </t>
  </si>
  <si>
    <t xml:space="preserve">(674 </t>
  </si>
  <si>
    <t xml:space="preserve">Outstanding options at September 26, 2004 </t>
  </si>
  <si>
    <t xml:space="preserve">(4,996 </t>
  </si>
  <si>
    <t xml:space="preserve">(711 </t>
  </si>
  <si>
    <t xml:space="preserve">Outstanding options at September 25, 2005 </t>
  </si>
  <si>
    <t xml:space="preserve">(5,466 </t>
  </si>
  <si>
    <t xml:space="preserve">(202 </t>
  </si>
  <si>
    <t xml:space="preserve">Options forfeited </t>
  </si>
  <si>
    <t xml:space="preserve">(46 </t>
  </si>
  <si>
    <t xml:space="preserve">Outstanding options at September 24, 2006 </t>
  </si>
  <si>
    <t xml:space="preserve">Vested/expected to vest at September 24, 2006 </t>
  </si>
  <si>
    <t xml:space="preserve">Exercisable options at September 24, 2006 </t>
  </si>
  <si>
    <t xml:space="preserve">The weighted average fair values of options granted during fiscal years 2006, 2005 and 2004 were $17.04, $15.19 and $14.69, respectively. The aggregate intrinsic value of stock options at exercise, represented in the table above, was approximately $180.0 million during fiscal year 2006. Total gross unrecognized share-based compensation expense related to nonvested stock options was approximately $25.2 million as of the end of fiscal year 2006, related to approximately 1.5 million shares. We anticipate this expense to be recognized over a weighted average period of approximately two years. </t>
  </si>
  <si>
    <t xml:space="preserve">A summary of options outstanding and exercisable at September 24, 2006 follows (share amounts in thousands): </t>
  </si>
  <si>
    <t xml:space="preserve">Options Outstanding </t>
  </si>
  <si>
    <t xml:space="preserve">Options Exercisable </t>
  </si>
  <si>
    <t xml:space="preserve">Range of </t>
  </si>
  <si>
    <t>Weighted Average</t>
  </si>
  <si>
    <t xml:space="preserve">Exercise Prices </t>
  </si>
  <si>
    <t xml:space="preserve">Remaining </t>
  </si>
  <si>
    <t xml:space="preserve">Average </t>
  </si>
  <si>
    <t xml:space="preserve">From </t>
  </si>
  <si>
    <t xml:space="preserve">To </t>
  </si>
  <si>
    <t xml:space="preserve">Life (in Years) </t>
  </si>
  <si>
    <t xml:space="preserve">Exercisable </t>
  </si>
  <si>
    <t xml:space="preserve">  21.76 </t>
  </si>
  <si>
    <t xml:space="preserve">  39.61 </t>
  </si>
  <si>
    <t xml:space="preserve">  41.05 </t>
  </si>
  <si>
    <t xml:space="preserve">  54.75 </t>
  </si>
  <si>
    <t xml:space="preserve">  68.96 </t>
  </si>
  <si>
    <t xml:space="preserve">n/a </t>
  </si>
  <si>
    <t xml:space="preserve">Total </t>
  </si>
  <si>
    <t xml:space="preserve">Share-based compensation expense related to vesting stock options recognized during fiscal year 2006 totaled approximately $4.6 million. </t>
  </si>
  <si>
    <t xml:space="preserve">During fiscal year 2005, the Company accelerated the vesting of all outstanding stock options, except options held by the members of the executive team and certain options held by team members in the United Kingdom, in order to prevent past option grants from having an impact on future results. The Company recognized a share-based compensation charge totaling approximately $17.4 million related to this acceleration, which was determined by measuring the intrinsic value on the date of the acceleration for all options that would have expired in the future unexercisable had the acceleration not occurred. The calculation of this charge required that management make estimates and assumptions concerning future team member turnover. In the fourth quarter of fiscal year 2006 the Company recognized an additional $3.0 million share-based compensation charge related to this acceleration to adjust for actual experience. Additional adjustments in future periods may be necessary as actual results could differ from these estimates and assumptions. </t>
  </si>
  <si>
    <t xml:space="preserve">The Company also recognized share-based compensation totaling approximately $1.2 million and $2.5 million for modifications of terms of certain stock option grants and other compensation based on the intrinsic value of the Company’s common stock during fiscal years 2006 and 2005, respectively. </t>
  </si>
  <si>
    <t xml:space="preserve">The fair value of stock option grants has been estimated at the date of grant using the Black-Scholes option pricing model with the following weighted average assumptions: </t>
  </si>
  <si>
    <t xml:space="preserve">Expected dividend yield </t>
  </si>
  <si>
    <t xml:space="preserve">% </t>
  </si>
  <si>
    <t xml:space="preserve">Risk-free interest rate </t>
  </si>
  <si>
    <t xml:space="preserve">Expected volatility </t>
  </si>
  <si>
    <t xml:space="preserve">Expected life, in years </t>
  </si>
  <si>
    <t xml:space="preserve">Risk-free interest rate is based on the US treasury yield curve for a three and a half-year term and the seven-year zero coupon treasury bill rate on the dates of the annual grant in fiscal year 2006 and fiscal year 2005, respectively. Expected volatility is calculated using a ratio of implied volatility based on comparable Long-Term Equity Anticipation Securities (“LEAPS”) and four-year historical volatility for fiscal year 2006. The Company determined the use of implied volatility versus historical volatility represents a more accurate calculation of option fair value. In fiscal year 2005, expected volatility was calculated using the daily historical volatility over the last seven years. Expected life is calculated in two tranches based on weighted average percentage of unexpired options and exercise-after-vesting information over the last five years, in fiscal year 2006. During fiscal year 2005, expected life was calculated in five salary tranches based on weighted average exercise-after-vesting information over the last seven years. The assumptions used to calculate the fair value of options granted are evaluated and revised, as necessary, to reflect market conditions and experience. </t>
  </si>
  <si>
    <t xml:space="preserve">In accordance with SFAS No. 123R, the Company adopted the provisions of SFAS No. 123R in the first quarter of fiscal year 2006 using the modified prospective approach. Under this method, prior periods are not restated. As a result of adoption, the Company’s income before income taxes and net income for fiscal year 2006, are $6.4 million and $3.8 million lower, respectively, than if we had continued to account for share-based compensation under APB No. 25. Basic and diluted earnings per share for fiscal year 2006 are $0.03 lower than if we had continued to account for share-based compensation under APB No. 25. Had we previously recognized compensation costs as prescribed by SFAS No. 123, previously reported net income, basic earnings per share and diluted earnings per share would have changed to the pro forma amounts shown below (in thousands, except per share amounts): </t>
  </si>
  <si>
    <t xml:space="preserve">Reported net income </t>
  </si>
  <si>
    <t xml:space="preserve">Share-based compensation expense, net of income taxes </t>
  </si>
  <si>
    <t xml:space="preserve">Pro forma expense, net of income taxes </t>
  </si>
  <si>
    <t xml:space="preserve">(179,616 </t>
  </si>
  <si>
    <t xml:space="preserve">(23,888 </t>
  </si>
  <si>
    <t xml:space="preserve">Pro forma net income (loss) </t>
  </si>
  <si>
    <t xml:space="preserve">(27,956 </t>
  </si>
  <si>
    <t xml:space="preserve">Basic earnings per share: </t>
  </si>
  <si>
    <t xml:space="preserve">Reported </t>
  </si>
  <si>
    <t xml:space="preserve">Share-based compensation expense </t>
  </si>
  <si>
    <t xml:space="preserve">Pro forma adjustment </t>
  </si>
  <si>
    <t xml:space="preserve">(1.38 </t>
  </si>
  <si>
    <t xml:space="preserve">(0.20 </t>
  </si>
  <si>
    <t xml:space="preserve">Pro forma basic earnings (loss) per share </t>
  </si>
  <si>
    <t xml:space="preserve">(0.21 </t>
  </si>
  <si>
    <t xml:space="preserve">Diluted earnings per share: </t>
  </si>
  <si>
    <t xml:space="preserve">(1.31 </t>
  </si>
  <si>
    <t xml:space="preserve">(0.17 </t>
  </si>
  <si>
    <t xml:space="preserve">Pro forma diluted earnings (loss) per share </t>
  </si>
  <si>
    <t xml:space="preserve">Pro forma disclosures for fiscal year 2006 are not presented because the amounts are recognized in the Consolidated Statement of Operations. </t>
  </si>
  <si>
    <t xml:space="preserve">Team Member Stock Purchase Plan </t>
  </si>
  <si>
    <t xml:space="preserve">Our Company also offers a team member stock purchase plan to all full-time team members with a minimum of 400 hours of service. Under this plan, participating team members may purchase our common stock each fiscal quarter through payroll deductions. Participants in the stock purchase plan may elect to purchase unrestricted shares at 100 percent of market value or restricted shares at 85 percent of market value on the purchase date. Participants are required to hold restricted shares for two years before selling them. In fiscal year 2006, we recognized approximately $0.6 million of share-based compensation expense related to team member stock purchase plan discounts. We issued approximately 51,000, 40,000 and 32,000 shares under this plan in fiscal years 2006, 2005 and 2004, respectively. At September 24, 2006, September 25, 2005 and September 26, 2004 approximately 369,000, 420,000, and 460,000 shares of our common stock, respectively, were available for future issuance. </t>
  </si>
  <si>
    <t xml:space="preserve">(14) Team Member 401(k) Plan </t>
  </si>
  <si>
    <t xml:space="preserve">Our Company offers a team member 401(k) plan to all team members with a minimum of 1,000 services hours in one year. In fiscal years 2006 and 2005, the Company made a matching contribution to the plan of approximately $2.3 million in cash. The Company did not make a matching contribution to the plan in fiscal year 2004. </t>
  </si>
  <si>
    <t xml:space="preserve">(15) Quarterly Results (unaudited) </t>
  </si>
  <si>
    <t xml:space="preserve">The Company’s first quarter consists of 16 weeks, and the second, third and fourth quarters consist of 12 weeks. Because the first quarter is longer than the remaining quarters, it typically represents a larger share of our annual sales from existing stores. Quarter to quarter comparisons of results of operations have been and may be materially impacted by the timing of new store openings. The Company believes that the following information reflects all normal recurring adjustments necessary for a fair presentation of the information for the periods presented. The operating results for any quarter are not necessarily indicative of results for any future period. </t>
  </si>
  <si>
    <t xml:space="preserve">The Company accelerated the vesting of all outstanding stock options on September 22, 2005 in order to prevent past option grants from having an impact on future results. The Company incurred a share-based compensation charge totaling approximately $18.2 million in the fourth quarter of fiscal year 2005, primarily a non-cash charge related to this accelerated vesting of options. The Company’s effective tax rate for the fourth quarter and fiscal year 2005 was higher than its historical rate primarily due to the non-deductible portion of the expense recognized for the accelerated vesting of stock options. In the fourth quarter of fiscal year 2006, the Company recorded additional $3.0 million non-cash share-based compensation charge to adjust the estimate related to accelerated vesting for actual experience. </t>
  </si>
  <si>
    <t xml:space="preserve">The Company has two stores in the New Orleans area which were damaged by and closed due to Hurricane Katrina during the fourth quarter of fiscal year 2005, and accordingly the Company recorded expenses totaling approximately $16.5 million for related estimated net losses. </t>
  </si>
  <si>
    <t xml:space="preserve">The following tables set forth selected quarterly unaudited consolidated statements of operations information for the fiscal years ended September 24, 2006 and September 25, 2005 (in thousands except per share amounts): </t>
  </si>
  <si>
    <t>First</t>
  </si>
  <si>
    <t>Second</t>
  </si>
  <si>
    <t>Third</t>
  </si>
  <si>
    <t>Fourth</t>
  </si>
  <si>
    <t xml:space="preserve">Quarter </t>
  </si>
  <si>
    <t xml:space="preserve">Fiscal Year 2006 </t>
  </si>
  <si>
    <t xml:space="preserve">Other income (expense) </t>
  </si>
  <si>
    <t xml:space="preserve">(3 </t>
  </si>
  <si>
    <t xml:space="preserve">(8 </t>
  </si>
  <si>
    <t xml:space="preserve">(21 </t>
  </si>
  <si>
    <t xml:space="preserve">Fiscal Year 2005 </t>
  </si>
  <si>
    <t xml:space="preserve">(1,708 </t>
  </si>
  <si>
    <t xml:space="preserve">(342 </t>
  </si>
  <si>
    <t xml:space="preserve">(163 </t>
  </si>
  <si>
    <t xml:space="preserve">(10 </t>
  </si>
  <si>
    <t xml:space="preserve">(15) Commitments and Contingencies </t>
  </si>
  <si>
    <t xml:space="preserve">From time to time we are a party to legal proceedings including matters involving personnel and employment issues, personal injury, intellectual property and other proceedings arising in the ordinary course of business which have not resulted in any material losses to date. Although not currently anticipated by management, our results could be materially impacted by the decisions and expenses related to pending or future proceedings. </t>
  </si>
  <si>
    <t xml:space="preserve">The Company has entered into Retention Agreements with certain executive officers of the Company or its subsidiaries which provide for certain benefits upon an involuntary termination of employment other than for cause after a “Triggering Event.” A Triggering Event includes a merger of the Company with and into an unaffiliated corporation if the Company is not the surviving corporation or the sale of all or substantially all of the Company’s assets. The benefits to be received by the executive officer whose employment is terminated after a Triggering Event occurs include receipt of his or her annual salary through the one-year period following the date of the termination of employment and the immediate vesting of any outstanding stock options granted to such executive officer. </t>
  </si>
  <si>
    <t xml:space="preserve">Item 9. Changes in and Disagreements with Accountants on Accounting and Financial Disclosure. </t>
  </si>
  <si>
    <t xml:space="preserve">None. </t>
  </si>
  <si>
    <t xml:space="preserve">Item 9A. Controls and Procedures. </t>
  </si>
  <si>
    <t xml:space="preserve">Evaluation of Disclosure Controls and Procedures </t>
  </si>
  <si>
    <t xml:space="preserve">The Company’s management, with the participation of the Company’s Chief Executive Officer and Chief Financial Officer, has evaluated the effectiveness of the Company’s disclosure controls and procedures (as defined in Rules 13a-15(e) and 15d-15(e) under the Securities Exchange Act of 1934, as amended (the “Exchange Act”)) as of the end of the period covered by this report. Based on such evaluation, the Company’s Chief Executive Officer and Chief Financial Officer have concluded that, as of the end of such period, the Company’s disclosure controls and procedures are effective in recording, processing, summarizing and reporting, on a timely basis, information required to be disclosed by the Company in the reports that it files or submits under the Exchange Act. </t>
  </si>
  <si>
    <t xml:space="preserve">Changes in Internal Control over Financial Reporting </t>
  </si>
  <si>
    <t xml:space="preserve">There have been no changes in the Company’s internal control over financial reporting (as defined in Rules 13a-15(f) and 15d-15(f) under the Exchange Act) during the most recent fiscal quarter that have materially affected, or are reasonably likely to materially affect, the Company’s internal control over financial reporting. </t>
  </si>
  <si>
    <t xml:space="preserve">Management’s Report on Internal Control over Financial Reporting </t>
  </si>
  <si>
    <r>
      <t xml:space="preserve">The Company’s management is responsible for establishing and maintaining adequate internal control over financial reporting as defined in Rules 13a-15(f) and 15d-15(f) under the Exchange Act. Under the supervision and with the participation of the Company’s management, including our principal executive officer and principal financial officer, the Company conducted an evaluation of the effectiveness of its internal control over financial reporting based on criteria established in the framework in </t>
    </r>
    <r>
      <rPr>
        <i/>
        <sz val="10"/>
        <color indexed="8"/>
        <rFont val="Times New Roman"/>
        <family val="1"/>
      </rPr>
      <t xml:space="preserve">Internal Control – Integrated Framework </t>
    </r>
    <r>
      <rPr>
        <sz val="10"/>
        <color indexed="8"/>
        <rFont val="Times New Roman"/>
        <family val="1"/>
      </rPr>
      <t xml:space="preserve">issued by the Committee of Sponsoring Organizations of the Treadway Commission. Based on this evaluation, the Company’s management concluded that its internal control over financial reporting was effective as of September 24, 2006. </t>
    </r>
  </si>
  <si>
    <t xml:space="preserve">The Company’s independent registered public accounting firm, Ernst &amp; Young LLP, audited management’s assessment of internal control over financial reporting and also independently assessed the effectiveness of our internal control over financial reporting. Ernst &amp; Young LLP has issued their attestation report which is included in Part II, Item 8 of this Report on Form 10-K. </t>
  </si>
  <si>
    <t xml:space="preserve">Item 9B. Other Information. </t>
  </si>
  <si>
    <t xml:space="preserve">Not applicable. </t>
  </si>
  <si>
    <t xml:space="preserve">PART III </t>
  </si>
  <si>
    <t xml:space="preserve">Item 10. Directors and Executive Officers of the Registrant. </t>
  </si>
  <si>
    <t xml:space="preserve">The information required by this item about our Company’s Executive Officers is included in Part I, “Item 1. Business” of this Report on Form 10-K under the caption “Executive Officers of the Registrant.” All other information required by this item is incorporated herein by reference from the registrant’s definitive Proxy Statement for the Annual Meeting of Shareholders to be held March 5, 2007 to be filed with the Commission pursuant to Regulation 14A. </t>
  </si>
  <si>
    <t xml:space="preserve">The Company has adopted a Code of Conduct and Ethics for Team Members and Directors pursuant to section 406 of the Sarbanes-Oxley Act. A copy of our Code of Conduct and Ethics is publicly available on our Company website at http://www.wholefoodsmarket.com/investor/corporategovernance/codeofconduct.pdf. The information contained on our Web site is not incorporated by reference into this Report on Form 10-K. </t>
  </si>
  <si>
    <t xml:space="preserve">Item 11. Executive Compensation. </t>
  </si>
  <si>
    <t xml:space="preserve">The information required by this item is incorporated herein by reference from the registrant’s definitive Proxy Statement for the Annual Meeting of Shareholders. </t>
  </si>
  <si>
    <t xml:space="preserve">Item 12. Security Ownership of Certain Beneficial Owners and Management. </t>
  </si>
  <si>
    <t xml:space="preserve">The information required by this item about our Company’s securities authorized for issuance under equity compensation plans as of September 24, 2006 is included in Part I, “Item 5. Market for Registrant’s Common Equity, Related Stockholder Matters and Issuer Purchases of Equity Securities” of this Report on Form 10-K. All other information required by this item is incorporated herein by reference from the registrant’s definitive Proxy Statement for the Annual Meeting of Shareholders. </t>
  </si>
  <si>
    <t xml:space="preserve">Item 13. Certain Relationships and Related Transactions. </t>
  </si>
  <si>
    <t xml:space="preserve">Item 14. Principal Accounting Fees and Services. </t>
  </si>
  <si>
    <t>Wholefoods Market</t>
  </si>
  <si>
    <t>True</t>
  </si>
  <si>
    <t>Income Statement ($000)</t>
  </si>
  <si>
    <t>PERIOD ENDING</t>
  </si>
  <si>
    <t>Selling General and Administrative</t>
  </si>
  <si>
    <t xml:space="preserve">Depreciation and Amortization </t>
  </si>
  <si>
    <t>Income from Continuing Operations</t>
  </si>
  <si>
    <t>Total Other Income/Expenses Net</t>
  </si>
  <si>
    <t>Earnings Before Interest And Taxes</t>
  </si>
  <si>
    <t>Income Before Tax</t>
  </si>
  <si>
    <t>Income Tax Expense</t>
  </si>
  <si>
    <t>Add To Retained Earnigs</t>
  </si>
  <si>
    <t>Liabilities</t>
  </si>
  <si>
    <t>Long Term Debt</t>
  </si>
  <si>
    <t xml:space="preserve">Stockholders' Equity </t>
  </si>
  <si>
    <t>Common stock and paid-in surplus</t>
  </si>
  <si>
    <t>Total Stockholder Equity</t>
  </si>
  <si>
    <t>Reduction in Retained Earnings</t>
  </si>
  <si>
    <t>Cannot be sold quickly without significant price reduction (machinery, building)</t>
  </si>
  <si>
    <r>
      <t xml:space="preserve">Too many liquid assets </t>
    </r>
    <r>
      <rPr>
        <b/>
        <i/>
        <sz val="11"/>
        <color indexed="8"/>
        <rFont val="Calibri"/>
        <family val="2"/>
      </rPr>
      <t>may</t>
    </r>
    <r>
      <rPr>
        <sz val="11"/>
        <color theme="1"/>
        <rFont val="Calibri"/>
        <family val="2"/>
        <scheme val="minor"/>
      </rPr>
      <t xml:space="preserve"> mean the firm is not investing in profitable assets such as machinery to make products or purchases of other businesses</t>
    </r>
  </si>
  <si>
    <t>Required under GAAP (Generally Accepted Accounting Principals). Some Financial Assets are recorded at market value.</t>
  </si>
  <si>
    <t>Year 3</t>
  </si>
  <si>
    <t>Year 4</t>
  </si>
  <si>
    <t>Year 5</t>
  </si>
  <si>
    <t>Revenue</t>
  </si>
  <si>
    <t>Non-Cash Depr Expense</t>
  </si>
  <si>
    <t>Other Expenses</t>
  </si>
  <si>
    <t>Why Debt Good = Saves cash</t>
  </si>
  <si>
    <t>Why Debt Bad = Too much and you may go bankrupt</t>
  </si>
  <si>
    <t>2006 analysis</t>
  </si>
  <si>
    <t>Owners Equity</t>
  </si>
  <si>
    <t>Your Name</t>
  </si>
  <si>
    <t>Your Company</t>
  </si>
  <si>
    <t>check:</t>
  </si>
  <si>
    <t>taxable earnings</t>
  </si>
  <si>
    <t>Rate</t>
  </si>
  <si>
    <t>Cumulative Amount Tax From Previous brackets</t>
  </si>
  <si>
    <t>Spilled:</t>
  </si>
  <si>
    <t>Simplified Earnings</t>
  </si>
  <si>
    <t>Assumptions (in millions):</t>
  </si>
  <si>
    <t>Dole Cola Inc.</t>
  </si>
  <si>
    <t>Year</t>
  </si>
  <si>
    <t>Interest Paid</t>
  </si>
  <si>
    <t>End Fixed Assets</t>
  </si>
  <si>
    <t>Beg Fixed Assets</t>
  </si>
  <si>
    <t>Beg CA</t>
  </si>
  <si>
    <t>Beg CL</t>
  </si>
  <si>
    <t>End CA</t>
  </si>
  <si>
    <t>End CL</t>
  </si>
  <si>
    <t>Income Statement (in mils.)</t>
  </si>
  <si>
    <t>Earnings Before Interest and Tax</t>
  </si>
  <si>
    <t>Addition to Retained Earnings</t>
  </si>
  <si>
    <t>Question 1</t>
  </si>
  <si>
    <t>Question 2</t>
  </si>
  <si>
    <t>Change in Fixed Assets =</t>
  </si>
  <si>
    <t>.</t>
  </si>
  <si>
    <t>Ending NWC</t>
  </si>
  <si>
    <t>Beginning NWC</t>
  </si>
  <si>
    <t>Gross Profit</t>
  </si>
  <si>
    <t>Because depreciation is a non cash expense and interest goes into a different calculation, it is cash to bondholders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</si>
</sst>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
    <numFmt numFmtId="167" formatCode="_(* #,##0.00000_);_(* \(#,##0.00000\);_(* &quot;-&quot;??_);_(@_)"/>
    <numFmt numFmtId="168" formatCode="mmm\ dd\,\ yyyy"/>
  </numFmts>
  <fonts count="38" x14ac:knownFonts="1">
    <font>
      <sz val="11"/>
      <color theme="1"/>
      <name val="Calibri"/>
      <family val="2"/>
      <scheme val="minor"/>
    </font>
    <font>
      <sz val="10"/>
      <name val="Arial"/>
      <family val="2"/>
    </font>
    <font>
      <sz val="10"/>
      <color indexed="9"/>
      <name val="Arial"/>
      <family val="2"/>
    </font>
    <font>
      <b/>
      <sz val="10"/>
      <name val="Arial"/>
      <family val="2"/>
    </font>
    <font>
      <b/>
      <sz val="8"/>
      <color indexed="81"/>
      <name val="Tahoma"/>
      <family val="2"/>
    </font>
    <font>
      <b/>
      <sz val="24"/>
      <name val="Arial"/>
      <family val="2"/>
    </font>
    <font>
      <b/>
      <sz val="10"/>
      <color indexed="81"/>
      <name val="Tahoma"/>
      <family val="2"/>
    </font>
    <font>
      <sz val="10"/>
      <color indexed="9"/>
      <name val="Arial"/>
      <family val="2"/>
    </font>
    <font>
      <sz val="10"/>
      <name val="Arial"/>
      <family val="2"/>
    </font>
    <font>
      <b/>
      <sz val="12"/>
      <name val="Arial"/>
      <family val="2"/>
    </font>
    <font>
      <b/>
      <sz val="12"/>
      <color indexed="9"/>
      <name val="Helv"/>
    </font>
    <font>
      <sz val="12"/>
      <color indexed="9"/>
      <name val="Arial"/>
      <family val="2"/>
    </font>
    <font>
      <b/>
      <sz val="9"/>
      <color indexed="9"/>
      <name val="Helv"/>
    </font>
    <font>
      <sz val="9"/>
      <color indexed="9"/>
      <name val="Arial"/>
      <family val="2"/>
    </font>
    <font>
      <b/>
      <sz val="8"/>
      <name val="Arial"/>
      <family val="2"/>
    </font>
    <font>
      <sz val="14"/>
      <name val="Arial"/>
      <family val="2"/>
    </font>
    <font>
      <i/>
      <sz val="10"/>
      <color indexed="8"/>
      <name val="Times New Roman"/>
      <family val="1"/>
    </font>
    <font>
      <sz val="10"/>
      <color indexed="8"/>
      <name val="Times New Roman"/>
      <family val="1"/>
    </font>
    <font>
      <b/>
      <i/>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0"/>
      <name val="Arial"/>
      <family val="2"/>
    </font>
    <font>
      <sz val="11"/>
      <name val="Calibri"/>
      <family val="2"/>
      <scheme val="minor"/>
    </font>
    <font>
      <sz val="22"/>
      <color theme="0"/>
      <name val="Calibri"/>
      <family val="2"/>
      <scheme val="minor"/>
    </font>
    <font>
      <b/>
      <sz val="10"/>
      <color rgb="FF000000"/>
      <name val="Times New Roman"/>
      <family val="1"/>
    </font>
    <font>
      <sz val="10"/>
      <color rgb="FF000000"/>
      <name val="Times New Roman"/>
      <family val="1"/>
    </font>
    <font>
      <sz val="9"/>
      <color rgb="FF000000"/>
      <name val="Calibri"/>
      <family val="2"/>
      <scheme val="minor"/>
    </font>
    <font>
      <sz val="11"/>
      <color rgb="FF000000"/>
      <name val="Calibri"/>
      <family val="2"/>
      <scheme val="minor"/>
    </font>
    <font>
      <sz val="7.5"/>
      <color rgb="FF000000"/>
      <name val="Calibri"/>
      <family val="2"/>
      <scheme val="minor"/>
    </font>
    <font>
      <sz val="1"/>
      <color rgb="FF000000"/>
      <name val="Calibri"/>
      <family val="2"/>
      <scheme val="minor"/>
    </font>
    <font>
      <i/>
      <sz val="10"/>
      <color rgb="FF000000"/>
      <name val="Times New Roman"/>
      <family val="1"/>
    </font>
    <font>
      <b/>
      <sz val="7.5"/>
      <color rgb="FF000000"/>
      <name val="Times New Roman"/>
      <family val="1"/>
    </font>
    <font>
      <sz val="14"/>
      <color rgb="FF000000"/>
      <name val="Calibri"/>
      <family val="2"/>
      <scheme val="minor"/>
    </font>
    <font>
      <sz val="16"/>
      <color theme="0"/>
      <name val="Calibri"/>
      <family val="2"/>
      <scheme val="minor"/>
    </font>
    <font>
      <b/>
      <sz val="14"/>
      <color theme="0"/>
      <name val="Arial"/>
      <family val="2"/>
    </font>
    <font>
      <sz val="14"/>
      <color theme="0"/>
      <name val="Arial"/>
      <family val="2"/>
    </font>
    <font>
      <b/>
      <sz val="10"/>
      <color indexed="9"/>
      <name val="Arial"/>
      <family val="2"/>
    </font>
  </fonts>
  <fills count="31">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12"/>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indexed="41"/>
        <bgColor indexed="64"/>
      </patternFill>
    </fill>
    <fill>
      <patternFill patternType="solid">
        <fgColor indexed="49"/>
        <bgColor indexed="64"/>
      </patternFill>
    </fill>
    <fill>
      <patternFill patternType="solid">
        <fgColor indexed="46"/>
        <bgColor indexed="64"/>
      </patternFill>
    </fill>
    <fill>
      <patternFill patternType="solid">
        <fgColor indexed="40"/>
        <bgColor indexed="64"/>
      </patternFill>
    </fill>
    <fill>
      <patternFill patternType="solid">
        <fgColor rgb="FFFFFF00"/>
        <bgColor indexed="64"/>
      </patternFill>
    </fill>
    <fill>
      <patternFill patternType="solid">
        <fgColor rgb="FFCC0066"/>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9900"/>
        <bgColor indexed="64"/>
      </patternFill>
    </fill>
    <fill>
      <patternFill patternType="solid">
        <fgColor rgb="FFCCFFCC"/>
        <bgColor indexed="64"/>
      </patternFill>
    </fill>
    <fill>
      <patternFill patternType="solid">
        <fgColor theme="1"/>
        <bgColor indexed="64"/>
      </patternFill>
    </fill>
    <fill>
      <patternFill patternType="solid">
        <fgColor rgb="FF0000FF"/>
        <bgColor indexed="64"/>
      </patternFill>
    </fill>
    <fill>
      <patternFill patternType="solid">
        <fgColor rgb="FFCCEEFF"/>
        <bgColor indexed="64"/>
      </patternFill>
    </fill>
    <fill>
      <patternFill patternType="solid">
        <fgColor rgb="FFCCFFFF"/>
        <bgColor rgb="FF000000"/>
      </patternFill>
    </fill>
    <fill>
      <patternFill patternType="solid">
        <fgColor rgb="FFFF0000"/>
        <bgColor rgb="FF000000"/>
      </patternFill>
    </fill>
    <fill>
      <patternFill patternType="solid">
        <fgColor rgb="FF00FF00"/>
        <bgColor rgb="FF000000"/>
      </patternFill>
    </fill>
    <fill>
      <patternFill patternType="solid">
        <fgColor rgb="FFFFFF00"/>
        <bgColor rgb="FF000000"/>
      </patternFill>
    </fill>
    <fill>
      <patternFill patternType="solid">
        <fgColor rgb="FFCC99FF"/>
        <bgColor rgb="FF000000"/>
      </patternFill>
    </fill>
    <fill>
      <patternFill patternType="solid">
        <fgColor rgb="FF00CCFF"/>
        <bgColor rgb="FF000000"/>
      </patternFill>
    </fill>
    <fill>
      <patternFill patternType="solid">
        <fgColor rgb="FF002060"/>
        <bgColor indexed="64"/>
      </patternFill>
    </fill>
    <fill>
      <patternFill patternType="solid">
        <fgColor rgb="FF0070C0"/>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indexed="1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18">
    <xf numFmtId="0" fontId="0" fillId="0" borderId="0"/>
    <xf numFmtId="0" fontId="1" fillId="2" borderId="1">
      <alignment horizontal="centerContinuous" wrapText="1"/>
    </xf>
    <xf numFmtId="0" fontId="1" fillId="0" borderId="1">
      <alignment horizontal="centerContinuous"/>
    </xf>
    <xf numFmtId="43" fontId="19"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19"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8" fillId="0" borderId="0"/>
    <xf numFmtId="9" fontId="1" fillId="0" borderId="0" applyFont="0" applyFill="0" applyBorder="0" applyAlignment="0" applyProtection="0"/>
    <xf numFmtId="10" fontId="1" fillId="0" borderId="0"/>
    <xf numFmtId="0" fontId="19" fillId="12" borderId="1"/>
    <xf numFmtId="0" fontId="2" fillId="4" borderId="1">
      <alignment horizontal="centerContinuous" wrapText="1"/>
    </xf>
    <xf numFmtId="0" fontId="7" fillId="4" borderId="1">
      <alignment horizontal="centerContinuous" wrapText="1"/>
    </xf>
    <xf numFmtId="0" fontId="1" fillId="0" borderId="0">
      <alignment wrapText="1"/>
    </xf>
    <xf numFmtId="0" fontId="8" fillId="0" borderId="0">
      <alignment wrapText="1"/>
    </xf>
    <xf numFmtId="0" fontId="1" fillId="12" borderId="1">
      <alignment horizontal="centerContinuous" wrapText="1"/>
    </xf>
  </cellStyleXfs>
  <cellXfs count="331">
    <xf numFmtId="0" fontId="0" fillId="0" borderId="0" xfId="0"/>
    <xf numFmtId="0" fontId="22" fillId="13" borderId="1" xfId="0" applyFont="1" applyFill="1" applyBorder="1"/>
    <xf numFmtId="0" fontId="1" fillId="14" borderId="1" xfId="0" applyFont="1" applyFill="1" applyBorder="1"/>
    <xf numFmtId="0" fontId="0" fillId="15" borderId="1" xfId="0" applyFill="1" applyBorder="1"/>
    <xf numFmtId="0" fontId="0" fillId="12" borderId="1" xfId="0" applyFill="1" applyBorder="1"/>
    <xf numFmtId="0" fontId="0" fillId="16" borderId="1" xfId="0" applyFill="1" applyBorder="1"/>
    <xf numFmtId="0" fontId="1" fillId="14" borderId="1" xfId="0" applyFont="1" applyFill="1" applyBorder="1" applyAlignment="1">
      <alignment horizontal="left" indent="1"/>
    </xf>
    <xf numFmtId="0" fontId="0" fillId="17" borderId="1" xfId="0" applyFill="1" applyBorder="1" applyAlignment="1">
      <alignment horizontal="left" indent="1"/>
    </xf>
    <xf numFmtId="0" fontId="22" fillId="13" borderId="1" xfId="0" applyFont="1" applyFill="1" applyBorder="1" applyAlignment="1">
      <alignment horizontal="left" indent="1"/>
    </xf>
    <xf numFmtId="0" fontId="2" fillId="2" borderId="1" xfId="13" applyFill="1">
      <alignment horizontal="centerContinuous" wrapText="1"/>
    </xf>
    <xf numFmtId="0" fontId="1" fillId="0" borderId="0" xfId="8"/>
    <xf numFmtId="0" fontId="1" fillId="0" borderId="1" xfId="8" applyBorder="1"/>
    <xf numFmtId="14" fontId="1" fillId="0" borderId="1" xfId="8" applyNumberFormat="1" applyBorder="1"/>
    <xf numFmtId="165" fontId="19" fillId="0" borderId="1" xfId="4" applyNumberFormat="1" applyFont="1" applyBorder="1"/>
    <xf numFmtId="0" fontId="2" fillId="4" borderId="1" xfId="13">
      <alignment horizontal="centerContinuous" wrapText="1"/>
    </xf>
    <xf numFmtId="0" fontId="3" fillId="0" borderId="0" xfId="8" applyFont="1" applyAlignment="1">
      <alignment horizontal="centerContinuous"/>
    </xf>
    <xf numFmtId="0" fontId="1" fillId="0" borderId="0" xfId="8" applyAlignment="1">
      <alignment horizontal="centerContinuous"/>
    </xf>
    <xf numFmtId="0" fontId="3" fillId="0" borderId="0" xfId="8" applyFont="1"/>
    <xf numFmtId="164" fontId="1" fillId="0" borderId="0" xfId="8" applyNumberFormat="1"/>
    <xf numFmtId="0" fontId="1" fillId="0" borderId="0" xfId="8" applyAlignment="1">
      <alignment horizontal="left" indent="1"/>
    </xf>
    <xf numFmtId="6" fontId="1" fillId="0" borderId="0" xfId="8" applyNumberFormat="1"/>
    <xf numFmtId="38" fontId="1" fillId="0" borderId="0" xfId="8" applyNumberFormat="1"/>
    <xf numFmtId="3" fontId="1" fillId="0" borderId="0" xfId="8" applyNumberFormat="1"/>
    <xf numFmtId="0" fontId="1" fillId="0" borderId="2" xfId="8" applyBorder="1"/>
    <xf numFmtId="0" fontId="1" fillId="0" borderId="0" xfId="8" applyAlignment="1">
      <alignment horizontal="left" indent="2"/>
    </xf>
    <xf numFmtId="164" fontId="1" fillId="0" borderId="3" xfId="8" applyNumberFormat="1" applyBorder="1"/>
    <xf numFmtId="164" fontId="1" fillId="0" borderId="4" xfId="8" applyNumberFormat="1" applyBorder="1"/>
    <xf numFmtId="164" fontId="1" fillId="0" borderId="5" xfId="8" applyNumberFormat="1" applyBorder="1"/>
    <xf numFmtId="0" fontId="1" fillId="6" borderId="1" xfId="8" applyFill="1" applyBorder="1" applyAlignment="1">
      <alignment horizontal="center" vertical="center"/>
    </xf>
    <xf numFmtId="0" fontId="1" fillId="7" borderId="6" xfId="8" applyFill="1" applyBorder="1" applyAlignment="1">
      <alignment horizontal="center" vertical="center"/>
    </xf>
    <xf numFmtId="0" fontId="1" fillId="0" borderId="7" xfId="8" applyBorder="1"/>
    <xf numFmtId="0" fontId="1" fillId="0" borderId="8" xfId="8" applyBorder="1"/>
    <xf numFmtId="0" fontId="1" fillId="0" borderId="0" xfId="8" applyAlignment="1">
      <alignment horizontal="center" vertical="center"/>
    </xf>
    <xf numFmtId="0" fontId="1" fillId="7" borderId="9" xfId="8" applyFill="1" applyBorder="1" applyAlignment="1">
      <alignment horizontal="center" vertical="center" wrapText="1"/>
    </xf>
    <xf numFmtId="0" fontId="1" fillId="7" borderId="10" xfId="8" applyFill="1" applyBorder="1" applyAlignment="1">
      <alignment horizontal="center" vertical="top"/>
    </xf>
    <xf numFmtId="0" fontId="1" fillId="8" borderId="1" xfId="8" applyFill="1" applyBorder="1" applyAlignment="1">
      <alignment horizontal="center" wrapText="1"/>
    </xf>
    <xf numFmtId="0" fontId="1" fillId="0" borderId="11" xfId="8" applyBorder="1" applyAlignment="1">
      <alignment horizontal="center"/>
    </xf>
    <xf numFmtId="0" fontId="1" fillId="2" borderId="1" xfId="8" applyFill="1" applyBorder="1" applyAlignment="1">
      <alignment horizontal="center"/>
    </xf>
    <xf numFmtId="0" fontId="1" fillId="6" borderId="1" xfId="8" applyFill="1" applyBorder="1" applyAlignment="1">
      <alignment horizontal="center" wrapText="1"/>
    </xf>
    <xf numFmtId="0" fontId="1" fillId="0" borderId="0" xfId="8" applyAlignment="1">
      <alignment horizontal="center" vertical="center" wrapText="1"/>
    </xf>
    <xf numFmtId="0" fontId="1" fillId="0" borderId="2" xfId="8" applyBorder="1" applyAlignment="1">
      <alignment horizontal="centerContinuous" vertical="center" wrapText="1"/>
    </xf>
    <xf numFmtId="0" fontId="1" fillId="0" borderId="2" xfId="8" applyBorder="1" applyAlignment="1">
      <alignment horizontal="centerContinuous" vertical="center"/>
    </xf>
    <xf numFmtId="0" fontId="1" fillId="0" borderId="1" xfId="8" applyBorder="1" applyAlignment="1">
      <alignment wrapText="1"/>
    </xf>
    <xf numFmtId="0" fontId="5" fillId="12" borderId="1" xfId="8" applyFont="1" applyFill="1" applyBorder="1" applyAlignment="1">
      <alignment horizontal="centerContinuous" wrapText="1"/>
    </xf>
    <xf numFmtId="38" fontId="1" fillId="0" borderId="2" xfId="8" applyNumberFormat="1" applyBorder="1"/>
    <xf numFmtId="0" fontId="0" fillId="0" borderId="0" xfId="0" applyAlignment="1">
      <alignment wrapText="1"/>
    </xf>
    <xf numFmtId="0" fontId="0" fillId="18" borderId="1" xfId="0" applyFill="1" applyBorder="1"/>
    <xf numFmtId="0" fontId="1" fillId="2" borderId="0" xfId="8" applyFill="1" applyAlignment="1">
      <alignment horizontal="centerContinuous"/>
    </xf>
    <xf numFmtId="6" fontId="1" fillId="0" borderId="1" xfId="8" applyNumberFormat="1" applyBorder="1"/>
    <xf numFmtId="6" fontId="1" fillId="0" borderId="5" xfId="8" applyNumberFormat="1" applyBorder="1"/>
    <xf numFmtId="0" fontId="1" fillId="0" borderId="12" xfId="8" applyBorder="1"/>
    <xf numFmtId="6" fontId="1" fillId="18" borderId="5" xfId="8" applyNumberFormat="1" applyFill="1" applyBorder="1"/>
    <xf numFmtId="6" fontId="1" fillId="18" borderId="0" xfId="8" applyNumberFormat="1" applyFill="1"/>
    <xf numFmtId="6" fontId="1" fillId="18" borderId="1" xfId="8" applyNumberFormat="1" applyFill="1" applyBorder="1"/>
    <xf numFmtId="0" fontId="0" fillId="16" borderId="1" xfId="0" applyFill="1" applyBorder="1" applyAlignment="1">
      <alignment horizontal="left" indent="1"/>
    </xf>
    <xf numFmtId="0" fontId="1" fillId="15" borderId="1" xfId="0" applyFont="1" applyFill="1" applyBorder="1"/>
    <xf numFmtId="0" fontId="23" fillId="15" borderId="1" xfId="0" applyFont="1" applyFill="1" applyBorder="1"/>
    <xf numFmtId="0" fontId="1" fillId="16" borderId="1" xfId="0" applyFont="1" applyFill="1" applyBorder="1" applyAlignment="1">
      <alignment horizontal="left" indent="1"/>
    </xf>
    <xf numFmtId="0" fontId="23" fillId="16" borderId="1" xfId="0" applyFont="1" applyFill="1" applyBorder="1" applyAlignment="1">
      <alignment horizontal="left" indent="1"/>
    </xf>
    <xf numFmtId="0" fontId="24" fillId="19" borderId="0" xfId="0" applyFont="1" applyFill="1" applyAlignment="1">
      <alignment wrapText="1"/>
    </xf>
    <xf numFmtId="0" fontId="0" fillId="15" borderId="1" xfId="0" applyFill="1" applyBorder="1" applyAlignment="1">
      <alignment wrapText="1"/>
    </xf>
    <xf numFmtId="0" fontId="0" fillId="16" borderId="1" xfId="0" applyFill="1" applyBorder="1" applyAlignment="1">
      <alignment horizontal="left" wrapText="1" indent="1"/>
    </xf>
    <xf numFmtId="0" fontId="0" fillId="0" borderId="1" xfId="0" applyBorder="1" applyAlignment="1">
      <alignment horizontal="left" indent="2"/>
    </xf>
    <xf numFmtId="0" fontId="0" fillId="0" borderId="0" xfId="0" applyAlignment="1">
      <alignment horizontal="left"/>
    </xf>
    <xf numFmtId="166" fontId="1" fillId="0" borderId="1" xfId="8" applyNumberFormat="1" applyBorder="1"/>
    <xf numFmtId="40" fontId="1" fillId="0" borderId="0" xfId="8" applyNumberFormat="1"/>
    <xf numFmtId="0" fontId="2" fillId="4" borderId="13" xfId="13" applyBorder="1">
      <alignment horizontal="centerContinuous" wrapText="1"/>
    </xf>
    <xf numFmtId="0" fontId="1" fillId="0" borderId="1" xfId="2">
      <alignment horizontal="centerContinuous"/>
    </xf>
    <xf numFmtId="0" fontId="1" fillId="0" borderId="0" xfId="2" applyBorder="1">
      <alignment horizontal="centerContinuous"/>
    </xf>
    <xf numFmtId="164" fontId="1" fillId="18" borderId="1" xfId="8" applyNumberFormat="1" applyFill="1" applyBorder="1"/>
    <xf numFmtId="0" fontId="1" fillId="0" borderId="0" xfId="8" applyAlignment="1">
      <alignment wrapText="1"/>
    </xf>
    <xf numFmtId="0" fontId="7" fillId="4" borderId="1" xfId="14">
      <alignment horizontal="centerContinuous" wrapText="1"/>
    </xf>
    <xf numFmtId="0" fontId="8" fillId="0" borderId="0" xfId="9"/>
    <xf numFmtId="6" fontId="8" fillId="0" borderId="0" xfId="9" applyNumberFormat="1"/>
    <xf numFmtId="0" fontId="8" fillId="0" borderId="2" xfId="9" applyBorder="1"/>
    <xf numFmtId="38" fontId="8" fillId="0" borderId="0" xfId="9" applyNumberFormat="1"/>
    <xf numFmtId="6" fontId="8" fillId="0" borderId="5" xfId="9" applyNumberFormat="1" applyBorder="1"/>
    <xf numFmtId="0" fontId="8" fillId="0" borderId="12" xfId="9" applyBorder="1"/>
    <xf numFmtId="8" fontId="8" fillId="0" borderId="0" xfId="9" applyNumberFormat="1"/>
    <xf numFmtId="165" fontId="19" fillId="0" borderId="0" xfId="5" applyNumberFormat="1" applyFont="1"/>
    <xf numFmtId="0" fontId="8" fillId="0" borderId="0" xfId="16">
      <alignment wrapText="1"/>
    </xf>
    <xf numFmtId="8" fontId="8" fillId="18" borderId="1" xfId="9" applyNumberFormat="1" applyFill="1" applyBorder="1"/>
    <xf numFmtId="0" fontId="1" fillId="12" borderId="1" xfId="0" applyFont="1" applyFill="1" applyBorder="1" applyAlignment="1">
      <alignment horizontal="centerContinuous" wrapText="1"/>
    </xf>
    <xf numFmtId="0" fontId="0" fillId="12" borderId="1" xfId="0" applyFill="1" applyBorder="1" applyAlignment="1">
      <alignment horizontal="centerContinuous" wrapText="1"/>
    </xf>
    <xf numFmtId="44" fontId="19" fillId="18" borderId="1" xfId="6" applyFont="1" applyFill="1" applyBorder="1"/>
    <xf numFmtId="0" fontId="0" fillId="0" borderId="1" xfId="0" applyBorder="1"/>
    <xf numFmtId="44" fontId="19" fillId="0" borderId="1" xfId="6" applyFont="1" applyBorder="1"/>
    <xf numFmtId="0" fontId="19" fillId="0" borderId="1" xfId="3" applyNumberFormat="1" applyFont="1" applyBorder="1"/>
    <xf numFmtId="0" fontId="1" fillId="12" borderId="1" xfId="2" applyFill="1" applyAlignment="1">
      <alignment horizontal="centerContinuous" wrapText="1"/>
    </xf>
    <xf numFmtId="0" fontId="1" fillId="12" borderId="1" xfId="17">
      <alignment horizontal="centerContinuous" wrapText="1"/>
    </xf>
    <xf numFmtId="0" fontId="9" fillId="12" borderId="1" xfId="17" applyFont="1">
      <alignment horizontal="centerContinuous" wrapText="1"/>
    </xf>
    <xf numFmtId="0" fontId="10" fillId="4" borderId="1" xfId="8" applyFont="1" applyFill="1" applyBorder="1" applyAlignment="1">
      <alignment horizontal="centerContinuous"/>
    </xf>
    <xf numFmtId="0" fontId="11" fillId="4" borderId="1" xfId="8" applyFont="1" applyFill="1" applyBorder="1" applyAlignment="1">
      <alignment horizontal="centerContinuous"/>
    </xf>
    <xf numFmtId="0" fontId="12" fillId="4" borderId="1" xfId="8" applyFont="1" applyFill="1" applyBorder="1" applyAlignment="1">
      <alignment horizontal="centerContinuous"/>
    </xf>
    <xf numFmtId="0" fontId="13" fillId="4" borderId="1" xfId="8" applyFont="1" applyFill="1" applyBorder="1" applyAlignment="1">
      <alignment horizontal="centerContinuous"/>
    </xf>
    <xf numFmtId="0" fontId="14" fillId="0" borderId="1" xfId="8" applyFont="1" applyBorder="1" applyAlignment="1">
      <alignment horizontal="right" vertical="top" wrapText="1" indent="1"/>
    </xf>
    <xf numFmtId="6" fontId="1" fillId="0" borderId="1" xfId="8" applyNumberFormat="1" applyBorder="1" applyAlignment="1">
      <alignment horizontal="center" vertical="top" wrapText="1"/>
    </xf>
    <xf numFmtId="9" fontId="1" fillId="0" borderId="1" xfId="8" applyNumberFormat="1" applyBorder="1" applyAlignment="1">
      <alignment horizontal="center" vertical="top" wrapText="1"/>
    </xf>
    <xf numFmtId="10" fontId="1" fillId="0" borderId="1" xfId="10" applyNumberFormat="1" applyFont="1" applyBorder="1" applyAlignment="1">
      <alignment horizontal="center"/>
    </xf>
    <xf numFmtId="0" fontId="1" fillId="0" borderId="1" xfId="8" applyBorder="1" applyAlignment="1">
      <alignment horizontal="center" vertical="top" wrapText="1"/>
    </xf>
    <xf numFmtId="3" fontId="1" fillId="0" borderId="1" xfId="8" applyNumberFormat="1" applyBorder="1" applyAlignment="1">
      <alignment horizontal="center" vertical="top" wrapText="1"/>
    </xf>
    <xf numFmtId="0" fontId="1" fillId="0" borderId="1" xfId="8" applyBorder="1" applyAlignment="1">
      <alignment horizontal="centerContinuous" wrapText="1"/>
    </xf>
    <xf numFmtId="0" fontId="15" fillId="0" borderId="1" xfId="8" applyFont="1" applyBorder="1"/>
    <xf numFmtId="0" fontId="15" fillId="0" borderId="14" xfId="8" applyFont="1" applyBorder="1"/>
    <xf numFmtId="10" fontId="0" fillId="0" borderId="1" xfId="0" applyNumberFormat="1" applyBorder="1"/>
    <xf numFmtId="165" fontId="19" fillId="0" borderId="1" xfId="3" applyNumberFormat="1" applyFont="1" applyBorder="1"/>
    <xf numFmtId="40" fontId="15" fillId="0" borderId="1" xfId="4" applyNumberFormat="1" applyFont="1" applyBorder="1"/>
    <xf numFmtId="43" fontId="1" fillId="0" borderId="0" xfId="3" applyFont="1"/>
    <xf numFmtId="43" fontId="15" fillId="18" borderId="1" xfId="3" applyFont="1" applyFill="1" applyBorder="1"/>
    <xf numFmtId="167" fontId="15" fillId="18" borderId="1" xfId="8" applyNumberFormat="1" applyFont="1" applyFill="1" applyBorder="1"/>
    <xf numFmtId="0" fontId="1" fillId="7" borderId="1" xfId="15" applyFill="1" applyBorder="1" applyAlignment="1">
      <alignment horizontal="center" vertical="center" wrapText="1"/>
    </xf>
    <xf numFmtId="0" fontId="1" fillId="5" borderId="1" xfId="15" applyFill="1" applyBorder="1" applyAlignment="1">
      <alignment horizontal="center" vertical="center" wrapText="1"/>
    </xf>
    <xf numFmtId="0" fontId="1" fillId="6" borderId="1" xfId="15" applyFill="1" applyBorder="1" applyAlignment="1">
      <alignment horizontal="center" vertical="center" wrapText="1"/>
    </xf>
    <xf numFmtId="0" fontId="1" fillId="0" borderId="0" xfId="8" applyAlignment="1">
      <alignment horizontal="center"/>
    </xf>
    <xf numFmtId="0" fontId="1" fillId="3" borderId="1" xfId="15" applyFill="1" applyBorder="1" applyAlignment="1">
      <alignment horizontal="center" vertical="center" wrapText="1"/>
    </xf>
    <xf numFmtId="0" fontId="1" fillId="0" borderId="0" xfId="15" applyAlignment="1">
      <alignment horizontal="center" vertical="center" wrapText="1"/>
    </xf>
    <xf numFmtId="0" fontId="1" fillId="2" borderId="1" xfId="15" applyFill="1" applyBorder="1" applyAlignment="1">
      <alignment horizontal="center" vertical="center" wrapText="1"/>
    </xf>
    <xf numFmtId="0" fontId="1" fillId="9" borderId="1" xfId="15" applyFill="1" applyBorder="1" applyAlignment="1">
      <alignment horizontal="center" vertical="center" wrapText="1"/>
    </xf>
    <xf numFmtId="0" fontId="1" fillId="0" borderId="1" xfId="15" applyBorder="1" applyAlignment="1">
      <alignment horizontal="center" vertical="center" wrapText="1"/>
    </xf>
    <xf numFmtId="0" fontId="1" fillId="0" borderId="1" xfId="8" applyBorder="1" applyAlignment="1">
      <alignment horizontal="center" vertical="center" wrapText="1"/>
    </xf>
    <xf numFmtId="9" fontId="1" fillId="0" borderId="1" xfId="8" applyNumberFormat="1" applyBorder="1"/>
    <xf numFmtId="8" fontId="1" fillId="0" borderId="0" xfId="8" applyNumberFormat="1"/>
    <xf numFmtId="40" fontId="1" fillId="0" borderId="1" xfId="8" applyNumberFormat="1" applyBorder="1" applyAlignment="1">
      <alignment horizontal="center"/>
    </xf>
    <xf numFmtId="0" fontId="1" fillId="2" borderId="9" xfId="13" applyFont="1" applyFill="1" applyBorder="1">
      <alignment horizontal="centerContinuous" wrapText="1"/>
    </xf>
    <xf numFmtId="0" fontId="1" fillId="2" borderId="1" xfId="13" applyFont="1" applyFill="1">
      <alignment horizontal="centerContinuous" wrapText="1"/>
    </xf>
    <xf numFmtId="0" fontId="1" fillId="8" borderId="1" xfId="8" applyFill="1" applyBorder="1"/>
    <xf numFmtId="40" fontId="1" fillId="0" borderId="0" xfId="8" applyNumberFormat="1" applyAlignment="1">
      <alignment horizontal="center"/>
    </xf>
    <xf numFmtId="8" fontId="1" fillId="0" borderId="0" xfId="8" applyNumberFormat="1" applyAlignment="1">
      <alignment horizontal="center"/>
    </xf>
    <xf numFmtId="8" fontId="1" fillId="0" borderId="12" xfId="8" applyNumberFormat="1" applyBorder="1"/>
    <xf numFmtId="0" fontId="1" fillId="8" borderId="1" xfId="8" applyFill="1" applyBorder="1" applyAlignment="1">
      <alignment horizontal="center"/>
    </xf>
    <xf numFmtId="0" fontId="1" fillId="6" borderId="1" xfId="8" applyFill="1" applyBorder="1" applyAlignment="1">
      <alignment horizontal="center"/>
    </xf>
    <xf numFmtId="0" fontId="1" fillId="0" borderId="0" xfId="8" applyAlignment="1">
      <alignment horizontal="left"/>
    </xf>
    <xf numFmtId="0" fontId="1" fillId="3" borderId="1" xfId="8" applyFill="1" applyBorder="1" applyAlignment="1">
      <alignment horizontal="center"/>
    </xf>
    <xf numFmtId="0" fontId="1" fillId="10" borderId="1" xfId="8" applyFill="1" applyBorder="1" applyAlignment="1">
      <alignment horizontal="center"/>
    </xf>
    <xf numFmtId="0" fontId="1" fillId="11" borderId="1" xfId="8" applyFill="1" applyBorder="1" applyAlignment="1">
      <alignment horizontal="center"/>
    </xf>
    <xf numFmtId="40" fontId="1" fillId="3" borderId="1" xfId="8" applyNumberFormat="1" applyFill="1" applyBorder="1" applyAlignment="1">
      <alignment horizontal="center"/>
    </xf>
    <xf numFmtId="0" fontId="1" fillId="0" borderId="1" xfId="8" applyBorder="1" applyAlignment="1">
      <alignment horizontal="center"/>
    </xf>
    <xf numFmtId="40" fontId="1" fillId="0" borderId="1" xfId="8" applyNumberFormat="1" applyBorder="1"/>
    <xf numFmtId="0" fontId="3" fillId="0" borderId="0" xfId="8" applyFont="1" applyAlignment="1">
      <alignment horizontal="centerContinuous" wrapText="1"/>
    </xf>
    <xf numFmtId="44" fontId="1" fillId="0" borderId="0" xfId="6" applyFont="1"/>
    <xf numFmtId="43" fontId="1" fillId="0" borderId="15" xfId="3" applyFont="1" applyBorder="1"/>
    <xf numFmtId="43" fontId="1" fillId="0" borderId="0" xfId="3" applyFont="1" applyBorder="1"/>
    <xf numFmtId="44" fontId="1" fillId="0" borderId="16" xfId="6" applyFont="1" applyBorder="1"/>
    <xf numFmtId="0" fontId="1" fillId="0" borderId="1" xfId="8" applyBorder="1" applyAlignment="1">
      <alignment horizontal="left"/>
    </xf>
    <xf numFmtId="0" fontId="22" fillId="20" borderId="1" xfId="8" applyFont="1" applyFill="1" applyBorder="1" applyAlignment="1">
      <alignment horizontal="centerContinuous"/>
    </xf>
    <xf numFmtId="0" fontId="0" fillId="0" borderId="1" xfId="0" applyBorder="1" applyAlignment="1">
      <alignment wrapText="1"/>
    </xf>
    <xf numFmtId="0" fontId="20" fillId="19" borderId="1" xfId="0" applyFont="1" applyFill="1" applyBorder="1" applyAlignment="1">
      <alignment horizontal="centerContinuous" wrapText="1"/>
    </xf>
    <xf numFmtId="44" fontId="0" fillId="0" borderId="1" xfId="0" applyNumberFormat="1" applyBorder="1"/>
    <xf numFmtId="43" fontId="19" fillId="0" borderId="1" xfId="3" applyFont="1" applyBorder="1"/>
    <xf numFmtId="43" fontId="19" fillId="0" borderId="9" xfId="3" applyFont="1" applyBorder="1"/>
    <xf numFmtId="43" fontId="19" fillId="0" borderId="17" xfId="3" applyFont="1" applyBorder="1"/>
    <xf numFmtId="44" fontId="23" fillId="18" borderId="1" xfId="0" applyNumberFormat="1" applyFont="1" applyFill="1" applyBorder="1"/>
    <xf numFmtId="43" fontId="19" fillId="0" borderId="18" xfId="3" applyFont="1" applyBorder="1"/>
    <xf numFmtId="44" fontId="19" fillId="0" borderId="19" xfId="6" applyFont="1" applyBorder="1"/>
    <xf numFmtId="0" fontId="21" fillId="0" borderId="0" xfId="7" applyAlignment="1" applyProtection="1"/>
    <xf numFmtId="0" fontId="25" fillId="0" borderId="0" xfId="0" applyFont="1"/>
    <xf numFmtId="0" fontId="26" fillId="0" borderId="0" xfId="0" applyFont="1"/>
    <xf numFmtId="0" fontId="27" fillId="0" borderId="0" xfId="0" applyFont="1"/>
    <xf numFmtId="0" fontId="28" fillId="0" borderId="0" xfId="0" applyFont="1" applyAlignment="1">
      <alignment wrapText="1"/>
    </xf>
    <xf numFmtId="0" fontId="29" fillId="0" borderId="0" xfId="0" applyFont="1" applyAlignment="1">
      <alignment wrapText="1"/>
    </xf>
    <xf numFmtId="0" fontId="25" fillId="21" borderId="0" xfId="0" applyFont="1" applyFill="1" applyAlignment="1">
      <alignment horizontal="left" vertical="top" wrapText="1" indent="1"/>
    </xf>
    <xf numFmtId="0" fontId="29" fillId="21" borderId="0" xfId="0" applyFont="1" applyFill="1" applyAlignment="1">
      <alignment wrapText="1"/>
    </xf>
    <xf numFmtId="0" fontId="28" fillId="21" borderId="0" xfId="0" applyFont="1" applyFill="1" applyAlignment="1">
      <alignment wrapText="1"/>
    </xf>
    <xf numFmtId="0" fontId="26" fillId="0" borderId="0" xfId="0" applyFont="1" applyAlignment="1">
      <alignment horizontal="left" vertical="top" wrapText="1" indent="1"/>
    </xf>
    <xf numFmtId="0" fontId="26" fillId="21" borderId="0" xfId="0" applyFont="1" applyFill="1" applyAlignment="1">
      <alignment horizontal="left" vertical="top" wrapText="1" indent="1"/>
    </xf>
    <xf numFmtId="0" fontId="26" fillId="21" borderId="0" xfId="0" applyFont="1" applyFill="1" applyAlignment="1">
      <alignment wrapText="1"/>
    </xf>
    <xf numFmtId="3" fontId="26" fillId="21" borderId="0" xfId="0" applyNumberFormat="1" applyFont="1" applyFill="1" applyAlignment="1">
      <alignment horizontal="right" wrapText="1"/>
    </xf>
    <xf numFmtId="0" fontId="26" fillId="21" borderId="0" xfId="0" applyFont="1" applyFill="1"/>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applyAlignment="1">
      <alignment horizontal="right" wrapText="1"/>
    </xf>
    <xf numFmtId="0" fontId="30" fillId="0" borderId="0" xfId="0" applyFont="1" applyAlignment="1">
      <alignment wrapText="1"/>
    </xf>
    <xf numFmtId="0" fontId="30" fillId="0" borderId="25" xfId="0" applyFont="1" applyBorder="1" applyAlignment="1">
      <alignment wrapText="1"/>
    </xf>
    <xf numFmtId="0" fontId="26" fillId="0" borderId="0" xfId="0" applyFont="1" applyAlignment="1">
      <alignment horizontal="left" vertical="top" wrapText="1" indent="3"/>
    </xf>
    <xf numFmtId="0" fontId="30" fillId="0" borderId="26" xfId="0" applyFont="1" applyBorder="1" applyAlignment="1">
      <alignment wrapText="1"/>
    </xf>
    <xf numFmtId="0" fontId="25" fillId="21" borderId="0" xfId="0" applyFont="1" applyFill="1" applyAlignment="1">
      <alignment vertical="top" wrapText="1"/>
    </xf>
    <xf numFmtId="0" fontId="26" fillId="21" borderId="0" xfId="0" applyFont="1" applyFill="1" applyAlignment="1">
      <alignment horizontal="right" wrapText="1"/>
    </xf>
    <xf numFmtId="0" fontId="31" fillId="0" borderId="0" xfId="0" applyFont="1"/>
    <xf numFmtId="0" fontId="29" fillId="0" borderId="0" xfId="0" applyFont="1"/>
    <xf numFmtId="0" fontId="26" fillId="0" borderId="0" xfId="0" applyFont="1" applyAlignment="1">
      <alignment horizontal="center"/>
    </xf>
    <xf numFmtId="0" fontId="21" fillId="0" borderId="0" xfId="7" applyAlignment="1" applyProtection="1">
      <alignment horizontal="left"/>
    </xf>
    <xf numFmtId="0" fontId="26" fillId="21" borderId="0" xfId="0" applyFont="1" applyFill="1" applyAlignment="1">
      <alignment horizontal="left" vertical="top" wrapText="1" indent="3"/>
    </xf>
    <xf numFmtId="0" fontId="32" fillId="0" borderId="0" xfId="0" applyFont="1" applyAlignment="1">
      <alignment horizontal="center" wrapText="1"/>
    </xf>
    <xf numFmtId="0" fontId="32" fillId="0" borderId="27" xfId="0" applyFont="1" applyBorder="1" applyAlignment="1">
      <alignment horizontal="center" wrapText="1"/>
    </xf>
    <xf numFmtId="0" fontId="26" fillId="0" borderId="0" xfId="0" applyFont="1" applyAlignment="1">
      <alignment horizontal="left" vertical="top" wrapText="1" indent="5"/>
    </xf>
    <xf numFmtId="0" fontId="26" fillId="21" borderId="0" xfId="0" applyFont="1" applyFill="1" applyAlignment="1">
      <alignment horizontal="left" vertical="top" wrapText="1" indent="5"/>
    </xf>
    <xf numFmtId="0" fontId="28" fillId="21" borderId="0" xfId="0" applyFont="1" applyFill="1" applyAlignment="1">
      <alignment vertical="top" wrapText="1"/>
    </xf>
    <xf numFmtId="0" fontId="33" fillId="0" borderId="0" xfId="0" applyFont="1"/>
    <xf numFmtId="0" fontId="25" fillId="0" borderId="0" xfId="0" applyFont="1" applyAlignment="1">
      <alignment horizontal="left" vertical="top" wrapText="1"/>
    </xf>
    <xf numFmtId="0" fontId="28" fillId="0" borderId="0" xfId="0" applyFont="1" applyAlignment="1">
      <alignment vertical="top" wrapText="1"/>
    </xf>
    <xf numFmtId="0" fontId="31" fillId="21" borderId="0" xfId="0" applyFont="1" applyFill="1" applyAlignment="1">
      <alignment horizontal="left" vertical="top" wrapText="1" indent="1"/>
    </xf>
    <xf numFmtId="15" fontId="26" fillId="21" borderId="0" xfId="0" applyNumberFormat="1" applyFont="1" applyFill="1" applyAlignment="1">
      <alignment horizontal="right" wrapText="1"/>
    </xf>
    <xf numFmtId="15" fontId="26" fillId="0" borderId="0" xfId="0" applyNumberFormat="1" applyFont="1" applyAlignment="1">
      <alignment horizontal="right" wrapText="1"/>
    </xf>
    <xf numFmtId="0" fontId="31" fillId="0" borderId="0" xfId="0" applyFont="1" applyAlignment="1">
      <alignment horizontal="left" vertical="top" wrapText="1" indent="1"/>
    </xf>
    <xf numFmtId="0" fontId="0" fillId="0" borderId="27" xfId="0" applyBorder="1" applyAlignment="1">
      <alignment horizontal="center" wrapText="1"/>
    </xf>
    <xf numFmtId="8" fontId="26" fillId="21" borderId="0" xfId="0" applyNumberFormat="1" applyFont="1" applyFill="1" applyAlignment="1">
      <alignment vertical="top" wrapText="1"/>
    </xf>
    <xf numFmtId="0" fontId="26" fillId="0" borderId="0" xfId="0" applyFont="1" applyAlignment="1">
      <alignment vertical="top" wrapText="1"/>
    </xf>
    <xf numFmtId="0" fontId="26" fillId="21" borderId="0" xfId="0" applyFont="1" applyFill="1" applyAlignment="1">
      <alignment vertical="top" wrapText="1"/>
    </xf>
    <xf numFmtId="0" fontId="25" fillId="0" borderId="0" xfId="0" applyFont="1" applyAlignment="1">
      <alignment horizontal="center"/>
    </xf>
    <xf numFmtId="0" fontId="1" fillId="22" borderId="1" xfId="8" applyFill="1" applyBorder="1" applyAlignment="1">
      <alignment horizontal="center"/>
    </xf>
    <xf numFmtId="0" fontId="1" fillId="23" borderId="1" xfId="8" applyFill="1" applyBorder="1" applyAlignment="1">
      <alignment horizontal="center"/>
    </xf>
    <xf numFmtId="0" fontId="1" fillId="24" borderId="1" xfId="8" applyFill="1" applyBorder="1" applyAlignment="1">
      <alignment horizontal="center"/>
    </xf>
    <xf numFmtId="0" fontId="20" fillId="20" borderId="1" xfId="0" applyFont="1" applyFill="1" applyBorder="1" applyAlignment="1">
      <alignment horizontal="centerContinuous" wrapText="1"/>
    </xf>
    <xf numFmtId="168" fontId="20" fillId="20" borderId="1" xfId="0" applyNumberFormat="1" applyFont="1" applyFill="1" applyBorder="1"/>
    <xf numFmtId="0" fontId="1" fillId="25" borderId="1" xfId="8" applyFill="1" applyBorder="1" applyAlignment="1">
      <alignment horizontal="center"/>
    </xf>
    <xf numFmtId="0" fontId="1" fillId="26" borderId="1" xfId="8" applyFill="1" applyBorder="1" applyAlignment="1">
      <alignment horizontal="center"/>
    </xf>
    <xf numFmtId="0" fontId="1" fillId="27" borderId="1" xfId="8" applyFill="1" applyBorder="1" applyAlignment="1">
      <alignment horizontal="center"/>
    </xf>
    <xf numFmtId="0" fontId="20" fillId="20" borderId="1" xfId="0" applyFont="1" applyFill="1" applyBorder="1"/>
    <xf numFmtId="0" fontId="20" fillId="20" borderId="20" xfId="0" applyFont="1" applyFill="1" applyBorder="1"/>
    <xf numFmtId="40" fontId="1" fillId="25" borderId="1" xfId="8" applyNumberFormat="1" applyFill="1" applyBorder="1" applyAlignment="1">
      <alignment horizontal="center"/>
    </xf>
    <xf numFmtId="43" fontId="0" fillId="0" borderId="1" xfId="0" applyNumberFormat="1" applyBorder="1"/>
    <xf numFmtId="43" fontId="0" fillId="0" borderId="0" xfId="0" applyNumberFormat="1"/>
    <xf numFmtId="0" fontId="20" fillId="20" borderId="10" xfId="0" applyFont="1" applyFill="1" applyBorder="1"/>
    <xf numFmtId="43" fontId="0" fillId="0" borderId="17" xfId="0" applyNumberFormat="1" applyBorder="1"/>
    <xf numFmtId="43" fontId="19" fillId="0" borderId="20" xfId="3" applyFont="1" applyBorder="1"/>
    <xf numFmtId="43" fontId="0" fillId="0" borderId="10" xfId="0" applyNumberFormat="1" applyBorder="1"/>
    <xf numFmtId="43" fontId="19" fillId="0" borderId="10" xfId="3" applyFont="1" applyBorder="1"/>
    <xf numFmtId="0" fontId="20" fillId="20" borderId="19" xfId="0" applyFont="1" applyFill="1" applyBorder="1"/>
    <xf numFmtId="43" fontId="19" fillId="0" borderId="19" xfId="3" applyFont="1" applyBorder="1"/>
    <xf numFmtId="43" fontId="1" fillId="0" borderId="0" xfId="8" applyNumberFormat="1" applyAlignment="1">
      <alignment horizontal="center"/>
    </xf>
    <xf numFmtId="3" fontId="0" fillId="0" borderId="0" xfId="0" applyNumberFormat="1"/>
    <xf numFmtId="3" fontId="0" fillId="0" borderId="1" xfId="0" applyNumberFormat="1" applyBorder="1"/>
    <xf numFmtId="40" fontId="0" fillId="0" borderId="0" xfId="0" applyNumberFormat="1"/>
    <xf numFmtId="0" fontId="20" fillId="19" borderId="1" xfId="0" applyFont="1" applyFill="1" applyBorder="1" applyAlignment="1">
      <alignment horizontal="centerContinuous"/>
    </xf>
    <xf numFmtId="168" fontId="20" fillId="20" borderId="1" xfId="0" applyNumberFormat="1" applyFont="1" applyFill="1" applyBorder="1" applyAlignment="1">
      <alignment wrapText="1"/>
    </xf>
    <xf numFmtId="0" fontId="20" fillId="19" borderId="1" xfId="0" applyFont="1" applyFill="1" applyBorder="1" applyAlignment="1">
      <alignment horizontal="center"/>
    </xf>
    <xf numFmtId="0" fontId="20" fillId="20" borderId="17" xfId="0" applyFont="1" applyFill="1" applyBorder="1"/>
    <xf numFmtId="3" fontId="0" fillId="0" borderId="17" xfId="0" applyNumberFormat="1" applyBorder="1"/>
    <xf numFmtId="0" fontId="20" fillId="20" borderId="1" xfId="0" applyFont="1" applyFill="1" applyBorder="1" applyAlignment="1">
      <alignment horizontal="left"/>
    </xf>
    <xf numFmtId="3" fontId="0" fillId="0" borderId="21" xfId="0" applyNumberFormat="1" applyBorder="1"/>
    <xf numFmtId="0" fontId="20" fillId="20" borderId="22" xfId="0" applyFont="1" applyFill="1" applyBorder="1"/>
    <xf numFmtId="3" fontId="0" fillId="0" borderId="22" xfId="0" applyNumberFormat="1" applyBorder="1"/>
    <xf numFmtId="3" fontId="0" fillId="0" borderId="23" xfId="0" applyNumberFormat="1" applyBorder="1"/>
    <xf numFmtId="0" fontId="20" fillId="19" borderId="10" xfId="0" applyFont="1" applyFill="1" applyBorder="1" applyAlignment="1">
      <alignment horizontal="center"/>
    </xf>
    <xf numFmtId="0" fontId="0" fillId="0" borderId="10" xfId="0" applyBorder="1"/>
    <xf numFmtId="0" fontId="20" fillId="20" borderId="9" xfId="0" applyFont="1" applyFill="1" applyBorder="1" applyAlignment="1">
      <alignment horizontal="left"/>
    </xf>
    <xf numFmtId="0" fontId="20" fillId="20" borderId="21" xfId="0" applyFont="1" applyFill="1" applyBorder="1"/>
    <xf numFmtId="3" fontId="0" fillId="0" borderId="19" xfId="0" applyNumberFormat="1" applyBorder="1"/>
    <xf numFmtId="166" fontId="1" fillId="18" borderId="1" xfId="8" applyNumberFormat="1" applyFill="1" applyBorder="1"/>
    <xf numFmtId="4" fontId="1" fillId="18" borderId="9" xfId="8" applyNumberFormat="1" applyFill="1" applyBorder="1"/>
    <xf numFmtId="166" fontId="1" fillId="18" borderId="19" xfId="8" applyNumberFormat="1" applyFill="1" applyBorder="1"/>
    <xf numFmtId="0" fontId="20" fillId="28" borderId="1" xfId="0" applyFont="1" applyFill="1" applyBorder="1"/>
    <xf numFmtId="4" fontId="0" fillId="0" borderId="1" xfId="0" applyNumberFormat="1" applyBorder="1"/>
    <xf numFmtId="44" fontId="0" fillId="18" borderId="1" xfId="0" applyNumberFormat="1" applyFill="1" applyBorder="1"/>
    <xf numFmtId="8" fontId="1" fillId="18" borderId="1" xfId="8" applyNumberFormat="1" applyFill="1" applyBorder="1"/>
    <xf numFmtId="40" fontId="1" fillId="18" borderId="1" xfId="8" applyNumberFormat="1" applyFill="1" applyBorder="1"/>
    <xf numFmtId="40" fontId="1" fillId="18" borderId="1" xfId="8" applyNumberFormat="1" applyFill="1" applyBorder="1" applyAlignment="1">
      <alignment horizontal="center"/>
    </xf>
    <xf numFmtId="40" fontId="1" fillId="18" borderId="10" xfId="8" applyNumberFormat="1" applyFill="1" applyBorder="1"/>
    <xf numFmtId="40" fontId="1" fillId="18" borderId="20" xfId="8" applyNumberFormat="1" applyFill="1" applyBorder="1"/>
    <xf numFmtId="40" fontId="1" fillId="18" borderId="9" xfId="8" applyNumberFormat="1" applyFill="1" applyBorder="1"/>
    <xf numFmtId="8" fontId="1" fillId="18" borderId="9" xfId="8" applyNumberFormat="1" applyFill="1" applyBorder="1" applyAlignment="1">
      <alignment horizontal="center"/>
    </xf>
    <xf numFmtId="8" fontId="1" fillId="18" borderId="19" xfId="8" applyNumberFormat="1" applyFill="1" applyBorder="1"/>
    <xf numFmtId="0" fontId="20" fillId="28" borderId="0" xfId="0" applyFont="1" applyFill="1" applyAlignment="1">
      <alignment horizontal="centerContinuous" wrapText="1"/>
    </xf>
    <xf numFmtId="0" fontId="20" fillId="28" borderId="1" xfId="0" applyFont="1" applyFill="1" applyBorder="1" applyAlignment="1">
      <alignment horizontal="centerContinuous" wrapText="1"/>
    </xf>
    <xf numFmtId="0" fontId="20" fillId="29" borderId="1" xfId="0" applyFont="1" applyFill="1" applyBorder="1" applyAlignment="1">
      <alignment horizontal="centerContinuous" wrapText="1"/>
    </xf>
    <xf numFmtId="43" fontId="19" fillId="18" borderId="1" xfId="3" applyFont="1" applyFill="1" applyBorder="1"/>
    <xf numFmtId="44" fontId="19" fillId="18" borderId="22" xfId="6" applyFont="1" applyFill="1" applyBorder="1"/>
    <xf numFmtId="0" fontId="20" fillId="14" borderId="1" xfId="0" applyFont="1" applyFill="1" applyBorder="1" applyAlignment="1">
      <alignment wrapText="1"/>
    </xf>
    <xf numFmtId="0" fontId="34" fillId="14" borderId="1" xfId="0" applyFont="1" applyFill="1" applyBorder="1" applyAlignment="1">
      <alignment wrapText="1"/>
    </xf>
    <xf numFmtId="0" fontId="22" fillId="2" borderId="1" xfId="2" applyFont="1" applyFill="1">
      <alignment horizontal="centerContinuous"/>
    </xf>
    <xf numFmtId="0" fontId="35" fillId="28" borderId="1" xfId="8" applyFont="1" applyFill="1" applyBorder="1" applyAlignment="1">
      <alignment horizontal="centerContinuous"/>
    </xf>
    <xf numFmtId="0" fontId="36" fillId="28" borderId="1" xfId="8" applyFont="1" applyFill="1" applyBorder="1" applyAlignment="1">
      <alignment horizontal="centerContinuous" wrapText="1"/>
    </xf>
    <xf numFmtId="43" fontId="15" fillId="18" borderId="9" xfId="3" applyFont="1" applyFill="1" applyBorder="1"/>
    <xf numFmtId="43" fontId="15" fillId="18" borderId="19" xfId="3" applyFont="1" applyFill="1" applyBorder="1"/>
    <xf numFmtId="0" fontId="0" fillId="30" borderId="14" xfId="0" applyFill="1" applyBorder="1"/>
    <xf numFmtId="0" fontId="0" fillId="30" borderId="24" xfId="0" applyFill="1" applyBorder="1"/>
    <xf numFmtId="0" fontId="0" fillId="30" borderId="13" xfId="0" applyFill="1" applyBorder="1"/>
    <xf numFmtId="0" fontId="1" fillId="30" borderId="1" xfId="17" applyFill="1">
      <alignment horizontal="centerContinuous" wrapText="1"/>
    </xf>
    <xf numFmtId="0" fontId="22" fillId="2" borderId="1" xfId="1" applyFont="1">
      <alignment horizontal="centerContinuous" wrapText="1"/>
    </xf>
    <xf numFmtId="166" fontId="1" fillId="18" borderId="0" xfId="8" applyNumberFormat="1" applyFill="1"/>
    <xf numFmtId="4" fontId="1" fillId="18" borderId="0" xfId="8" applyNumberFormat="1" applyFill="1"/>
    <xf numFmtId="166" fontId="1" fillId="18" borderId="5" xfId="8" applyNumberFormat="1" applyFill="1" applyBorder="1"/>
    <xf numFmtId="0" fontId="22" fillId="2" borderId="0" xfId="8" applyFont="1" applyFill="1" applyAlignment="1">
      <alignment horizontal="centerContinuous" wrapText="1"/>
    </xf>
    <xf numFmtId="0" fontId="22" fillId="2" borderId="9" xfId="13" applyFont="1" applyFill="1" applyBorder="1">
      <alignment horizontal="centerContinuous" wrapText="1"/>
    </xf>
    <xf numFmtId="0" fontId="22" fillId="2" borderId="0" xfId="8" applyFont="1" applyFill="1" applyAlignment="1">
      <alignment horizontal="centerContinuous"/>
    </xf>
    <xf numFmtId="0" fontId="1" fillId="2" borderId="1" xfId="8" applyFill="1" applyBorder="1" applyAlignment="1">
      <alignment horizontal="centerContinuous"/>
    </xf>
    <xf numFmtId="8" fontId="1" fillId="0" borderId="1" xfId="8" applyNumberFormat="1" applyBorder="1"/>
    <xf numFmtId="0" fontId="37" fillId="4" borderId="1" xfId="8" applyFont="1" applyFill="1" applyBorder="1" applyAlignment="1">
      <alignment horizontal="centerContinuous"/>
    </xf>
    <xf numFmtId="8" fontId="1" fillId="0" borderId="2" xfId="8" applyNumberFormat="1" applyBorder="1"/>
    <xf numFmtId="8" fontId="1" fillId="0" borderId="5" xfId="8" applyNumberFormat="1" applyBorder="1"/>
    <xf numFmtId="0" fontId="1" fillId="3" borderId="1" xfId="8" applyFill="1" applyBorder="1"/>
    <xf numFmtId="0" fontId="1" fillId="0" borderId="1" xfId="15" applyBorder="1">
      <alignment wrapText="1"/>
    </xf>
    <xf numFmtId="8" fontId="1" fillId="0" borderId="1" xfId="15" applyNumberFormat="1" applyBorder="1">
      <alignment wrapText="1"/>
    </xf>
    <xf numFmtId="0" fontId="1" fillId="7" borderId="10" xfId="15" applyFill="1" applyBorder="1" applyAlignment="1">
      <alignment horizontal="center" vertical="center" wrapText="1"/>
    </xf>
    <xf numFmtId="0" fontId="1" fillId="3" borderId="10" xfId="15" applyFill="1" applyBorder="1" applyAlignment="1">
      <alignment horizontal="center" vertical="center" wrapText="1"/>
    </xf>
    <xf numFmtId="0" fontId="1" fillId="2" borderId="10" xfId="15" applyFill="1" applyBorder="1" applyAlignment="1">
      <alignment horizontal="center" vertical="center" wrapText="1"/>
    </xf>
    <xf numFmtId="0" fontId="1" fillId="0" borderId="10" xfId="15" applyBorder="1" applyAlignment="1">
      <alignment horizontal="center" vertical="center" wrapText="1"/>
    </xf>
    <xf numFmtId="0" fontId="1" fillId="0" borderId="10" xfId="8" applyBorder="1" applyAlignment="1">
      <alignment horizontal="center" vertical="center" wrapText="1"/>
    </xf>
    <xf numFmtId="0" fontId="1" fillId="9" borderId="10" xfId="15" applyFill="1" applyBorder="1" applyAlignment="1">
      <alignment horizontal="center" vertical="center" wrapText="1"/>
    </xf>
    <xf numFmtId="0" fontId="1" fillId="0" borderId="0" xfId="8" applyAlignment="1">
      <alignment horizontal="left" vertical="center"/>
    </xf>
    <xf numFmtId="0" fontId="1" fillId="5" borderId="10" xfId="15" applyFill="1" applyBorder="1" applyAlignment="1">
      <alignment horizontal="center" vertical="center" wrapText="1"/>
    </xf>
    <xf numFmtId="0" fontId="1" fillId="6" borderId="10" xfId="15" applyFill="1" applyBorder="1" applyAlignment="1">
      <alignment horizontal="center" vertical="center" wrapText="1"/>
    </xf>
    <xf numFmtId="0" fontId="1" fillId="7" borderId="9" xfId="8" applyFill="1" applyBorder="1" applyAlignment="1">
      <alignment horizontal="center" vertical="center"/>
    </xf>
    <xf numFmtId="0" fontId="1" fillId="7" borderId="6" xfId="8" applyFill="1" applyBorder="1" applyAlignment="1">
      <alignment horizontal="center" vertical="center"/>
    </xf>
    <xf numFmtId="0" fontId="1" fillId="7" borderId="10" xfId="8" applyFill="1" applyBorder="1" applyAlignment="1">
      <alignment horizontal="center" vertical="center"/>
    </xf>
    <xf numFmtId="0" fontId="1" fillId="6" borderId="1" xfId="8" applyFill="1" applyBorder="1" applyAlignment="1">
      <alignment horizontal="center" vertical="center"/>
    </xf>
    <xf numFmtId="0" fontId="1" fillId="6" borderId="9" xfId="8" applyFill="1" applyBorder="1" applyAlignment="1">
      <alignment horizontal="center" vertical="center"/>
    </xf>
    <xf numFmtId="0" fontId="1" fillId="6" borderId="6" xfId="8" applyFill="1" applyBorder="1" applyAlignment="1">
      <alignment horizontal="center" vertical="center"/>
    </xf>
    <xf numFmtId="0" fontId="1" fillId="6" borderId="10" xfId="8" applyFill="1" applyBorder="1" applyAlignment="1">
      <alignment horizontal="center" vertical="center"/>
    </xf>
    <xf numFmtId="0" fontId="2" fillId="4" borderId="1" xfId="13" applyAlignment="1">
      <alignment horizontal="center" wrapText="1"/>
    </xf>
    <xf numFmtId="0" fontId="32" fillId="0" borderId="27" xfId="0" applyFont="1" applyBorder="1" applyAlignment="1">
      <alignment horizontal="center" wrapText="1"/>
    </xf>
    <xf numFmtId="0" fontId="28" fillId="0" borderId="0" xfId="0" applyFont="1" applyAlignment="1">
      <alignment wrapText="1"/>
    </xf>
    <xf numFmtId="0" fontId="26" fillId="0" borderId="0" xfId="0" applyFont="1" applyAlignment="1">
      <alignment wrapText="1"/>
    </xf>
    <xf numFmtId="3" fontId="26" fillId="0" borderId="0" xfId="0" applyNumberFormat="1" applyFont="1" applyAlignment="1">
      <alignment horizontal="right" wrapText="1"/>
    </xf>
    <xf numFmtId="0" fontId="29" fillId="0" borderId="0" xfId="0" applyFont="1" applyAlignment="1">
      <alignment wrapText="1"/>
    </xf>
    <xf numFmtId="0" fontId="26" fillId="0" borderId="0" xfId="0" applyFont="1"/>
    <xf numFmtId="0" fontId="32" fillId="0" borderId="0" xfId="0" applyFont="1" applyAlignment="1">
      <alignment horizontal="center" wrapText="1"/>
    </xf>
    <xf numFmtId="0" fontId="32" fillId="0" borderId="25" xfId="0" applyFont="1" applyBorder="1" applyAlignment="1">
      <alignment horizontal="center" wrapText="1"/>
    </xf>
    <xf numFmtId="0" fontId="29" fillId="0" borderId="25" xfId="0" applyFont="1" applyBorder="1" applyAlignment="1">
      <alignment wrapText="1"/>
    </xf>
    <xf numFmtId="0" fontId="32" fillId="0" borderId="0" xfId="0" applyFont="1" applyAlignment="1">
      <alignment wrapText="1"/>
    </xf>
    <xf numFmtId="0" fontId="26" fillId="0" borderId="0" xfId="0" applyFont="1" applyAlignment="1">
      <alignment horizontal="left" vertical="top" wrapText="1" indent="1"/>
    </xf>
    <xf numFmtId="0" fontId="32" fillId="0" borderId="28" xfId="0" applyFont="1" applyBorder="1" applyAlignment="1">
      <alignment horizontal="center" wrapText="1"/>
    </xf>
    <xf numFmtId="14" fontId="1" fillId="0" borderId="1" xfId="8" applyNumberFormat="1" applyBorder="1" applyAlignment="1">
      <alignment horizontal="right"/>
    </xf>
    <xf numFmtId="40" fontId="1" fillId="0" borderId="1" xfId="8" applyNumberFormat="1" applyBorder="1" applyAlignment="1">
      <alignment horizontal="right"/>
    </xf>
    <xf numFmtId="0" fontId="1" fillId="0" borderId="0" xfId="8" applyAlignment="1">
      <alignment horizontal="right"/>
    </xf>
    <xf numFmtId="40" fontId="1" fillId="18" borderId="1" xfId="8" applyNumberFormat="1" applyFill="1" applyBorder="1" applyAlignment="1">
      <alignment horizontal="right"/>
    </xf>
    <xf numFmtId="6" fontId="8" fillId="0" borderId="0" xfId="9" applyNumberFormat="1" applyAlignment="1">
      <alignment horizontal="right"/>
    </xf>
    <xf numFmtId="0" fontId="8" fillId="0" borderId="0" xfId="9" applyAlignment="1">
      <alignment horizontal="right"/>
    </xf>
    <xf numFmtId="0" fontId="8" fillId="0" borderId="2" xfId="9" applyBorder="1" applyAlignment="1">
      <alignment horizontal="right"/>
    </xf>
    <xf numFmtId="38" fontId="8" fillId="0" borderId="0" xfId="9" applyNumberFormat="1" applyAlignment="1">
      <alignment horizontal="right"/>
    </xf>
    <xf numFmtId="6" fontId="8" fillId="0" borderId="5" xfId="9" applyNumberFormat="1" applyBorder="1" applyAlignment="1">
      <alignment horizontal="right"/>
    </xf>
    <xf numFmtId="0" fontId="8" fillId="0" borderId="12" xfId="9" applyBorder="1" applyAlignment="1">
      <alignment horizontal="right"/>
    </xf>
    <xf numFmtId="8" fontId="8" fillId="0" borderId="0" xfId="9" applyNumberFormat="1" applyAlignment="1">
      <alignment horizontal="right"/>
    </xf>
    <xf numFmtId="164" fontId="1" fillId="0" borderId="0" xfId="8" applyNumberFormat="1" applyAlignment="1">
      <alignment horizontal="right"/>
    </xf>
    <xf numFmtId="6" fontId="1" fillId="0" borderId="0" xfId="8" applyNumberFormat="1" applyAlignment="1">
      <alignment horizontal="right"/>
    </xf>
    <xf numFmtId="38" fontId="1" fillId="0" borderId="0" xfId="8" applyNumberFormat="1" applyAlignment="1">
      <alignment horizontal="right"/>
    </xf>
    <xf numFmtId="164" fontId="1" fillId="0" borderId="3" xfId="8" applyNumberFormat="1" applyBorder="1" applyAlignment="1">
      <alignment horizontal="right"/>
    </xf>
    <xf numFmtId="38" fontId="1" fillId="0" borderId="2" xfId="8" applyNumberFormat="1" applyBorder="1" applyAlignment="1">
      <alignment horizontal="right"/>
    </xf>
    <xf numFmtId="164" fontId="1" fillId="0" borderId="4" xfId="8" applyNumberFormat="1" applyBorder="1" applyAlignment="1">
      <alignment horizontal="right"/>
    </xf>
    <xf numFmtId="0" fontId="1" fillId="0" borderId="2" xfId="8" applyBorder="1" applyAlignment="1">
      <alignment horizontal="right"/>
    </xf>
    <xf numFmtId="164" fontId="1" fillId="0" borderId="5" xfId="8" applyNumberFormat="1" applyBorder="1" applyAlignment="1">
      <alignment horizontal="right"/>
    </xf>
  </cellXfs>
  <cellStyles count="18">
    <cellStyle name="Assumptions" xfId="1" xr:uid="{6A57955A-285B-45C3-8527-4DFA53B7B8D6}"/>
    <cellStyle name="Center Across Selection" xfId="2" xr:uid="{4357E073-446D-4FE1-914B-8DFC9FC0E28C}"/>
    <cellStyle name="Comma" xfId="3" builtinId="3"/>
    <cellStyle name="Comma 2" xfId="4" xr:uid="{466FF765-DBCA-4D55-A0D9-A63A314CA129}"/>
    <cellStyle name="Comma 3" xfId="5" xr:uid="{78FB1DC5-9AC0-4E8D-8AF3-067E0E9BD585}"/>
    <cellStyle name="Currency" xfId="6" builtinId="4"/>
    <cellStyle name="Hyperlink" xfId="7" builtinId="8"/>
    <cellStyle name="Normal" xfId="0" builtinId="0"/>
    <cellStyle name="Normal 2" xfId="8" xr:uid="{B32BBFEF-12D3-4177-8279-9128D70CA4C0}"/>
    <cellStyle name="Normal 3" xfId="9" xr:uid="{47E0CFD6-9F75-4427-97C6-1F234DDC4C55}"/>
    <cellStyle name="Percent 2" xfId="10" xr:uid="{ACA71069-63A7-4A3A-8C27-14C70FA1A7E8}"/>
    <cellStyle name="Pp" xfId="11" xr:uid="{154CFA49-BB3B-4F9D-BBEE-1E96D45A3B9F}"/>
    <cellStyle name="Style 1" xfId="12" xr:uid="{CC13F67F-382B-4B2E-ADEF-2EC43FB3E20E}"/>
    <cellStyle name="Title 2" xfId="13" xr:uid="{63064839-C3AB-4C9B-954E-7189D5663E89}"/>
    <cellStyle name="Title 3" xfId="14" xr:uid="{8CDEAEB2-736F-44F5-A40F-4CB5C36F29D6}"/>
    <cellStyle name="WrapText" xfId="15" xr:uid="{50700A38-F34C-4375-8929-67385F123ECF}"/>
    <cellStyle name="WrapText 2" xfId="16" xr:uid="{FE2C5ACC-0B9C-423F-8EF2-84A25E568571}"/>
    <cellStyle name="YellowCenterAccross" xfId="17" xr:uid="{EF8E0225-EE10-465C-9103-79DCF94C5C7F}"/>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693420</xdr:colOff>
      <xdr:row>6</xdr:row>
      <xdr:rowOff>0</xdr:rowOff>
    </xdr:from>
    <xdr:to>
      <xdr:col>0</xdr:col>
      <xdr:colOff>693420</xdr:colOff>
      <xdr:row>6</xdr:row>
      <xdr:rowOff>144780</xdr:rowOff>
    </xdr:to>
    <xdr:sp macro="" textlink="">
      <xdr:nvSpPr>
        <xdr:cNvPr id="3613" name="Line 1">
          <a:extLst>
            <a:ext uri="{FF2B5EF4-FFF2-40B4-BE49-F238E27FC236}">
              <a16:creationId xmlns:a16="http://schemas.microsoft.com/office/drawing/2014/main" id="{E59E774B-69A4-C5AE-18A3-C1289685EEC1}"/>
            </a:ext>
          </a:extLst>
        </xdr:cNvPr>
        <xdr:cNvSpPr>
          <a:spLocks noChangeShapeType="1"/>
        </xdr:cNvSpPr>
      </xdr:nvSpPr>
      <xdr:spPr bwMode="auto">
        <a:xfrm>
          <a:off x="693420" y="1257300"/>
          <a:ext cx="0" cy="144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815340</xdr:colOff>
      <xdr:row>4</xdr:row>
      <xdr:rowOff>7620</xdr:rowOff>
    </xdr:from>
    <xdr:to>
      <xdr:col>3</xdr:col>
      <xdr:colOff>815340</xdr:colOff>
      <xdr:row>5</xdr:row>
      <xdr:rowOff>0</xdr:rowOff>
    </xdr:to>
    <xdr:sp macro="" textlink="">
      <xdr:nvSpPr>
        <xdr:cNvPr id="3614" name="Line 2">
          <a:extLst>
            <a:ext uri="{FF2B5EF4-FFF2-40B4-BE49-F238E27FC236}">
              <a16:creationId xmlns:a16="http://schemas.microsoft.com/office/drawing/2014/main" id="{A5477A1E-21B7-552B-8514-1FA7DE33EE45}"/>
            </a:ext>
          </a:extLst>
        </xdr:cNvPr>
        <xdr:cNvSpPr>
          <a:spLocks noChangeShapeType="1"/>
        </xdr:cNvSpPr>
      </xdr:nvSpPr>
      <xdr:spPr bwMode="auto">
        <a:xfrm>
          <a:off x="3573780" y="899160"/>
          <a:ext cx="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822960</xdr:colOff>
      <xdr:row>8</xdr:row>
      <xdr:rowOff>7620</xdr:rowOff>
    </xdr:from>
    <xdr:to>
      <xdr:col>3</xdr:col>
      <xdr:colOff>822960</xdr:colOff>
      <xdr:row>8</xdr:row>
      <xdr:rowOff>144780</xdr:rowOff>
    </xdr:to>
    <xdr:sp macro="" textlink="">
      <xdr:nvSpPr>
        <xdr:cNvPr id="3615" name="Line 3">
          <a:extLst>
            <a:ext uri="{FF2B5EF4-FFF2-40B4-BE49-F238E27FC236}">
              <a16:creationId xmlns:a16="http://schemas.microsoft.com/office/drawing/2014/main" id="{B0EA95CB-EBC8-2D5B-B317-4E40BC489CF5}"/>
            </a:ext>
          </a:extLst>
        </xdr:cNvPr>
        <xdr:cNvSpPr>
          <a:spLocks noChangeShapeType="1"/>
        </xdr:cNvSpPr>
      </xdr:nvSpPr>
      <xdr:spPr bwMode="auto">
        <a:xfrm>
          <a:off x="3581400" y="1630680"/>
          <a:ext cx="0" cy="137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0</xdr:rowOff>
    </xdr:from>
    <xdr:to>
      <xdr:col>2</xdr:col>
      <xdr:colOff>205740</xdr:colOff>
      <xdr:row>6</xdr:row>
      <xdr:rowOff>0</xdr:rowOff>
    </xdr:to>
    <xdr:sp macro="" textlink="">
      <xdr:nvSpPr>
        <xdr:cNvPr id="3616" name="AutoShape 5">
          <a:extLst>
            <a:ext uri="{FF2B5EF4-FFF2-40B4-BE49-F238E27FC236}">
              <a16:creationId xmlns:a16="http://schemas.microsoft.com/office/drawing/2014/main" id="{A4A60D70-216F-9A04-E055-3316149176C7}"/>
            </a:ext>
          </a:extLst>
        </xdr:cNvPr>
        <xdr:cNvSpPr>
          <a:spLocks noChangeArrowheads="1"/>
        </xdr:cNvSpPr>
      </xdr:nvSpPr>
      <xdr:spPr bwMode="auto">
        <a:xfrm>
          <a:off x="1988820" y="891540"/>
          <a:ext cx="419100" cy="365760"/>
        </a:xfrm>
        <a:prstGeom prst="upDownArrow">
          <a:avLst>
            <a:gd name="adj1" fmla="val 50000"/>
            <a:gd name="adj2" fmla="val 20000"/>
          </a:avLst>
        </a:prstGeom>
        <a:solidFill>
          <a:srgbClr val="808000"/>
        </a:solidFill>
        <a:ln w="25400">
          <a:solidFill>
            <a:srgbClr val="003300"/>
          </a:solidFill>
          <a:miter lim="800000"/>
          <a:headEnd/>
          <a:tailEnd/>
        </a:ln>
      </xdr:spPr>
    </xdr:sp>
    <xdr:clientData/>
  </xdr:twoCellAnchor>
  <xdr:twoCellAnchor>
    <xdr:from>
      <xdr:col>1</xdr:col>
      <xdr:colOff>76200</xdr:colOff>
      <xdr:row>1</xdr:row>
      <xdr:rowOff>130330</xdr:rowOff>
    </xdr:from>
    <xdr:to>
      <xdr:col>2</xdr:col>
      <xdr:colOff>481996</xdr:colOff>
      <xdr:row>3</xdr:row>
      <xdr:rowOff>135256</xdr:rowOff>
    </xdr:to>
    <xdr:sp macro="" textlink="">
      <xdr:nvSpPr>
        <xdr:cNvPr id="6" name="Rectangle 6">
          <a:extLst>
            <a:ext uri="{FF2B5EF4-FFF2-40B4-BE49-F238E27FC236}">
              <a16:creationId xmlns:a16="http://schemas.microsoft.com/office/drawing/2014/main" id="{16490F84-52CA-792A-04AA-34D19B239B26}"/>
            </a:ext>
          </a:extLst>
        </xdr:cNvPr>
        <xdr:cNvSpPr>
          <a:spLocks noChangeArrowheads="1"/>
        </xdr:cNvSpPr>
      </xdr:nvSpPr>
      <xdr:spPr bwMode="auto">
        <a:xfrm>
          <a:off x="1679028" y="472967"/>
          <a:ext cx="935749" cy="385926"/>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3300"/>
              </a:solidFill>
              <a:latin typeface="Arial"/>
              <a:cs typeface="Arial"/>
            </a:rPr>
            <a:t>Net Working</a:t>
          </a:r>
        </a:p>
        <a:p>
          <a:pPr algn="ctr" rtl="0">
            <a:defRPr sz="1000"/>
          </a:pPr>
          <a:r>
            <a:rPr lang="en-US" sz="1000" b="1" i="0" strike="noStrike">
              <a:solidFill>
                <a:srgbClr val="003300"/>
              </a:solidFill>
              <a:latin typeface="Arial"/>
              <a:cs typeface="Arial"/>
            </a:rPr>
            <a:t>Capital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693420</xdr:colOff>
      <xdr:row>6</xdr:row>
      <xdr:rowOff>0</xdr:rowOff>
    </xdr:from>
    <xdr:to>
      <xdr:col>0</xdr:col>
      <xdr:colOff>693420</xdr:colOff>
      <xdr:row>6</xdr:row>
      <xdr:rowOff>144780</xdr:rowOff>
    </xdr:to>
    <xdr:sp macro="" textlink="">
      <xdr:nvSpPr>
        <xdr:cNvPr id="11755" name="Line 1">
          <a:extLst>
            <a:ext uri="{FF2B5EF4-FFF2-40B4-BE49-F238E27FC236}">
              <a16:creationId xmlns:a16="http://schemas.microsoft.com/office/drawing/2014/main" id="{9932DF30-D511-1757-E1E4-0B9D95EC354C}"/>
            </a:ext>
          </a:extLst>
        </xdr:cNvPr>
        <xdr:cNvSpPr>
          <a:spLocks noChangeShapeType="1"/>
        </xdr:cNvSpPr>
      </xdr:nvSpPr>
      <xdr:spPr bwMode="auto">
        <a:xfrm>
          <a:off x="693420" y="1257300"/>
          <a:ext cx="0" cy="144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815340</xdr:colOff>
      <xdr:row>4</xdr:row>
      <xdr:rowOff>7620</xdr:rowOff>
    </xdr:from>
    <xdr:to>
      <xdr:col>3</xdr:col>
      <xdr:colOff>815340</xdr:colOff>
      <xdr:row>5</xdr:row>
      <xdr:rowOff>0</xdr:rowOff>
    </xdr:to>
    <xdr:sp macro="" textlink="">
      <xdr:nvSpPr>
        <xdr:cNvPr id="11756" name="Line 2">
          <a:extLst>
            <a:ext uri="{FF2B5EF4-FFF2-40B4-BE49-F238E27FC236}">
              <a16:creationId xmlns:a16="http://schemas.microsoft.com/office/drawing/2014/main" id="{50A83DD0-5970-72AA-ED45-A71D5CCBB17F}"/>
            </a:ext>
          </a:extLst>
        </xdr:cNvPr>
        <xdr:cNvSpPr>
          <a:spLocks noChangeShapeType="1"/>
        </xdr:cNvSpPr>
      </xdr:nvSpPr>
      <xdr:spPr bwMode="auto">
        <a:xfrm>
          <a:off x="3573780" y="899160"/>
          <a:ext cx="0" cy="175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822960</xdr:colOff>
      <xdr:row>8</xdr:row>
      <xdr:rowOff>7620</xdr:rowOff>
    </xdr:from>
    <xdr:to>
      <xdr:col>3</xdr:col>
      <xdr:colOff>822960</xdr:colOff>
      <xdr:row>8</xdr:row>
      <xdr:rowOff>144780</xdr:rowOff>
    </xdr:to>
    <xdr:sp macro="" textlink="">
      <xdr:nvSpPr>
        <xdr:cNvPr id="11757" name="Line 3">
          <a:extLst>
            <a:ext uri="{FF2B5EF4-FFF2-40B4-BE49-F238E27FC236}">
              <a16:creationId xmlns:a16="http://schemas.microsoft.com/office/drawing/2014/main" id="{83530145-E33D-1D38-9CAB-4EF7C7D86B67}"/>
            </a:ext>
          </a:extLst>
        </xdr:cNvPr>
        <xdr:cNvSpPr>
          <a:spLocks noChangeShapeType="1"/>
        </xdr:cNvSpPr>
      </xdr:nvSpPr>
      <xdr:spPr bwMode="auto">
        <a:xfrm>
          <a:off x="3581400" y="1630680"/>
          <a:ext cx="0" cy="137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0</xdr:rowOff>
    </xdr:from>
    <xdr:to>
      <xdr:col>2</xdr:col>
      <xdr:colOff>205740</xdr:colOff>
      <xdr:row>6</xdr:row>
      <xdr:rowOff>0</xdr:rowOff>
    </xdr:to>
    <xdr:sp macro="" textlink="">
      <xdr:nvSpPr>
        <xdr:cNvPr id="11758" name="AutoShape 5">
          <a:extLst>
            <a:ext uri="{FF2B5EF4-FFF2-40B4-BE49-F238E27FC236}">
              <a16:creationId xmlns:a16="http://schemas.microsoft.com/office/drawing/2014/main" id="{1D14D34A-E8C1-FB04-78FE-7065D1A02BB1}"/>
            </a:ext>
          </a:extLst>
        </xdr:cNvPr>
        <xdr:cNvSpPr>
          <a:spLocks noChangeArrowheads="1"/>
        </xdr:cNvSpPr>
      </xdr:nvSpPr>
      <xdr:spPr bwMode="auto">
        <a:xfrm>
          <a:off x="1988820" y="891540"/>
          <a:ext cx="419100" cy="365760"/>
        </a:xfrm>
        <a:prstGeom prst="upDownArrow">
          <a:avLst>
            <a:gd name="adj1" fmla="val 50000"/>
            <a:gd name="adj2" fmla="val 20000"/>
          </a:avLst>
        </a:prstGeom>
        <a:solidFill>
          <a:srgbClr val="808000"/>
        </a:solidFill>
        <a:ln w="25400">
          <a:solidFill>
            <a:srgbClr val="003300"/>
          </a:solidFill>
          <a:miter lim="800000"/>
          <a:headEnd/>
          <a:tailEnd/>
        </a:ln>
      </xdr:spPr>
    </xdr:sp>
    <xdr:clientData/>
  </xdr:twoCellAnchor>
  <xdr:twoCellAnchor>
    <xdr:from>
      <xdr:col>1</xdr:col>
      <xdr:colOff>76200</xdr:colOff>
      <xdr:row>1</xdr:row>
      <xdr:rowOff>130330</xdr:rowOff>
    </xdr:from>
    <xdr:to>
      <xdr:col>2</xdr:col>
      <xdr:colOff>481996</xdr:colOff>
      <xdr:row>3</xdr:row>
      <xdr:rowOff>135256</xdr:rowOff>
    </xdr:to>
    <xdr:sp macro="" textlink="">
      <xdr:nvSpPr>
        <xdr:cNvPr id="6" name="Rectangle 6">
          <a:extLst>
            <a:ext uri="{FF2B5EF4-FFF2-40B4-BE49-F238E27FC236}">
              <a16:creationId xmlns:a16="http://schemas.microsoft.com/office/drawing/2014/main" id="{94D4EB59-BA37-CAE9-9417-6515DFA8B850}"/>
            </a:ext>
          </a:extLst>
        </xdr:cNvPr>
        <xdr:cNvSpPr>
          <a:spLocks noChangeArrowheads="1"/>
        </xdr:cNvSpPr>
      </xdr:nvSpPr>
      <xdr:spPr bwMode="auto">
        <a:xfrm>
          <a:off x="1676400" y="471325"/>
          <a:ext cx="933450" cy="385926"/>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3300"/>
              </a:solidFill>
              <a:latin typeface="Arial"/>
              <a:cs typeface="Arial"/>
            </a:rPr>
            <a:t>Net Working</a:t>
          </a:r>
        </a:p>
        <a:p>
          <a:pPr algn="ctr" rtl="0">
            <a:defRPr sz="1000"/>
          </a:pPr>
          <a:r>
            <a:rPr lang="en-US" sz="1000" b="1" i="0" strike="noStrike">
              <a:solidFill>
                <a:srgbClr val="003300"/>
              </a:solidFill>
              <a:latin typeface="Arial"/>
              <a:cs typeface="Arial"/>
            </a:rPr>
            <a:t>Capital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4</xdr:col>
      <xdr:colOff>320040</xdr:colOff>
      <xdr:row>36</xdr:row>
      <xdr:rowOff>0</xdr:rowOff>
    </xdr:to>
    <xdr:pic>
      <xdr:nvPicPr>
        <xdr:cNvPr id="13798" name="Picture 1">
          <a:extLst>
            <a:ext uri="{FF2B5EF4-FFF2-40B4-BE49-F238E27FC236}">
              <a16:creationId xmlns:a16="http://schemas.microsoft.com/office/drawing/2014/main" id="{87F8DE0F-AA33-8555-FA9B-2C2302E54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184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137160</xdr:rowOff>
    </xdr:from>
    <xdr:to>
      <xdr:col>4</xdr:col>
      <xdr:colOff>320040</xdr:colOff>
      <xdr:row>65</xdr:row>
      <xdr:rowOff>137160</xdr:rowOff>
    </xdr:to>
    <xdr:pic>
      <xdr:nvPicPr>
        <xdr:cNvPr id="13799" name="Picture 4">
          <a:extLst>
            <a:ext uri="{FF2B5EF4-FFF2-40B4-BE49-F238E27FC236}">
              <a16:creationId xmlns:a16="http://schemas.microsoft.com/office/drawing/2014/main" id="{6D3629BC-9492-E4FC-50EF-C0714FF244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3252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xdr:colOff>
      <xdr:row>65</xdr:row>
      <xdr:rowOff>144780</xdr:rowOff>
    </xdr:from>
    <xdr:to>
      <xdr:col>4</xdr:col>
      <xdr:colOff>335280</xdr:colOff>
      <xdr:row>83</xdr:row>
      <xdr:rowOff>144780</xdr:rowOff>
    </xdr:to>
    <xdr:pic>
      <xdr:nvPicPr>
        <xdr:cNvPr id="13800" name="Picture 6">
          <a:extLst>
            <a:ext uri="{FF2B5EF4-FFF2-40B4-BE49-F238E27FC236}">
              <a16:creationId xmlns:a16="http://schemas.microsoft.com/office/drawing/2014/main" id="{FFC17A61-C10C-F090-191C-2C7482BF92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 y="1203198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320040</xdr:colOff>
      <xdr:row>18</xdr:row>
      <xdr:rowOff>0</xdr:rowOff>
    </xdr:to>
    <xdr:pic>
      <xdr:nvPicPr>
        <xdr:cNvPr id="13801" name="Picture 3">
          <a:extLst>
            <a:ext uri="{FF2B5EF4-FFF2-40B4-BE49-F238E27FC236}">
              <a16:creationId xmlns:a16="http://schemas.microsoft.com/office/drawing/2014/main" id="{917C0DAB-79BA-82F3-E8E3-AB326F542D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4</xdr:col>
      <xdr:colOff>320040</xdr:colOff>
      <xdr:row>36</xdr:row>
      <xdr:rowOff>0</xdr:rowOff>
    </xdr:to>
    <xdr:pic>
      <xdr:nvPicPr>
        <xdr:cNvPr id="34953" name="Picture 1">
          <a:extLst>
            <a:ext uri="{FF2B5EF4-FFF2-40B4-BE49-F238E27FC236}">
              <a16:creationId xmlns:a16="http://schemas.microsoft.com/office/drawing/2014/main" id="{AE943F27-24C4-91B7-55F9-13952647D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184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137160</xdr:rowOff>
    </xdr:from>
    <xdr:to>
      <xdr:col>4</xdr:col>
      <xdr:colOff>320040</xdr:colOff>
      <xdr:row>65</xdr:row>
      <xdr:rowOff>137160</xdr:rowOff>
    </xdr:to>
    <xdr:pic>
      <xdr:nvPicPr>
        <xdr:cNvPr id="34954" name="Picture 4">
          <a:extLst>
            <a:ext uri="{FF2B5EF4-FFF2-40B4-BE49-F238E27FC236}">
              <a16:creationId xmlns:a16="http://schemas.microsoft.com/office/drawing/2014/main" id="{B4FC3F0E-97CF-7C9C-FCA6-70053F786F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3252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xdr:colOff>
      <xdr:row>65</xdr:row>
      <xdr:rowOff>144780</xdr:rowOff>
    </xdr:from>
    <xdr:to>
      <xdr:col>4</xdr:col>
      <xdr:colOff>335280</xdr:colOff>
      <xdr:row>83</xdr:row>
      <xdr:rowOff>144780</xdr:rowOff>
    </xdr:to>
    <xdr:pic>
      <xdr:nvPicPr>
        <xdr:cNvPr id="34955" name="Picture 6">
          <a:extLst>
            <a:ext uri="{FF2B5EF4-FFF2-40B4-BE49-F238E27FC236}">
              <a16:creationId xmlns:a16="http://schemas.microsoft.com/office/drawing/2014/main" id="{B6268A8F-80B3-DAD9-9C46-992A0F3155F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 y="1203198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320040</xdr:colOff>
      <xdr:row>18</xdr:row>
      <xdr:rowOff>0</xdr:rowOff>
    </xdr:to>
    <xdr:pic>
      <xdr:nvPicPr>
        <xdr:cNvPr id="34956" name="Picture 3">
          <a:extLst>
            <a:ext uri="{FF2B5EF4-FFF2-40B4-BE49-F238E27FC236}">
              <a16:creationId xmlns:a16="http://schemas.microsoft.com/office/drawing/2014/main" id="{B053F2CC-E350-AD0A-7306-5201351CFD3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4572000" cy="329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givingto.msu.edu/pgaol/html/2004_federal_income_tax_rates.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2" Type="http://schemas.openxmlformats.org/officeDocument/2006/relationships/hyperlink" Target="http://finance.yahoo.com/q?s=wfmi" TargetMode="External"/><Relationship Id="rId1" Type="http://schemas.openxmlformats.org/officeDocument/2006/relationships/hyperlink" Target="http://biz.yahoo.com/f/g/g.html"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E305-76FC-452E-8B76-43CCBB6FAB9C}">
  <sheetPr>
    <tabColor rgb="FF0000FF"/>
  </sheetPr>
  <dimension ref="A1:A36"/>
  <sheetViews>
    <sheetView tabSelected="1" zoomScale="160" zoomScaleNormal="160" workbookViewId="0"/>
  </sheetViews>
  <sheetFormatPr defaultRowHeight="14.4" x14ac:dyDescent="0.3"/>
  <cols>
    <col min="1" max="1" width="76.109375" bestFit="1" customWidth="1"/>
  </cols>
  <sheetData>
    <row r="1" spans="1:1" x14ac:dyDescent="0.3">
      <c r="A1" s="55" t="s">
        <v>0</v>
      </c>
    </row>
    <row r="2" spans="1:1" x14ac:dyDescent="0.3">
      <c r="A2" s="57" t="s">
        <v>1</v>
      </c>
    </row>
    <row r="3" spans="1:1" x14ac:dyDescent="0.3">
      <c r="A3" s="58" t="s">
        <v>2</v>
      </c>
    </row>
    <row r="4" spans="1:1" x14ac:dyDescent="0.3">
      <c r="A4" s="56" t="s">
        <v>3</v>
      </c>
    </row>
    <row r="5" spans="1:1" x14ac:dyDescent="0.3">
      <c r="A5" s="56" t="s">
        <v>4</v>
      </c>
    </row>
    <row r="6" spans="1:1" x14ac:dyDescent="0.3">
      <c r="A6" s="56" t="s">
        <v>5</v>
      </c>
    </row>
    <row r="7" spans="1:1" x14ac:dyDescent="0.3">
      <c r="A7" s="57" t="s">
        <v>6</v>
      </c>
    </row>
    <row r="8" spans="1:1" x14ac:dyDescent="0.3">
      <c r="A8" s="55" t="s">
        <v>7</v>
      </c>
    </row>
    <row r="9" spans="1:1" x14ac:dyDescent="0.3">
      <c r="A9" s="58" t="s">
        <v>8</v>
      </c>
    </row>
    <row r="28" spans="1:1" x14ac:dyDescent="0.3">
      <c r="A28" s="1" t="s">
        <v>0</v>
      </c>
    </row>
    <row r="29" spans="1:1" x14ac:dyDescent="0.3">
      <c r="A29" s="6" t="s">
        <v>1</v>
      </c>
    </row>
    <row r="30" spans="1:1" x14ac:dyDescent="0.3">
      <c r="A30" s="7" t="s">
        <v>2</v>
      </c>
    </row>
    <row r="31" spans="1:1" x14ac:dyDescent="0.3">
      <c r="A31" s="3" t="s">
        <v>3</v>
      </c>
    </row>
    <row r="32" spans="1:1" x14ac:dyDescent="0.3">
      <c r="A32" s="4" t="s">
        <v>4</v>
      </c>
    </row>
    <row r="33" spans="1:1" x14ac:dyDescent="0.3">
      <c r="A33" s="5" t="s">
        <v>5</v>
      </c>
    </row>
    <row r="34" spans="1:1" x14ac:dyDescent="0.3">
      <c r="A34" s="8" t="s">
        <v>6</v>
      </c>
    </row>
    <row r="35" spans="1:1" x14ac:dyDescent="0.3">
      <c r="A35" s="2" t="s">
        <v>7</v>
      </c>
    </row>
    <row r="36" spans="1:1" x14ac:dyDescent="0.3">
      <c r="A36" s="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CE2B-0245-4E29-BDD0-6AB9877FA975}">
  <sheetPr>
    <tabColor rgb="FF0000FF"/>
  </sheetPr>
  <dimension ref="A1:B5"/>
  <sheetViews>
    <sheetView workbookViewId="0"/>
  </sheetViews>
  <sheetFormatPr defaultColWidth="9.109375" defaultRowHeight="13.2" x14ac:dyDescent="0.25"/>
  <cols>
    <col min="1" max="1" width="40.109375" style="10" bestFit="1" customWidth="1"/>
    <col min="2" max="2" width="15" style="10" bestFit="1" customWidth="1"/>
    <col min="3" max="16384" width="9.109375" style="10"/>
  </cols>
  <sheetData>
    <row r="1" spans="1:2" x14ac:dyDescent="0.25">
      <c r="A1" s="9" t="s">
        <v>28</v>
      </c>
      <c r="B1" s="9"/>
    </row>
    <row r="2" spans="1:2" x14ac:dyDescent="0.25">
      <c r="A2" s="11" t="s">
        <v>29</v>
      </c>
      <c r="B2" s="12">
        <v>39082</v>
      </c>
    </row>
    <row r="3" spans="1:2" x14ac:dyDescent="0.25">
      <c r="A3" s="11" t="s">
        <v>30</v>
      </c>
      <c r="B3" s="12">
        <f>EDATE(B2,12)</f>
        <v>39447</v>
      </c>
    </row>
    <row r="4" spans="1:2" x14ac:dyDescent="0.25">
      <c r="A4" s="11" t="s">
        <v>31</v>
      </c>
      <c r="B4" s="11" t="s">
        <v>32</v>
      </c>
    </row>
    <row r="5" spans="1:2" ht="14.4" x14ac:dyDescent="0.3">
      <c r="A5" s="11" t="str">
        <f>"Shares outstanding (in 000,000), "&amp;TEXT(B3,"mmm d, yyyy")</f>
        <v>Shares outstanding (in 000,000), Dec 31, 2007</v>
      </c>
      <c r="B5" s="13">
        <v>210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FA7FA-5F41-4AD7-9A9C-6400FBB2017E}">
  <sheetPr>
    <tabColor rgb="FF0000FF"/>
  </sheetPr>
  <dimension ref="A1:H31"/>
  <sheetViews>
    <sheetView zoomScaleNormal="100" workbookViewId="0"/>
  </sheetViews>
  <sheetFormatPr defaultColWidth="9.109375" defaultRowHeight="13.2" x14ac:dyDescent="0.25"/>
  <cols>
    <col min="1" max="1" width="20.33203125" style="10" bestFit="1" customWidth="1"/>
    <col min="2" max="3" width="9.109375" style="10"/>
    <col min="4" max="4" width="3.44140625" style="10" customWidth="1"/>
    <col min="5" max="5" width="45.6640625" style="10" bestFit="1" customWidth="1"/>
    <col min="6" max="6" width="9.33203125" style="10" bestFit="1" customWidth="1"/>
    <col min="7" max="7" width="8.109375" style="10" bestFit="1" customWidth="1"/>
    <col min="8" max="8" width="5.88671875" style="10" bestFit="1" customWidth="1"/>
    <col min="9" max="9" width="24" style="10" customWidth="1"/>
    <col min="10" max="11" width="8.109375" style="10" customWidth="1"/>
    <col min="12" max="12" width="24" style="10" customWidth="1"/>
    <col min="13" max="13" width="3.5546875" style="10" bestFit="1" customWidth="1"/>
    <col min="14" max="14" width="24" style="10" customWidth="1"/>
    <col min="15" max="15" width="2.6640625" style="10" bestFit="1" customWidth="1"/>
    <col min="16" max="16" width="24" style="10" customWidth="1"/>
    <col min="17" max="17" width="2.88671875" style="10" customWidth="1"/>
    <col min="18" max="18" width="24" style="10" customWidth="1"/>
    <col min="19" max="16384" width="9.109375" style="10"/>
  </cols>
  <sheetData>
    <row r="1" spans="1:8" ht="15.6" x14ac:dyDescent="0.3">
      <c r="A1" s="90" t="s">
        <v>126</v>
      </c>
      <c r="B1" s="90"/>
      <c r="C1" s="90"/>
      <c r="D1" s="90"/>
      <c r="E1" s="90"/>
      <c r="F1" s="90"/>
      <c r="G1" s="90"/>
    </row>
    <row r="2" spans="1:8" ht="30" x14ac:dyDescent="0.5">
      <c r="A2" s="43" t="s">
        <v>45</v>
      </c>
      <c r="B2" s="43"/>
      <c r="C2" s="43"/>
      <c r="D2" s="43"/>
      <c r="E2" s="43"/>
      <c r="F2" s="43"/>
      <c r="G2" s="43"/>
    </row>
    <row r="4" spans="1:8" x14ac:dyDescent="0.25">
      <c r="A4" s="14" t="str">
        <f>Assumptions!B4</f>
        <v>RAD Corporation</v>
      </c>
      <c r="B4" s="14"/>
      <c r="C4" s="14"/>
      <c r="D4" s="14"/>
      <c r="E4" s="14"/>
      <c r="F4" s="14"/>
      <c r="G4" s="14"/>
    </row>
    <row r="5" spans="1:8" x14ac:dyDescent="0.25">
      <c r="A5" s="14" t="s">
        <v>9</v>
      </c>
      <c r="B5" s="14"/>
      <c r="C5" s="14"/>
      <c r="D5" s="14"/>
      <c r="E5" s="14"/>
      <c r="F5" s="14"/>
      <c r="G5" s="14"/>
    </row>
    <row r="6" spans="1:8" x14ac:dyDescent="0.25">
      <c r="A6" s="14" t="str">
        <f>"Balance Sheet as of "&amp;TEXT(Assumptions!B2,"mmmm d, yyy")&amp;" and "&amp;YEAR(Assumptions!B3)</f>
        <v>Balance Sheet as of December 31, 2006 and 2007</v>
      </c>
      <c r="B6" s="14"/>
      <c r="C6" s="14"/>
      <c r="D6" s="14"/>
      <c r="E6" s="14"/>
      <c r="F6" s="14"/>
      <c r="G6" s="14"/>
    </row>
    <row r="7" spans="1:8" x14ac:dyDescent="0.25">
      <c r="A7" s="15" t="s">
        <v>10</v>
      </c>
      <c r="B7" s="15"/>
      <c r="E7" s="15" t="s">
        <v>11</v>
      </c>
      <c r="F7" s="15"/>
      <c r="G7" s="15"/>
      <c r="H7" s="15"/>
    </row>
    <row r="8" spans="1:8" x14ac:dyDescent="0.25">
      <c r="A8" s="15"/>
      <c r="B8" s="16">
        <f>YEAR(Assumptions!$B$2)</f>
        <v>2006</v>
      </c>
      <c r="C8" s="10">
        <f>YEAR(Assumptions!$B$3)</f>
        <v>2007</v>
      </c>
      <c r="E8" s="15"/>
      <c r="F8" s="16">
        <f>YEAR(Assumptions!$B$2)</f>
        <v>2006</v>
      </c>
      <c r="G8" s="10">
        <f>YEAR(Assumptions!$B$3)</f>
        <v>2007</v>
      </c>
    </row>
    <row r="9" spans="1:8" x14ac:dyDescent="0.25">
      <c r="A9" s="17" t="s">
        <v>12</v>
      </c>
      <c r="B9" s="18"/>
      <c r="C9" s="18"/>
      <c r="D9" s="18"/>
      <c r="E9" s="17" t="s">
        <v>13</v>
      </c>
      <c r="F9" s="18"/>
      <c r="G9" s="18"/>
      <c r="H9" s="18"/>
    </row>
    <row r="10" spans="1:8" x14ac:dyDescent="0.25">
      <c r="A10" s="19" t="s">
        <v>14</v>
      </c>
      <c r="B10" s="20">
        <v>119</v>
      </c>
      <c r="C10" s="20">
        <v>183</v>
      </c>
      <c r="D10" s="18"/>
      <c r="E10" s="19" t="s">
        <v>15</v>
      </c>
      <c r="F10" s="20">
        <v>237</v>
      </c>
      <c r="G10" s="20">
        <v>278</v>
      </c>
      <c r="H10" s="18"/>
    </row>
    <row r="11" spans="1:8" x14ac:dyDescent="0.25">
      <c r="A11" s="19" t="s">
        <v>16</v>
      </c>
      <c r="B11" s="21">
        <v>465</v>
      </c>
      <c r="C11" s="21">
        <v>698</v>
      </c>
      <c r="D11" s="22"/>
      <c r="E11" s="19" t="s">
        <v>17</v>
      </c>
      <c r="F11" s="23">
        <v>206</v>
      </c>
      <c r="G11" s="23">
        <v>133</v>
      </c>
      <c r="H11" s="18"/>
    </row>
    <row r="12" spans="1:8" x14ac:dyDescent="0.25">
      <c r="A12" s="19" t="s">
        <v>18</v>
      </c>
      <c r="B12" s="21">
        <v>563</v>
      </c>
      <c r="C12" s="21">
        <v>565</v>
      </c>
      <c r="D12" s="22"/>
      <c r="E12" s="24" t="s">
        <v>19</v>
      </c>
      <c r="F12" s="18">
        <f>SUM(F10:F11)</f>
        <v>443</v>
      </c>
      <c r="G12" s="18">
        <f>SUM(G10:G11)</f>
        <v>411</v>
      </c>
      <c r="H12" s="18"/>
    </row>
    <row r="13" spans="1:8" x14ac:dyDescent="0.25">
      <c r="A13" s="24" t="s">
        <v>19</v>
      </c>
      <c r="B13" s="25">
        <f>SUM(B10:B12)</f>
        <v>1147</v>
      </c>
      <c r="C13" s="25">
        <f>SUM(C10:C12)</f>
        <v>1446</v>
      </c>
      <c r="D13" s="18"/>
      <c r="H13" s="18"/>
    </row>
    <row r="14" spans="1:8" x14ac:dyDescent="0.25">
      <c r="A14" s="17" t="s">
        <v>20</v>
      </c>
      <c r="B14" s="21"/>
      <c r="C14" s="21"/>
      <c r="D14" s="18"/>
      <c r="E14" s="17" t="s">
        <v>21</v>
      </c>
      <c r="F14" s="10">
        <v>418</v>
      </c>
      <c r="G14" s="10">
        <v>464</v>
      </c>
      <c r="H14" s="18"/>
    </row>
    <row r="15" spans="1:8" x14ac:dyDescent="0.25">
      <c r="A15" s="19" t="s">
        <v>22</v>
      </c>
      <c r="B15" s="44">
        <v>1654</v>
      </c>
      <c r="C15" s="44">
        <v>1719</v>
      </c>
      <c r="D15" s="18"/>
      <c r="E15" s="24" t="s">
        <v>23</v>
      </c>
      <c r="F15" s="25">
        <f>SUM(F12:F14)</f>
        <v>861</v>
      </c>
      <c r="G15" s="25">
        <f>SUM(G12:G14)</f>
        <v>875</v>
      </c>
      <c r="H15" s="18"/>
    </row>
    <row r="16" spans="1:8" x14ac:dyDescent="0.25">
      <c r="B16" s="18"/>
      <c r="C16" s="18"/>
      <c r="D16" s="18"/>
    </row>
    <row r="17" spans="1:8" x14ac:dyDescent="0.25">
      <c r="B17" s="18"/>
      <c r="C17" s="18"/>
      <c r="D17" s="18"/>
      <c r="E17" s="17" t="s">
        <v>24</v>
      </c>
      <c r="F17" s="18"/>
      <c r="G17" s="18"/>
      <c r="H17" s="18"/>
    </row>
    <row r="18" spans="1:8" x14ac:dyDescent="0.25">
      <c r="B18" s="18"/>
      <c r="C18" s="18"/>
      <c r="D18" s="18"/>
      <c r="E18" s="19" t="s">
        <v>25</v>
      </c>
      <c r="F18" s="10">
        <v>610</v>
      </c>
      <c r="G18" s="21">
        <f>650-12</f>
        <v>638</v>
      </c>
      <c r="H18" s="18"/>
    </row>
    <row r="19" spans="1:8" x14ac:dyDescent="0.25">
      <c r="E19" s="19" t="s">
        <v>26</v>
      </c>
      <c r="F19" s="21">
        <v>1330</v>
      </c>
      <c r="G19" s="21">
        <v>1652</v>
      </c>
      <c r="H19" s="18"/>
    </row>
    <row r="20" spans="1:8" x14ac:dyDescent="0.25">
      <c r="E20" s="24" t="s">
        <v>19</v>
      </c>
      <c r="F20" s="25">
        <f>SUM(F18:F19)</f>
        <v>1940</v>
      </c>
      <c r="G20" s="25">
        <f>SUM(G18:G19)</f>
        <v>2290</v>
      </c>
      <c r="H20" s="18"/>
    </row>
    <row r="21" spans="1:8" ht="13.8" thickBot="1" x14ac:dyDescent="0.3">
      <c r="A21" s="17" t="s">
        <v>27</v>
      </c>
      <c r="B21" s="26">
        <f>SUM(B15,B13)</f>
        <v>2801</v>
      </c>
      <c r="C21" s="26">
        <f>SUM(C15,C13)</f>
        <v>3165</v>
      </c>
      <c r="D21" s="18"/>
      <c r="E21" s="17" t="str">
        <f>E20&amp;" "&amp;E7</f>
        <v>Total Liabilities and Shareholders' Equity</v>
      </c>
      <c r="F21" s="27">
        <f>SUM(F20,F15)</f>
        <v>2801</v>
      </c>
      <c r="G21" s="27">
        <f>SUM(G20,G15)</f>
        <v>3165</v>
      </c>
      <c r="H21" s="18"/>
    </row>
    <row r="22" spans="1:8" ht="13.8" thickTop="1" x14ac:dyDescent="0.25"/>
    <row r="23" spans="1:8" x14ac:dyDescent="0.25">
      <c r="F23" s="18"/>
      <c r="G23" s="18"/>
    </row>
    <row r="24" spans="1:8" ht="21" customHeight="1" x14ac:dyDescent="0.25">
      <c r="A24" s="10" t="s">
        <v>49</v>
      </c>
      <c r="F24" s="69"/>
      <c r="G24" s="69"/>
    </row>
    <row r="25" spans="1:8" ht="12.75" customHeight="1" x14ac:dyDescent="0.25"/>
    <row r="26" spans="1:8" ht="26.25" customHeight="1" x14ac:dyDescent="0.25"/>
    <row r="27" spans="1:8" ht="3.75" customHeight="1" x14ac:dyDescent="0.25"/>
    <row r="31" spans="1:8" ht="37.5" customHeight="1" x14ac:dyDescent="0.25"/>
  </sheetData>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E68C-487F-4C21-A0AB-4EE12B93E706}">
  <sheetPr>
    <tabColor rgb="FFFF0000"/>
  </sheetPr>
  <dimension ref="A1:H31"/>
  <sheetViews>
    <sheetView zoomScaleNormal="100" workbookViewId="0"/>
  </sheetViews>
  <sheetFormatPr defaultColWidth="9.109375" defaultRowHeight="13.2" x14ac:dyDescent="0.25"/>
  <cols>
    <col min="1" max="1" width="20.33203125" style="10" bestFit="1" customWidth="1"/>
    <col min="2" max="3" width="9.109375" style="10"/>
    <col min="4" max="4" width="3.44140625" style="10" customWidth="1"/>
    <col min="5" max="5" width="45.6640625" style="10" bestFit="1" customWidth="1"/>
    <col min="6" max="6" width="9.33203125" style="10" bestFit="1" customWidth="1"/>
    <col min="7" max="7" width="8.109375" style="10" bestFit="1" customWidth="1"/>
    <col min="8" max="8" width="5.88671875" style="10" bestFit="1" customWidth="1"/>
    <col min="9" max="9" width="24" style="10" customWidth="1"/>
    <col min="10" max="11" width="8.109375" style="10" customWidth="1"/>
    <col min="12" max="12" width="24" style="10" customWidth="1"/>
    <col min="13" max="13" width="3.5546875" style="10" bestFit="1" customWidth="1"/>
    <col min="14" max="14" width="24" style="10" customWidth="1"/>
    <col min="15" max="15" width="2.6640625" style="10" bestFit="1" customWidth="1"/>
    <col min="16" max="16" width="24" style="10" customWidth="1"/>
    <col min="17" max="17" width="2.88671875" style="10" customWidth="1"/>
    <col min="18" max="18" width="24" style="10" customWidth="1"/>
    <col min="19" max="16384" width="9.109375" style="10"/>
  </cols>
  <sheetData>
    <row r="1" spans="1:8" ht="15.6" x14ac:dyDescent="0.3">
      <c r="A1" s="90" t="s">
        <v>126</v>
      </c>
      <c r="B1" s="90"/>
      <c r="C1" s="90"/>
      <c r="D1" s="90"/>
      <c r="E1" s="90"/>
      <c r="F1" s="90"/>
      <c r="G1" s="90"/>
    </row>
    <row r="2" spans="1:8" ht="30" x14ac:dyDescent="0.5">
      <c r="A2" s="43" t="s">
        <v>45</v>
      </c>
      <c r="B2" s="43"/>
      <c r="C2" s="43"/>
      <c r="D2" s="43"/>
      <c r="E2" s="43"/>
      <c r="F2" s="43"/>
      <c r="G2" s="43"/>
    </row>
    <row r="4" spans="1:8" x14ac:dyDescent="0.25">
      <c r="A4" s="14" t="str">
        <f>Assumptions!B4</f>
        <v>RAD Corporation</v>
      </c>
      <c r="B4" s="14"/>
      <c r="C4" s="14"/>
      <c r="D4" s="14"/>
      <c r="E4" s="14"/>
      <c r="F4" s="14"/>
      <c r="G4" s="14"/>
    </row>
    <row r="5" spans="1:8" x14ac:dyDescent="0.25">
      <c r="A5" s="14" t="s">
        <v>9</v>
      </c>
      <c r="B5" s="14"/>
      <c r="C5" s="14"/>
      <c r="D5" s="14"/>
      <c r="E5" s="14"/>
      <c r="F5" s="14"/>
      <c r="G5" s="14"/>
    </row>
    <row r="6" spans="1:8" x14ac:dyDescent="0.25">
      <c r="A6" s="14" t="str">
        <f>"Balance Sheet as of "&amp;TEXT(Assumptions!B2,"mmmm d, yyy")&amp;" and "&amp;YEAR(Assumptions!B3)</f>
        <v>Balance Sheet as of December 31, 2006 and 2007</v>
      </c>
      <c r="B6" s="14"/>
      <c r="C6" s="14"/>
      <c r="D6" s="14"/>
      <c r="E6" s="14"/>
      <c r="F6" s="14"/>
      <c r="G6" s="14"/>
    </row>
    <row r="7" spans="1:8" x14ac:dyDescent="0.25">
      <c r="A7" s="15" t="s">
        <v>10</v>
      </c>
      <c r="B7" s="15"/>
      <c r="E7" s="15" t="s">
        <v>11</v>
      </c>
      <c r="F7" s="15"/>
      <c r="G7" s="15"/>
      <c r="H7" s="15"/>
    </row>
    <row r="8" spans="1:8" x14ac:dyDescent="0.25">
      <c r="A8" s="15"/>
      <c r="B8" s="16">
        <f>YEAR(Assumptions!$B$2)</f>
        <v>2006</v>
      </c>
      <c r="C8" s="10">
        <f>YEAR(Assumptions!$B$3)</f>
        <v>2007</v>
      </c>
      <c r="E8" s="15"/>
      <c r="F8" s="16">
        <f>YEAR(Assumptions!$B$2)</f>
        <v>2006</v>
      </c>
      <c r="G8" s="10">
        <f>YEAR(Assumptions!$B$3)</f>
        <v>2007</v>
      </c>
    </row>
    <row r="9" spans="1:8" x14ac:dyDescent="0.25">
      <c r="A9" s="17" t="s">
        <v>12</v>
      </c>
      <c r="B9" s="18"/>
      <c r="C9" s="18"/>
      <c r="D9" s="18"/>
      <c r="E9" s="17" t="s">
        <v>13</v>
      </c>
      <c r="F9" s="18"/>
      <c r="G9" s="18"/>
      <c r="H9" s="18"/>
    </row>
    <row r="10" spans="1:8" x14ac:dyDescent="0.25">
      <c r="A10" s="19" t="s">
        <v>14</v>
      </c>
      <c r="B10" s="20">
        <v>119</v>
      </c>
      <c r="C10" s="20">
        <v>183</v>
      </c>
      <c r="D10" s="18"/>
      <c r="E10" s="19" t="s">
        <v>15</v>
      </c>
      <c r="F10" s="20">
        <v>237</v>
      </c>
      <c r="G10" s="20">
        <v>278</v>
      </c>
      <c r="H10" s="18"/>
    </row>
    <row r="11" spans="1:8" x14ac:dyDescent="0.25">
      <c r="A11" s="19" t="s">
        <v>16</v>
      </c>
      <c r="B11" s="21">
        <v>465</v>
      </c>
      <c r="C11" s="21">
        <v>698</v>
      </c>
      <c r="D11" s="22"/>
      <c r="E11" s="19" t="s">
        <v>17</v>
      </c>
      <c r="F11" s="23">
        <v>206</v>
      </c>
      <c r="G11" s="23">
        <v>133</v>
      </c>
      <c r="H11" s="18"/>
    </row>
    <row r="12" spans="1:8" x14ac:dyDescent="0.25">
      <c r="A12" s="19" t="s">
        <v>18</v>
      </c>
      <c r="B12" s="21">
        <v>563</v>
      </c>
      <c r="C12" s="21">
        <v>565</v>
      </c>
      <c r="D12" s="22"/>
      <c r="E12" s="24" t="s">
        <v>19</v>
      </c>
      <c r="F12" s="18">
        <f>SUM(F10:F11)</f>
        <v>443</v>
      </c>
      <c r="G12" s="18">
        <f>SUM(G10:G11)</f>
        <v>411</v>
      </c>
      <c r="H12" s="18"/>
    </row>
    <row r="13" spans="1:8" x14ac:dyDescent="0.25">
      <c r="A13" s="24" t="s">
        <v>19</v>
      </c>
      <c r="B13" s="25">
        <f>SUM(B10:B12)</f>
        <v>1147</v>
      </c>
      <c r="C13" s="25">
        <f>SUM(C10:C12)</f>
        <v>1446</v>
      </c>
      <c r="D13" s="18"/>
      <c r="H13" s="18"/>
    </row>
    <row r="14" spans="1:8" x14ac:dyDescent="0.25">
      <c r="A14" s="17" t="s">
        <v>20</v>
      </c>
      <c r="B14" s="21"/>
      <c r="C14" s="21"/>
      <c r="D14" s="18"/>
      <c r="E14" s="17" t="s">
        <v>21</v>
      </c>
      <c r="F14" s="10">
        <v>418</v>
      </c>
      <c r="G14" s="10">
        <v>464</v>
      </c>
      <c r="H14" s="18"/>
    </row>
    <row r="15" spans="1:8" x14ac:dyDescent="0.25">
      <c r="A15" s="19" t="s">
        <v>22</v>
      </c>
      <c r="B15" s="44">
        <v>1654</v>
      </c>
      <c r="C15" s="44">
        <v>1719</v>
      </c>
      <c r="D15" s="18"/>
      <c r="E15" s="24" t="s">
        <v>23</v>
      </c>
      <c r="F15" s="25">
        <f>SUM(F12:F14)</f>
        <v>861</v>
      </c>
      <c r="G15" s="25">
        <f>SUM(G12:G14)</f>
        <v>875</v>
      </c>
      <c r="H15" s="18"/>
    </row>
    <row r="16" spans="1:8" x14ac:dyDescent="0.25">
      <c r="B16" s="18"/>
      <c r="C16" s="18"/>
      <c r="D16" s="18"/>
    </row>
    <row r="17" spans="1:8" x14ac:dyDescent="0.25">
      <c r="B17" s="18"/>
      <c r="C17" s="18"/>
      <c r="D17" s="18"/>
      <c r="E17" s="17" t="s">
        <v>24</v>
      </c>
      <c r="F17" s="18"/>
      <c r="G17" s="18"/>
      <c r="H17" s="18"/>
    </row>
    <row r="18" spans="1:8" x14ac:dyDescent="0.25">
      <c r="B18" s="18"/>
      <c r="C18" s="18"/>
      <c r="D18" s="18"/>
      <c r="E18" s="19" t="s">
        <v>25</v>
      </c>
      <c r="F18" s="10">
        <v>610</v>
      </c>
      <c r="G18" s="21">
        <f>650-12</f>
        <v>638</v>
      </c>
      <c r="H18" s="18"/>
    </row>
    <row r="19" spans="1:8" x14ac:dyDescent="0.25">
      <c r="E19" s="19" t="s">
        <v>26</v>
      </c>
      <c r="F19" s="21">
        <v>1330</v>
      </c>
      <c r="G19" s="21">
        <v>1652</v>
      </c>
      <c r="H19" s="18"/>
    </row>
    <row r="20" spans="1:8" x14ac:dyDescent="0.25">
      <c r="E20" s="24" t="s">
        <v>19</v>
      </c>
      <c r="F20" s="25">
        <f>SUM(F18:F19)</f>
        <v>1940</v>
      </c>
      <c r="G20" s="25">
        <f>SUM(G18:G19)</f>
        <v>2290</v>
      </c>
      <c r="H20" s="18"/>
    </row>
    <row r="21" spans="1:8" ht="13.8" thickBot="1" x14ac:dyDescent="0.3">
      <c r="A21" s="17" t="s">
        <v>27</v>
      </c>
      <c r="B21" s="26">
        <f>SUM(B15,B13)</f>
        <v>2801</v>
      </c>
      <c r="C21" s="26">
        <f>SUM(C15,C13)</f>
        <v>3165</v>
      </c>
      <c r="D21" s="18"/>
      <c r="E21" s="17" t="str">
        <f>E20&amp;" "&amp;E7</f>
        <v>Total Liabilities and Shareholders' Equity</v>
      </c>
      <c r="F21" s="27">
        <f>SUM(F20,F15)</f>
        <v>2801</v>
      </c>
      <c r="G21" s="27">
        <f>SUM(G20,G15)</f>
        <v>3165</v>
      </c>
      <c r="H21" s="18"/>
    </row>
    <row r="22" spans="1:8" ht="13.8" thickTop="1" x14ac:dyDescent="0.25"/>
    <row r="23" spans="1:8" x14ac:dyDescent="0.25">
      <c r="F23" s="18"/>
      <c r="G23" s="18"/>
    </row>
    <row r="24" spans="1:8" ht="21" customHeight="1" x14ac:dyDescent="0.25">
      <c r="A24" s="10" t="s">
        <v>49</v>
      </c>
      <c r="F24" s="69">
        <f>B21</f>
        <v>2801</v>
      </c>
      <c r="G24" s="69">
        <f>F21</f>
        <v>2801</v>
      </c>
      <c r="H24" s="10" t="b">
        <f>G24=F24</f>
        <v>1</v>
      </c>
    </row>
    <row r="25" spans="1:8" ht="12.75" customHeight="1" x14ac:dyDescent="0.25"/>
    <row r="26" spans="1:8" ht="26.25" customHeight="1" x14ac:dyDescent="0.25"/>
    <row r="27" spans="1:8" ht="3.75" customHeight="1" x14ac:dyDescent="0.25"/>
    <row r="31" spans="1:8" ht="37.5" customHeight="1" x14ac:dyDescent="0.25"/>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CECD-ECCE-4C79-A723-7157258ECD10}">
  <sheetPr>
    <tabColor rgb="FF0000FF"/>
  </sheetPr>
  <dimension ref="A1:E19"/>
  <sheetViews>
    <sheetView workbookViewId="0"/>
  </sheetViews>
  <sheetFormatPr defaultRowHeight="14.4" x14ac:dyDescent="0.3"/>
  <cols>
    <col min="1" max="1" width="20" bestFit="1" customWidth="1"/>
    <col min="2" max="2" width="20.5546875" bestFit="1" customWidth="1"/>
    <col min="3" max="3" width="3.109375" customWidth="1"/>
    <col min="4" max="4" width="28.5546875" bestFit="1" customWidth="1"/>
    <col min="5" max="5" width="11.33203125" bestFit="1" customWidth="1"/>
  </cols>
  <sheetData>
    <row r="1" spans="1:5" x14ac:dyDescent="0.3">
      <c r="A1" s="14" t="s">
        <v>28</v>
      </c>
      <c r="B1" s="14"/>
      <c r="C1" s="10"/>
      <c r="D1" s="10"/>
      <c r="E1" s="10"/>
    </row>
    <row r="2" spans="1:5" x14ac:dyDescent="0.3">
      <c r="A2" s="11" t="s">
        <v>196</v>
      </c>
      <c r="B2" s="11" t="s">
        <v>810</v>
      </c>
      <c r="C2" s="10"/>
      <c r="D2" s="10"/>
      <c r="E2" s="10"/>
    </row>
    <row r="3" spans="1:5" x14ac:dyDescent="0.3">
      <c r="A3" s="11" t="s">
        <v>197</v>
      </c>
      <c r="B3" s="137">
        <v>3000</v>
      </c>
      <c r="C3" s="10"/>
      <c r="D3" s="10"/>
      <c r="E3" s="10"/>
    </row>
    <row r="4" spans="1:5" x14ac:dyDescent="0.3">
      <c r="A4" s="11" t="s">
        <v>198</v>
      </c>
      <c r="B4" s="137">
        <v>15000</v>
      </c>
      <c r="C4" s="10"/>
      <c r="D4" s="10"/>
      <c r="E4" s="10"/>
    </row>
    <row r="5" spans="1:5" x14ac:dyDescent="0.3">
      <c r="A5" s="11" t="s">
        <v>199</v>
      </c>
      <c r="B5" s="137">
        <v>2800</v>
      </c>
      <c r="C5" s="10"/>
      <c r="D5" s="10"/>
      <c r="E5" s="10"/>
    </row>
    <row r="6" spans="1:5" x14ac:dyDescent="0.3">
      <c r="A6" s="11" t="s">
        <v>200</v>
      </c>
      <c r="B6" s="137">
        <v>8000</v>
      </c>
      <c r="C6" s="10"/>
      <c r="D6" s="10"/>
      <c r="E6" s="10"/>
    </row>
    <row r="7" spans="1:5" x14ac:dyDescent="0.3">
      <c r="A7" s="10"/>
      <c r="B7" s="10"/>
      <c r="C7" s="10"/>
      <c r="D7" s="10"/>
      <c r="E7" s="10"/>
    </row>
    <row r="8" spans="1:5" x14ac:dyDescent="0.3">
      <c r="A8" s="14" t="s">
        <v>201</v>
      </c>
      <c r="B8" s="14"/>
      <c r="C8" s="10"/>
      <c r="D8" s="10"/>
      <c r="E8" s="10"/>
    </row>
    <row r="9" spans="1:5" x14ac:dyDescent="0.3">
      <c r="A9" s="11" t="s">
        <v>202</v>
      </c>
      <c r="B9" s="137"/>
      <c r="C9" s="10"/>
      <c r="D9" s="10"/>
      <c r="E9" s="10"/>
    </row>
    <row r="10" spans="1:5" x14ac:dyDescent="0.3">
      <c r="A10" s="11" t="s">
        <v>203</v>
      </c>
      <c r="B10" s="137"/>
      <c r="C10" s="10"/>
      <c r="D10" s="10"/>
      <c r="E10" s="10"/>
    </row>
    <row r="11" spans="1:5" x14ac:dyDescent="0.3">
      <c r="A11" s="10"/>
      <c r="B11" s="10"/>
      <c r="C11" s="10"/>
      <c r="D11" s="10"/>
      <c r="E11" s="10"/>
    </row>
    <row r="12" spans="1:5" x14ac:dyDescent="0.3">
      <c r="A12" s="89" t="str">
        <f>B2&amp;" Company"</f>
        <v>Your Name Company</v>
      </c>
      <c r="B12" s="89"/>
      <c r="C12" s="89"/>
      <c r="D12" s="89"/>
      <c r="E12" s="89"/>
    </row>
    <row r="13" spans="1:5" x14ac:dyDescent="0.3">
      <c r="A13" s="89" t="s">
        <v>1</v>
      </c>
      <c r="B13" s="89"/>
      <c r="C13" s="89"/>
      <c r="D13" s="89"/>
      <c r="E13" s="89"/>
    </row>
    <row r="14" spans="1:5" x14ac:dyDescent="0.3">
      <c r="A14" s="138" t="s">
        <v>10</v>
      </c>
      <c r="B14" s="138"/>
      <c r="C14" s="10"/>
      <c r="D14" s="138" t="s">
        <v>207</v>
      </c>
      <c r="E14" s="138"/>
    </row>
    <row r="15" spans="1:5" x14ac:dyDescent="0.3">
      <c r="A15" s="10" t="str">
        <f>A3</f>
        <v>CA</v>
      </c>
      <c r="B15" s="139"/>
      <c r="C15" s="107"/>
      <c r="D15" s="107" t="str">
        <f>A5</f>
        <v>CL</v>
      </c>
      <c r="E15" s="139"/>
    </row>
    <row r="16" spans="1:5" ht="15" thickBot="1" x14ac:dyDescent="0.35">
      <c r="A16" s="10" t="str">
        <f>A4</f>
        <v>NFA</v>
      </c>
      <c r="B16" s="140"/>
      <c r="C16" s="107"/>
      <c r="D16" s="107" t="str">
        <f>A6</f>
        <v>LTD</v>
      </c>
      <c r="E16" s="139"/>
    </row>
    <row r="17" spans="1:5" ht="15" thickBot="1" x14ac:dyDescent="0.35">
      <c r="A17" s="10"/>
      <c r="B17" s="107"/>
      <c r="C17" s="107"/>
      <c r="D17" s="141" t="s">
        <v>809</v>
      </c>
      <c r="E17" s="141"/>
    </row>
    <row r="18" spans="1:5" ht="15" thickBot="1" x14ac:dyDescent="0.35">
      <c r="A18" s="10" t="s">
        <v>27</v>
      </c>
      <c r="B18" s="142"/>
      <c r="C18" s="107"/>
      <c r="D18" s="141" t="s">
        <v>206</v>
      </c>
      <c r="E18" s="142"/>
    </row>
    <row r="19" spans="1:5" ht="15" thickTop="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87298-8660-4F4D-B9A0-033BBD2093A5}">
  <sheetPr>
    <tabColor rgb="FFFF0000"/>
  </sheetPr>
  <dimension ref="A1:E19"/>
  <sheetViews>
    <sheetView workbookViewId="0"/>
  </sheetViews>
  <sheetFormatPr defaultRowHeight="14.4" x14ac:dyDescent="0.3"/>
  <cols>
    <col min="1" max="1" width="20" bestFit="1" customWidth="1"/>
    <col min="2" max="2" width="20.5546875" bestFit="1" customWidth="1"/>
    <col min="3" max="3" width="3.109375" customWidth="1"/>
    <col min="4" max="4" width="28.5546875" bestFit="1" customWidth="1"/>
    <col min="5" max="5" width="11.33203125" bestFit="1" customWidth="1"/>
  </cols>
  <sheetData>
    <row r="1" spans="1:5" x14ac:dyDescent="0.3">
      <c r="A1" s="14" t="s">
        <v>28</v>
      </c>
      <c r="B1" s="14"/>
      <c r="C1" s="10"/>
      <c r="D1" s="10"/>
      <c r="E1" s="10"/>
    </row>
    <row r="2" spans="1:5" x14ac:dyDescent="0.3">
      <c r="A2" s="11" t="s">
        <v>196</v>
      </c>
      <c r="B2" s="11" t="s">
        <v>810</v>
      </c>
      <c r="C2" s="10"/>
      <c r="D2" s="10"/>
      <c r="E2" s="10"/>
    </row>
    <row r="3" spans="1:5" x14ac:dyDescent="0.3">
      <c r="A3" s="11" t="s">
        <v>197</v>
      </c>
      <c r="B3" s="137">
        <v>3000</v>
      </c>
      <c r="C3" s="10"/>
      <c r="D3" s="10"/>
      <c r="E3" s="10"/>
    </row>
    <row r="4" spans="1:5" x14ac:dyDescent="0.3">
      <c r="A4" s="11" t="s">
        <v>198</v>
      </c>
      <c r="B4" s="137">
        <v>15000</v>
      </c>
      <c r="C4" s="10"/>
      <c r="D4" s="10"/>
      <c r="E4" s="10"/>
    </row>
    <row r="5" spans="1:5" x14ac:dyDescent="0.3">
      <c r="A5" s="11" t="s">
        <v>199</v>
      </c>
      <c r="B5" s="137">
        <v>2800</v>
      </c>
      <c r="C5" s="10"/>
      <c r="D5" s="10"/>
      <c r="E5" s="10"/>
    </row>
    <row r="6" spans="1:5" x14ac:dyDescent="0.3">
      <c r="A6" s="11" t="s">
        <v>200</v>
      </c>
      <c r="B6" s="137">
        <v>8000</v>
      </c>
      <c r="C6" s="10"/>
      <c r="D6" s="10"/>
      <c r="E6" s="10"/>
    </row>
    <row r="7" spans="1:5" x14ac:dyDescent="0.3">
      <c r="A7" s="10"/>
      <c r="B7" s="10"/>
      <c r="C7" s="10"/>
      <c r="D7" s="10"/>
      <c r="E7" s="10"/>
    </row>
    <row r="8" spans="1:5" x14ac:dyDescent="0.3">
      <c r="A8" s="14" t="s">
        <v>201</v>
      </c>
      <c r="B8" s="14"/>
      <c r="C8" s="10"/>
      <c r="D8" s="10"/>
      <c r="E8" s="10"/>
    </row>
    <row r="9" spans="1:5" x14ac:dyDescent="0.3">
      <c r="A9" s="11" t="s">
        <v>202</v>
      </c>
      <c r="B9" s="137"/>
      <c r="C9" s="10"/>
      <c r="D9" s="10"/>
      <c r="E9" s="10"/>
    </row>
    <row r="10" spans="1:5" x14ac:dyDescent="0.3">
      <c r="A10" s="11" t="s">
        <v>203</v>
      </c>
      <c r="B10" s="137"/>
      <c r="C10" s="10"/>
      <c r="D10" s="10"/>
      <c r="E10" s="10"/>
    </row>
    <row r="11" spans="1:5" x14ac:dyDescent="0.3">
      <c r="A11" s="10"/>
      <c r="B11" s="10"/>
      <c r="C11" s="10"/>
      <c r="D11" s="10"/>
      <c r="E11" s="10"/>
    </row>
    <row r="12" spans="1:5" x14ac:dyDescent="0.3">
      <c r="A12" s="89" t="str">
        <f>B2&amp;" Company"</f>
        <v>Your Name Company</v>
      </c>
      <c r="B12" s="89"/>
      <c r="C12" s="89"/>
      <c r="D12" s="89"/>
      <c r="E12" s="89"/>
    </row>
    <row r="13" spans="1:5" x14ac:dyDescent="0.3">
      <c r="A13" s="89" t="s">
        <v>1</v>
      </c>
      <c r="B13" s="89"/>
      <c r="C13" s="89"/>
      <c r="D13" s="89"/>
      <c r="E13" s="89"/>
    </row>
    <row r="14" spans="1:5" x14ac:dyDescent="0.3">
      <c r="A14" s="138" t="s">
        <v>10</v>
      </c>
      <c r="B14" s="138"/>
      <c r="C14" s="10"/>
      <c r="D14" s="138" t="s">
        <v>207</v>
      </c>
      <c r="E14" s="138"/>
    </row>
    <row r="15" spans="1:5" x14ac:dyDescent="0.3">
      <c r="A15" s="10" t="str">
        <f>A3</f>
        <v>CA</v>
      </c>
      <c r="B15" s="139">
        <f>B3</f>
        <v>3000</v>
      </c>
      <c r="C15" s="107"/>
      <c r="D15" s="107" t="str">
        <f>A5</f>
        <v>CL</v>
      </c>
      <c r="E15" s="139">
        <f>B5</f>
        <v>2800</v>
      </c>
    </row>
    <row r="16" spans="1:5" ht="15" thickBot="1" x14ac:dyDescent="0.35">
      <c r="A16" s="10" t="str">
        <f>A4</f>
        <v>NFA</v>
      </c>
      <c r="B16" s="140">
        <f>B4</f>
        <v>15000</v>
      </c>
      <c r="C16" s="107"/>
      <c r="D16" s="107" t="str">
        <f>A6</f>
        <v>LTD</v>
      </c>
      <c r="E16" s="139">
        <f>B6</f>
        <v>8000</v>
      </c>
    </row>
    <row r="17" spans="1:5" ht="15" thickBot="1" x14ac:dyDescent="0.35">
      <c r="A17" s="10"/>
      <c r="B17" s="107"/>
      <c r="C17" s="107"/>
      <c r="D17" s="141" t="s">
        <v>809</v>
      </c>
      <c r="E17" s="141">
        <f>B18-SUM(E15:E16)</f>
        <v>7200</v>
      </c>
    </row>
    <row r="18" spans="1:5" ht="15" thickBot="1" x14ac:dyDescent="0.35">
      <c r="A18" s="10" t="s">
        <v>27</v>
      </c>
      <c r="B18" s="142">
        <f>SUM(B15:B17)</f>
        <v>18000</v>
      </c>
      <c r="C18" s="107"/>
      <c r="D18" s="141" t="s">
        <v>206</v>
      </c>
      <c r="E18" s="142">
        <f>SUM(E15:E17)</f>
        <v>18000</v>
      </c>
    </row>
    <row r="19" spans="1:5" ht="15" thickTop="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AF84-60D3-41C5-9B17-8AA27D4368F2}">
  <sheetPr>
    <tabColor rgb="FF0000FF"/>
  </sheetPr>
  <dimension ref="A1:D18"/>
  <sheetViews>
    <sheetView zoomScaleNormal="100" workbookViewId="0"/>
  </sheetViews>
  <sheetFormatPr defaultRowHeight="14.4" x14ac:dyDescent="0.3"/>
  <cols>
    <col min="1" max="1" width="24" customWidth="1"/>
    <col min="2" max="3" width="8.109375" customWidth="1"/>
    <col min="4" max="4" width="24" customWidth="1"/>
  </cols>
  <sheetData>
    <row r="1" spans="1:4" ht="27" x14ac:dyDescent="0.3">
      <c r="A1" s="14" t="str">
        <f>'Balance Sheet'!A21</f>
        <v>Total Assets</v>
      </c>
      <c r="B1" s="10"/>
      <c r="C1" s="10"/>
      <c r="D1" s="14" t="str">
        <f>'Balance Sheet'!E21</f>
        <v>Total Liabilities and Shareholders' Equity</v>
      </c>
    </row>
    <row r="2" spans="1:4" x14ac:dyDescent="0.3">
      <c r="A2" s="10"/>
      <c r="B2" s="10"/>
      <c r="C2" s="10"/>
      <c r="D2" s="10"/>
    </row>
    <row r="3" spans="1:4" x14ac:dyDescent="0.3">
      <c r="A3" s="292" t="str">
        <f>'Balance Sheet'!A9</f>
        <v>Current assets</v>
      </c>
      <c r="B3" s="10"/>
      <c r="C3" s="10"/>
      <c r="D3" s="295" t="str">
        <f>'Balance Sheet'!E9</f>
        <v>Current Liabilities</v>
      </c>
    </row>
    <row r="4" spans="1:4" x14ac:dyDescent="0.3">
      <c r="A4" s="293"/>
      <c r="B4" s="10"/>
      <c r="C4" s="30"/>
      <c r="D4" s="295"/>
    </row>
    <row r="5" spans="1:4" x14ac:dyDescent="0.3">
      <c r="A5" s="293"/>
      <c r="B5" s="10"/>
      <c r="C5" s="10"/>
      <c r="D5" s="10"/>
    </row>
    <row r="6" spans="1:4" x14ac:dyDescent="0.3">
      <c r="A6" s="294"/>
      <c r="B6" s="31"/>
      <c r="C6" s="10"/>
      <c r="D6" s="296" t="str">
        <f>'Balance Sheet'!E14</f>
        <v>Long-term debt</v>
      </c>
    </row>
    <row r="7" spans="1:4" x14ac:dyDescent="0.3">
      <c r="A7" s="32"/>
      <c r="B7" s="10"/>
      <c r="C7" s="10"/>
      <c r="D7" s="297"/>
    </row>
    <row r="8" spans="1:4" x14ac:dyDescent="0.3">
      <c r="A8" s="33" t="s">
        <v>20</v>
      </c>
      <c r="B8" s="10"/>
      <c r="C8" s="10"/>
      <c r="D8" s="298"/>
    </row>
    <row r="9" spans="1:4" x14ac:dyDescent="0.3">
      <c r="A9" s="29" t="s">
        <v>33</v>
      </c>
      <c r="B9" s="10"/>
      <c r="C9" s="10"/>
      <c r="D9" s="32"/>
    </row>
    <row r="10" spans="1:4" x14ac:dyDescent="0.3">
      <c r="A10" s="34" t="s">
        <v>34</v>
      </c>
      <c r="B10" s="10"/>
      <c r="C10" s="10"/>
      <c r="D10" s="28" t="str">
        <f>'Balance Sheet'!E17</f>
        <v>Shareholders' Equity</v>
      </c>
    </row>
    <row r="12" spans="1:4" x14ac:dyDescent="0.3">
      <c r="A12" t="s">
        <v>46</v>
      </c>
    </row>
    <row r="14" spans="1:4" x14ac:dyDescent="0.3">
      <c r="A14" t="s">
        <v>47</v>
      </c>
    </row>
    <row r="15" spans="1:4" x14ac:dyDescent="0.3">
      <c r="A15" t="s">
        <v>48</v>
      </c>
    </row>
    <row r="18" spans="1:2" ht="43.2" x14ac:dyDescent="0.3">
      <c r="A18" s="45" t="s">
        <v>59</v>
      </c>
      <c r="B18" s="46"/>
    </row>
  </sheetData>
  <mergeCells count="3">
    <mergeCell ref="A3:A6"/>
    <mergeCell ref="D3:D4"/>
    <mergeCell ref="D6:D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B52A-2A68-461C-9C15-9D22F760C4E5}">
  <sheetPr>
    <tabColor rgb="FFFF0000"/>
  </sheetPr>
  <dimension ref="A1:D18"/>
  <sheetViews>
    <sheetView zoomScaleNormal="100" workbookViewId="0"/>
  </sheetViews>
  <sheetFormatPr defaultRowHeight="14.4" x14ac:dyDescent="0.3"/>
  <cols>
    <col min="1" max="1" width="24" customWidth="1"/>
    <col min="2" max="3" width="8.109375" customWidth="1"/>
    <col min="4" max="4" width="24" customWidth="1"/>
  </cols>
  <sheetData>
    <row r="1" spans="1:4" ht="27" x14ac:dyDescent="0.3">
      <c r="A1" s="14" t="str">
        <f>'Balance Sheet'!A21</f>
        <v>Total Assets</v>
      </c>
      <c r="B1" s="10"/>
      <c r="C1" s="10"/>
      <c r="D1" s="14" t="str">
        <f>'Balance Sheet'!E21</f>
        <v>Total Liabilities and Shareholders' Equity</v>
      </c>
    </row>
    <row r="2" spans="1:4" x14ac:dyDescent="0.3">
      <c r="A2" s="10"/>
      <c r="B2" s="10"/>
      <c r="C2" s="10"/>
      <c r="D2" s="10"/>
    </row>
    <row r="3" spans="1:4" x14ac:dyDescent="0.3">
      <c r="A3" s="292" t="str">
        <f>'Balance Sheet'!A9</f>
        <v>Current assets</v>
      </c>
      <c r="B3" s="10"/>
      <c r="C3" s="10"/>
      <c r="D3" s="295" t="str">
        <f>'Balance Sheet'!E9</f>
        <v>Current Liabilities</v>
      </c>
    </row>
    <row r="4" spans="1:4" x14ac:dyDescent="0.3">
      <c r="A4" s="293"/>
      <c r="B4" s="10"/>
      <c r="C4" s="30"/>
      <c r="D4" s="295"/>
    </row>
    <row r="5" spans="1:4" x14ac:dyDescent="0.3">
      <c r="A5" s="293"/>
      <c r="B5" s="10"/>
      <c r="C5" s="10"/>
      <c r="D5" s="10"/>
    </row>
    <row r="6" spans="1:4" x14ac:dyDescent="0.3">
      <c r="A6" s="294"/>
      <c r="B6" s="31"/>
      <c r="C6" s="10"/>
      <c r="D6" s="296" t="str">
        <f>'Balance Sheet'!E14</f>
        <v>Long-term debt</v>
      </c>
    </row>
    <row r="7" spans="1:4" x14ac:dyDescent="0.3">
      <c r="A7" s="32"/>
      <c r="B7" s="10"/>
      <c r="C7" s="10"/>
      <c r="D7" s="297"/>
    </row>
    <row r="8" spans="1:4" x14ac:dyDescent="0.3">
      <c r="A8" s="33" t="s">
        <v>20</v>
      </c>
      <c r="B8" s="10"/>
      <c r="C8" s="10"/>
      <c r="D8" s="298"/>
    </row>
    <row r="9" spans="1:4" x14ac:dyDescent="0.3">
      <c r="A9" s="29" t="s">
        <v>33</v>
      </c>
      <c r="B9" s="10"/>
      <c r="C9" s="10"/>
      <c r="D9" s="32"/>
    </row>
    <row r="10" spans="1:4" x14ac:dyDescent="0.3">
      <c r="A10" s="34" t="s">
        <v>34</v>
      </c>
      <c r="B10" s="10"/>
      <c r="C10" s="10"/>
      <c r="D10" s="28" t="str">
        <f>'Balance Sheet'!E17</f>
        <v>Shareholders' Equity</v>
      </c>
    </row>
    <row r="12" spans="1:4" x14ac:dyDescent="0.3">
      <c r="A12" t="s">
        <v>46</v>
      </c>
    </row>
    <row r="14" spans="1:4" x14ac:dyDescent="0.3">
      <c r="A14" t="s">
        <v>47</v>
      </c>
    </row>
    <row r="15" spans="1:4" x14ac:dyDescent="0.3">
      <c r="A15" t="s">
        <v>48</v>
      </c>
    </row>
    <row r="18" spans="1:2" ht="43.2" x14ac:dyDescent="0.3">
      <c r="A18" s="45" t="s">
        <v>59</v>
      </c>
      <c r="B18" s="46">
        <f>'Balance Sheet (an)'!B13-'Balance Sheet (an)'!F12</f>
        <v>704</v>
      </c>
    </row>
  </sheetData>
  <mergeCells count="3">
    <mergeCell ref="A3:A6"/>
    <mergeCell ref="D3:D4"/>
    <mergeCell ref="D6:D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A0EE-23F9-45B4-B8BD-F48BFF71D64B}">
  <sheetPr>
    <tabColor rgb="FF0000FF"/>
  </sheetPr>
  <dimension ref="A1:G15"/>
  <sheetViews>
    <sheetView workbookViewId="0"/>
  </sheetViews>
  <sheetFormatPr defaultColWidth="9.109375" defaultRowHeight="13.2" x14ac:dyDescent="0.25"/>
  <cols>
    <col min="1" max="1" width="15.44140625" style="10" bestFit="1" customWidth="1"/>
    <col min="2" max="2" width="9.109375" style="10"/>
    <col min="3" max="3" width="13.5546875" style="10" bestFit="1" customWidth="1"/>
    <col min="4" max="4" width="9.109375" style="10"/>
    <col min="5" max="5" width="5.5546875" style="10" customWidth="1"/>
    <col min="6" max="6" width="34.44140625" style="10" customWidth="1"/>
    <col min="7" max="16384" width="9.109375" style="10"/>
  </cols>
  <sheetData>
    <row r="1" spans="1:7" x14ac:dyDescent="0.25">
      <c r="A1" s="14" t="s">
        <v>63</v>
      </c>
      <c r="B1" s="48">
        <v>250</v>
      </c>
    </row>
    <row r="2" spans="1:7" x14ac:dyDescent="0.25">
      <c r="A2" s="14" t="s">
        <v>20</v>
      </c>
      <c r="B2" s="48">
        <v>625</v>
      </c>
    </row>
    <row r="3" spans="1:7" x14ac:dyDescent="0.25">
      <c r="A3" s="14" t="s">
        <v>13</v>
      </c>
      <c r="B3" s="48">
        <v>130</v>
      </c>
    </row>
    <row r="4" spans="1:7" x14ac:dyDescent="0.25">
      <c r="A4" s="14" t="s">
        <v>64</v>
      </c>
      <c r="B4" s="48">
        <v>265</v>
      </c>
    </row>
    <row r="6" spans="1:7" x14ac:dyDescent="0.25">
      <c r="C6" s="299" t="s">
        <v>10</v>
      </c>
      <c r="D6" s="299"/>
      <c r="F6" s="299" t="s">
        <v>11</v>
      </c>
      <c r="G6" s="299"/>
    </row>
    <row r="7" spans="1:7" x14ac:dyDescent="0.25">
      <c r="C7" s="10" t="str">
        <f>A1</f>
        <v>Current Assets</v>
      </c>
      <c r="D7" s="20">
        <f>B1</f>
        <v>250</v>
      </c>
      <c r="F7" s="10" t="str">
        <f>A3</f>
        <v>Current Liabilities</v>
      </c>
      <c r="G7" s="20">
        <f>B3</f>
        <v>130</v>
      </c>
    </row>
    <row r="8" spans="1:7" x14ac:dyDescent="0.25">
      <c r="C8" s="10" t="str">
        <f>A2</f>
        <v>Fixed Assets</v>
      </c>
      <c r="D8" s="20">
        <f>B2</f>
        <v>625</v>
      </c>
      <c r="F8" s="10" t="str">
        <f>A4</f>
        <v>Long-term Debt</v>
      </c>
      <c r="G8" s="20">
        <f>B4</f>
        <v>265</v>
      </c>
    </row>
    <row r="9" spans="1:7" x14ac:dyDescent="0.25">
      <c r="F9" s="10" t="s">
        <v>23</v>
      </c>
      <c r="G9" s="52"/>
    </row>
    <row r="10" spans="1:7" x14ac:dyDescent="0.25">
      <c r="F10" s="10" t="s">
        <v>24</v>
      </c>
      <c r="G10" s="52"/>
    </row>
    <row r="11" spans="1:7" ht="13.8" thickBot="1" x14ac:dyDescent="0.3">
      <c r="C11" s="10" t="s">
        <v>60</v>
      </c>
      <c r="D11" s="51"/>
      <c r="F11" s="10" t="s">
        <v>61</v>
      </c>
      <c r="G11" s="51"/>
    </row>
    <row r="12" spans="1:7" ht="13.8" thickTop="1" x14ac:dyDescent="0.25"/>
    <row r="13" spans="1:7" x14ac:dyDescent="0.25">
      <c r="C13" s="10" t="s">
        <v>62</v>
      </c>
      <c r="F13" s="53"/>
    </row>
    <row r="14" spans="1:7" ht="13.8" thickBot="1" x14ac:dyDescent="0.3">
      <c r="C14" s="50"/>
      <c r="D14" s="50"/>
      <c r="E14" s="50"/>
      <c r="F14" s="50"/>
      <c r="G14" s="50"/>
    </row>
    <row r="15" spans="1:7" ht="13.8" thickTop="1" x14ac:dyDescent="0.25"/>
  </sheetData>
  <mergeCells count="2">
    <mergeCell ref="C6:D6"/>
    <mergeCell ref="F6:G6"/>
  </mergeCell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D337-978A-4563-94E0-01C814A59097}">
  <sheetPr>
    <tabColor rgb="FFFF0000"/>
  </sheetPr>
  <dimension ref="A1:G30"/>
  <sheetViews>
    <sheetView workbookViewId="0"/>
  </sheetViews>
  <sheetFormatPr defaultColWidth="9.109375" defaultRowHeight="13.2" x14ac:dyDescent="0.25"/>
  <cols>
    <col min="1" max="1" width="15.44140625" style="10" bestFit="1" customWidth="1"/>
    <col min="2" max="2" width="9.109375" style="10"/>
    <col min="3" max="3" width="13.5546875" style="10" bestFit="1" customWidth="1"/>
    <col min="4" max="4" width="9.109375" style="10"/>
    <col min="5" max="5" width="2.44140625" style="10" customWidth="1"/>
    <col min="6" max="6" width="34.44140625" style="10" customWidth="1"/>
    <col min="7" max="16384" width="9.109375" style="10"/>
  </cols>
  <sheetData>
    <row r="1" spans="1:7" x14ac:dyDescent="0.25">
      <c r="A1" s="274" t="s">
        <v>28</v>
      </c>
      <c r="B1" s="47"/>
    </row>
    <row r="2" spans="1:7" x14ac:dyDescent="0.25">
      <c r="A2" s="14" t="str">
        <f>'Build BS'!A1</f>
        <v>Current Assets</v>
      </c>
      <c r="B2" s="48">
        <f>'Build BS'!B1</f>
        <v>250</v>
      </c>
    </row>
    <row r="3" spans="1:7" x14ac:dyDescent="0.25">
      <c r="A3" s="14" t="str">
        <f>'Build BS'!A2</f>
        <v>Fixed Assets</v>
      </c>
      <c r="B3" s="48">
        <f>'Build BS'!B2</f>
        <v>625</v>
      </c>
    </row>
    <row r="4" spans="1:7" x14ac:dyDescent="0.25">
      <c r="A4" s="14" t="str">
        <f>'Build BS'!A3</f>
        <v>Current Liabilities</v>
      </c>
      <c r="B4" s="48">
        <f>'Build BS'!B3</f>
        <v>130</v>
      </c>
    </row>
    <row r="5" spans="1:7" x14ac:dyDescent="0.25">
      <c r="A5" s="14" t="str">
        <f>'Build BS'!A4</f>
        <v>Long-term Debt</v>
      </c>
      <c r="B5" s="48">
        <f>'Build BS'!B4</f>
        <v>265</v>
      </c>
    </row>
    <row r="7" spans="1:7" x14ac:dyDescent="0.25">
      <c r="C7" s="299" t="s">
        <v>10</v>
      </c>
      <c r="D7" s="299"/>
      <c r="F7" s="299" t="s">
        <v>11</v>
      </c>
      <c r="G7" s="299"/>
    </row>
    <row r="8" spans="1:7" x14ac:dyDescent="0.25">
      <c r="C8" s="10" t="str">
        <f>A2</f>
        <v>Current Assets</v>
      </c>
      <c r="D8" s="20">
        <f>B2</f>
        <v>250</v>
      </c>
      <c r="F8" s="10" t="str">
        <f>A4</f>
        <v>Current Liabilities</v>
      </c>
      <c r="G8" s="20">
        <f>B4</f>
        <v>130</v>
      </c>
    </row>
    <row r="9" spans="1:7" x14ac:dyDescent="0.25">
      <c r="C9" s="10" t="str">
        <f>A3</f>
        <v>Fixed Assets</v>
      </c>
      <c r="D9" s="20">
        <f>B3</f>
        <v>625</v>
      </c>
      <c r="F9" s="10" t="str">
        <f>A5</f>
        <v>Long-term Debt</v>
      </c>
      <c r="G9" s="20">
        <f>B5</f>
        <v>265</v>
      </c>
    </row>
    <row r="10" spans="1:7" x14ac:dyDescent="0.25">
      <c r="F10" s="10" t="s">
        <v>23</v>
      </c>
      <c r="G10" s="20">
        <f>SUM(G8:G9)</f>
        <v>395</v>
      </c>
    </row>
    <row r="11" spans="1:7" x14ac:dyDescent="0.25">
      <c r="F11" s="10" t="s">
        <v>24</v>
      </c>
      <c r="G11" s="20">
        <f>D12-G10</f>
        <v>480</v>
      </c>
    </row>
    <row r="12" spans="1:7" ht="13.8" thickBot="1" x14ac:dyDescent="0.3">
      <c r="C12" s="10" t="s">
        <v>60</v>
      </c>
      <c r="D12" s="49">
        <f>SUM(D8:D9)</f>
        <v>875</v>
      </c>
      <c r="F12" s="10" t="s">
        <v>61</v>
      </c>
      <c r="G12" s="49">
        <f>SUM(G10:G11)</f>
        <v>875</v>
      </c>
    </row>
    <row r="13" spans="1:7" ht="13.8" thickTop="1" x14ac:dyDescent="0.25">
      <c r="D13" s="20"/>
      <c r="G13" s="20"/>
    </row>
    <row r="14" spans="1:7" x14ac:dyDescent="0.25">
      <c r="C14" s="10" t="str">
        <f>"Working Capital = "&amp;DOLLAR(D8,0)&amp;" - "&amp;DOLLAR(G8,0)&amp;" = "&amp;DOLLAR(D8-G8,0)</f>
        <v>Working Capital = $250 - $130 = $120</v>
      </c>
      <c r="D14" s="20"/>
      <c r="G14" s="20"/>
    </row>
    <row r="15" spans="1:7" ht="13.8" thickBot="1" x14ac:dyDescent="0.3">
      <c r="C15" s="50"/>
      <c r="D15" s="50"/>
      <c r="E15" s="50"/>
      <c r="F15" s="50"/>
      <c r="G15" s="50"/>
    </row>
    <row r="16" spans="1:7" customFormat="1" ht="15" thickTop="1" x14ac:dyDescent="0.3"/>
    <row r="17" customFormat="1" ht="14.4" x14ac:dyDescent="0.3"/>
    <row r="18" customFormat="1" ht="14.4" x14ac:dyDescent="0.3"/>
    <row r="19" customFormat="1" ht="14.4" x14ac:dyDescent="0.3"/>
    <row r="20" customFormat="1" ht="14.4" x14ac:dyDescent="0.3"/>
    <row r="21" customFormat="1" ht="14.4" x14ac:dyDescent="0.3"/>
    <row r="22" customFormat="1" ht="14.4" x14ac:dyDescent="0.3"/>
    <row r="23" customFormat="1" ht="14.4" x14ac:dyDescent="0.3"/>
    <row r="24" customFormat="1" ht="14.4" x14ac:dyDescent="0.3"/>
    <row r="25" customFormat="1" ht="14.4" x14ac:dyDescent="0.3"/>
    <row r="26" customFormat="1" ht="14.4" x14ac:dyDescent="0.3"/>
    <row r="27" customFormat="1" ht="14.4" x14ac:dyDescent="0.3"/>
    <row r="28" customFormat="1" ht="14.4" x14ac:dyDescent="0.3"/>
    <row r="29" customFormat="1" ht="14.4" x14ac:dyDescent="0.3"/>
    <row r="30" customFormat="1" ht="14.4" x14ac:dyDescent="0.3"/>
  </sheetData>
  <mergeCells count="2">
    <mergeCell ref="C7:D7"/>
    <mergeCell ref="F7:G7"/>
  </mergeCell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DBAE-5549-4B45-9635-189346C49F1B}">
  <sheetPr>
    <tabColor rgb="FF0000FF"/>
  </sheetPr>
  <dimension ref="A1:D27"/>
  <sheetViews>
    <sheetView workbookViewId="0"/>
  </sheetViews>
  <sheetFormatPr defaultRowHeight="14.4" x14ac:dyDescent="0.3"/>
  <cols>
    <col min="1" max="1" width="46.6640625" bestFit="1" customWidth="1"/>
    <col min="2" max="2" width="24.6640625" bestFit="1" customWidth="1"/>
  </cols>
  <sheetData>
    <row r="1" spans="1:4" x14ac:dyDescent="0.3">
      <c r="A1" s="268" t="s">
        <v>28</v>
      </c>
      <c r="B1" s="268"/>
      <c r="C1" s="10"/>
      <c r="D1" s="10"/>
    </row>
    <row r="2" spans="1:4" x14ac:dyDescent="0.3">
      <c r="A2" s="11" t="s">
        <v>196</v>
      </c>
      <c r="B2" s="143" t="s">
        <v>811</v>
      </c>
      <c r="C2" s="10"/>
      <c r="D2" s="10"/>
    </row>
    <row r="3" spans="1:4" x14ac:dyDescent="0.3">
      <c r="A3" s="11" t="s">
        <v>208</v>
      </c>
      <c r="B3" s="312">
        <v>40178</v>
      </c>
      <c r="C3" s="10"/>
      <c r="D3" s="10"/>
    </row>
    <row r="4" spans="1:4" x14ac:dyDescent="0.3">
      <c r="A4" s="11" t="s">
        <v>209</v>
      </c>
      <c r="B4" s="12">
        <f>EDATE(B3,12)</f>
        <v>40543</v>
      </c>
      <c r="C4" s="10"/>
      <c r="D4" s="10"/>
    </row>
    <row r="5" spans="1:4" x14ac:dyDescent="0.3">
      <c r="A5" s="11" t="s">
        <v>210</v>
      </c>
      <c r="B5" s="143" t="s">
        <v>1</v>
      </c>
      <c r="C5" s="10"/>
      <c r="D5" s="10"/>
    </row>
    <row r="6" spans="1:4" x14ac:dyDescent="0.3">
      <c r="A6" s="11"/>
      <c r="B6" s="143" t="s">
        <v>2</v>
      </c>
      <c r="C6" s="10"/>
      <c r="D6" s="10"/>
    </row>
    <row r="7" spans="1:4" x14ac:dyDescent="0.3">
      <c r="A7" s="11" t="s">
        <v>211</v>
      </c>
      <c r="B7" s="143" t="s">
        <v>22</v>
      </c>
      <c r="C7" s="10"/>
      <c r="D7" s="10"/>
    </row>
    <row r="8" spans="1:4" x14ac:dyDescent="0.3">
      <c r="A8" s="11"/>
      <c r="B8" s="143" t="s">
        <v>170</v>
      </c>
      <c r="C8" s="10"/>
      <c r="D8" s="10"/>
    </row>
    <row r="9" spans="1:4" x14ac:dyDescent="0.3">
      <c r="A9" s="11" t="str">
        <f>B$5&amp;" "&amp;B$7&amp;", "&amp;TEXT(B3,"mmmm d, yyyy")</f>
        <v>Balance Sheet Net Fixed Assets, December 31, 2009</v>
      </c>
      <c r="B9" s="313">
        <v>500000</v>
      </c>
      <c r="C9" s="10"/>
      <c r="D9" s="10"/>
    </row>
    <row r="10" spans="1:4" x14ac:dyDescent="0.3">
      <c r="A10" s="11" t="str">
        <f>B$5&amp;" "&amp;B$7&amp;", "&amp;TEXT(B4,"mmmm d, yyyy")</f>
        <v>Balance Sheet Net Fixed Assets, December 31, 2010</v>
      </c>
      <c r="B10" s="313">
        <v>650000</v>
      </c>
      <c r="C10" s="10"/>
      <c r="D10" s="10"/>
    </row>
    <row r="11" spans="1:4" x14ac:dyDescent="0.3">
      <c r="A11" s="11" t="str">
        <f>YEAR(B4)&amp;" "&amp;B6&amp;" "&amp;B8</f>
        <v>2010 Income Statement Depreciation Expense</v>
      </c>
      <c r="B11" s="313">
        <v>115000</v>
      </c>
      <c r="C11" s="10"/>
      <c r="D11" s="10"/>
    </row>
    <row r="12" spans="1:4" x14ac:dyDescent="0.3">
      <c r="A12" s="10"/>
      <c r="B12" s="10"/>
      <c r="C12" s="10"/>
      <c r="D12" s="10"/>
    </row>
    <row r="13" spans="1:4" x14ac:dyDescent="0.3">
      <c r="A13" s="11" t="str">
        <f>"Net Capital Spending for "&amp;YEAR($B$4)</f>
        <v>Net Capital Spending for 2010</v>
      </c>
      <c r="B13" s="315"/>
      <c r="C13" s="10"/>
      <c r="D13" s="10"/>
    </row>
    <row r="14" spans="1:4" x14ac:dyDescent="0.3">
      <c r="C14" s="10"/>
      <c r="D14" s="10"/>
    </row>
    <row r="15" spans="1:4" x14ac:dyDescent="0.3">
      <c r="A15" s="268" t="s">
        <v>28</v>
      </c>
      <c r="B15" s="268"/>
      <c r="C15" s="10"/>
      <c r="D15" s="10"/>
    </row>
    <row r="16" spans="1:4" x14ac:dyDescent="0.3">
      <c r="A16" s="11" t="s">
        <v>196</v>
      </c>
      <c r="B16" s="143" t="s">
        <v>811</v>
      </c>
      <c r="C16" s="10"/>
      <c r="D16" s="10"/>
    </row>
    <row r="17" spans="1:2" x14ac:dyDescent="0.3">
      <c r="A17" s="11" t="s">
        <v>208</v>
      </c>
      <c r="B17" s="312">
        <v>40178</v>
      </c>
    </row>
    <row r="18" spans="1:2" x14ac:dyDescent="0.3">
      <c r="A18" s="11" t="s">
        <v>209</v>
      </c>
      <c r="B18" s="312">
        <v>40543</v>
      </c>
    </row>
    <row r="19" spans="1:2" x14ac:dyDescent="0.3">
      <c r="A19" s="11" t="s">
        <v>210</v>
      </c>
      <c r="B19" s="143" t="s">
        <v>1</v>
      </c>
    </row>
    <row r="20" spans="1:2" x14ac:dyDescent="0.3">
      <c r="A20" s="11"/>
      <c r="B20" s="143" t="s">
        <v>2</v>
      </c>
    </row>
    <row r="21" spans="1:2" x14ac:dyDescent="0.3">
      <c r="A21" s="11" t="s">
        <v>211</v>
      </c>
      <c r="B21" s="143" t="s">
        <v>22</v>
      </c>
    </row>
    <row r="22" spans="1:2" x14ac:dyDescent="0.3">
      <c r="A22" s="11"/>
      <c r="B22" s="143" t="s">
        <v>170</v>
      </c>
    </row>
    <row r="23" spans="1:2" x14ac:dyDescent="0.3">
      <c r="A23" s="11" t="str">
        <f>B$5&amp;" "&amp;B$7&amp;", "&amp;TEXT(B17,"mmmm d, yyyy")</f>
        <v>Balance Sheet Net Fixed Assets, December 31, 2009</v>
      </c>
      <c r="B23" s="313">
        <v>500000</v>
      </c>
    </row>
    <row r="24" spans="1:2" x14ac:dyDescent="0.3">
      <c r="A24" s="11" t="str">
        <f>B$5&amp;" "&amp;B$7&amp;", "&amp;TEXT(B18,"mmmm d, yyyy")</f>
        <v>Balance Sheet Net Fixed Assets, December 31, 2010</v>
      </c>
      <c r="B24" s="313">
        <v>350000</v>
      </c>
    </row>
    <row r="25" spans="1:2" x14ac:dyDescent="0.3">
      <c r="A25" s="11" t="str">
        <f>YEAR(B18)&amp;" "&amp;B20&amp;" "&amp;B22</f>
        <v>2010 Income Statement Depreciation Expense</v>
      </c>
      <c r="B25" s="313">
        <v>25000</v>
      </c>
    </row>
    <row r="26" spans="1:2" x14ac:dyDescent="0.3">
      <c r="A26" s="10"/>
      <c r="B26" s="10"/>
    </row>
    <row r="27" spans="1:2" x14ac:dyDescent="0.3">
      <c r="A27" s="11" t="str">
        <f>"Net Capital Spending for "&amp;YEAR($B$4)</f>
        <v>Net Capital Spending for 2010</v>
      </c>
      <c r="B27" s="31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4612-2856-4E99-9121-59B6A7329E86}">
  <sheetPr>
    <tabColor rgb="FFFF0000"/>
  </sheetPr>
  <dimension ref="A1:D27"/>
  <sheetViews>
    <sheetView workbookViewId="0"/>
  </sheetViews>
  <sheetFormatPr defaultRowHeight="14.4" x14ac:dyDescent="0.3"/>
  <cols>
    <col min="1" max="1" width="46.6640625" bestFit="1" customWidth="1"/>
    <col min="2" max="2" width="24.6640625" bestFit="1" customWidth="1"/>
  </cols>
  <sheetData>
    <row r="1" spans="1:4" x14ac:dyDescent="0.3">
      <c r="A1" s="268" t="s">
        <v>28</v>
      </c>
      <c r="B1" s="268"/>
      <c r="C1" s="10"/>
      <c r="D1" s="10"/>
    </row>
    <row r="2" spans="1:4" x14ac:dyDescent="0.3">
      <c r="A2" s="11" t="s">
        <v>196</v>
      </c>
      <c r="B2" s="143" t="s">
        <v>811</v>
      </c>
      <c r="C2" s="10"/>
      <c r="D2" s="10"/>
    </row>
    <row r="3" spans="1:4" x14ac:dyDescent="0.3">
      <c r="A3" s="11" t="s">
        <v>208</v>
      </c>
      <c r="B3" s="312">
        <v>40178</v>
      </c>
      <c r="C3" s="10"/>
      <c r="D3" s="10"/>
    </row>
    <row r="4" spans="1:4" x14ac:dyDescent="0.3">
      <c r="A4" s="11" t="s">
        <v>209</v>
      </c>
      <c r="B4" s="312">
        <v>40543</v>
      </c>
      <c r="C4" s="10"/>
      <c r="D4" s="10"/>
    </row>
    <row r="5" spans="1:4" x14ac:dyDescent="0.3">
      <c r="A5" s="11" t="s">
        <v>210</v>
      </c>
      <c r="B5" s="143" t="s">
        <v>1</v>
      </c>
      <c r="C5" s="10"/>
      <c r="D5" s="10"/>
    </row>
    <row r="6" spans="1:4" x14ac:dyDescent="0.3">
      <c r="A6" s="11"/>
      <c r="B6" s="143" t="s">
        <v>2</v>
      </c>
      <c r="C6" s="10"/>
      <c r="D6" s="10"/>
    </row>
    <row r="7" spans="1:4" x14ac:dyDescent="0.3">
      <c r="A7" s="11" t="s">
        <v>211</v>
      </c>
      <c r="B7" s="143" t="s">
        <v>22</v>
      </c>
      <c r="C7" s="10"/>
      <c r="D7" s="10"/>
    </row>
    <row r="8" spans="1:4" x14ac:dyDescent="0.3">
      <c r="A8" s="11"/>
      <c r="B8" s="143" t="s">
        <v>170</v>
      </c>
      <c r="C8" s="10"/>
      <c r="D8" s="10"/>
    </row>
    <row r="9" spans="1:4" x14ac:dyDescent="0.3">
      <c r="A9" s="11" t="str">
        <f>B$5&amp;" "&amp;B$7&amp;", "&amp;TEXT(B3,"mmmm d, yyyy")</f>
        <v>Balance Sheet Net Fixed Assets, December 31, 2009</v>
      </c>
      <c r="B9" s="313">
        <v>500000</v>
      </c>
      <c r="C9" s="10"/>
      <c r="D9" s="10"/>
    </row>
    <row r="10" spans="1:4" x14ac:dyDescent="0.3">
      <c r="A10" s="11" t="str">
        <f>B$5&amp;" "&amp;B$7&amp;", "&amp;TEXT(B4,"mmmm d, yyyy")</f>
        <v>Balance Sheet Net Fixed Assets, December 31, 2010</v>
      </c>
      <c r="B10" s="313">
        <v>650000</v>
      </c>
      <c r="C10" s="10"/>
      <c r="D10" s="10"/>
    </row>
    <row r="11" spans="1:4" x14ac:dyDescent="0.3">
      <c r="A11" s="11" t="str">
        <f>YEAR(B4)&amp;" "&amp;B6&amp;" "&amp;B8</f>
        <v>2010 Income Statement Depreciation Expense</v>
      </c>
      <c r="B11" s="313">
        <v>115000</v>
      </c>
      <c r="C11" s="10"/>
      <c r="D11" s="10"/>
    </row>
    <row r="12" spans="1:4" x14ac:dyDescent="0.3">
      <c r="A12" s="10"/>
      <c r="B12" s="314"/>
      <c r="C12" s="10"/>
      <c r="D12" s="10"/>
    </row>
    <row r="13" spans="1:4" x14ac:dyDescent="0.3">
      <c r="A13" s="11" t="str">
        <f>"Net Capital Spending for "&amp;YEAR($B$4)</f>
        <v>Net Capital Spending for 2010</v>
      </c>
      <c r="B13" s="315">
        <f>B10-B9+B11</f>
        <v>265000</v>
      </c>
      <c r="C13" s="10"/>
      <c r="D13" s="10"/>
    </row>
    <row r="14" spans="1:4" x14ac:dyDescent="0.3">
      <c r="C14" s="10"/>
      <c r="D14" s="10"/>
    </row>
    <row r="15" spans="1:4" x14ac:dyDescent="0.3">
      <c r="A15" s="268" t="s">
        <v>28</v>
      </c>
      <c r="B15" s="268"/>
      <c r="C15" s="10"/>
      <c r="D15" s="10"/>
    </row>
    <row r="16" spans="1:4" x14ac:dyDescent="0.3">
      <c r="A16" s="11" t="s">
        <v>196</v>
      </c>
      <c r="B16" s="143" t="s">
        <v>811</v>
      </c>
      <c r="C16" s="10"/>
      <c r="D16" s="10"/>
    </row>
    <row r="17" spans="1:2" x14ac:dyDescent="0.3">
      <c r="A17" s="11" t="s">
        <v>208</v>
      </c>
      <c r="B17" s="312">
        <v>40178</v>
      </c>
    </row>
    <row r="18" spans="1:2" x14ac:dyDescent="0.3">
      <c r="A18" s="11" t="s">
        <v>209</v>
      </c>
      <c r="B18" s="312">
        <v>40543</v>
      </c>
    </row>
    <row r="19" spans="1:2" x14ac:dyDescent="0.3">
      <c r="A19" s="11" t="s">
        <v>210</v>
      </c>
      <c r="B19" s="143" t="s">
        <v>1</v>
      </c>
    </row>
    <row r="20" spans="1:2" x14ac:dyDescent="0.3">
      <c r="A20" s="11"/>
      <c r="B20" s="143" t="s">
        <v>2</v>
      </c>
    </row>
    <row r="21" spans="1:2" x14ac:dyDescent="0.3">
      <c r="A21" s="11" t="s">
        <v>211</v>
      </c>
      <c r="B21" s="143" t="s">
        <v>22</v>
      </c>
    </row>
    <row r="22" spans="1:2" x14ac:dyDescent="0.3">
      <c r="A22" s="11"/>
      <c r="B22" s="143" t="s">
        <v>170</v>
      </c>
    </row>
    <row r="23" spans="1:2" x14ac:dyDescent="0.3">
      <c r="A23" s="11" t="str">
        <f>B$5&amp;" "&amp;B$7&amp;", "&amp;TEXT(B17,"mmmm d, yyyy")</f>
        <v>Balance Sheet Net Fixed Assets, December 31, 2009</v>
      </c>
      <c r="B23" s="313">
        <v>500000</v>
      </c>
    </row>
    <row r="24" spans="1:2" x14ac:dyDescent="0.3">
      <c r="A24" s="11" t="str">
        <f>B$5&amp;" "&amp;B$7&amp;", "&amp;TEXT(B18,"mmmm d, yyyy")</f>
        <v>Balance Sheet Net Fixed Assets, December 31, 2010</v>
      </c>
      <c r="B24" s="313">
        <v>350000</v>
      </c>
    </row>
    <row r="25" spans="1:2" x14ac:dyDescent="0.3">
      <c r="A25" s="11" t="str">
        <f>YEAR(B18)&amp;" "&amp;B20&amp;" "&amp;B22</f>
        <v>2010 Income Statement Depreciation Expense</v>
      </c>
      <c r="B25" s="313">
        <v>25000</v>
      </c>
    </row>
    <row r="26" spans="1:2" x14ac:dyDescent="0.3">
      <c r="A26" s="10"/>
      <c r="B26" s="314"/>
    </row>
    <row r="27" spans="1:2" x14ac:dyDescent="0.3">
      <c r="A27" s="11" t="str">
        <f>"Net Capital Spending for "&amp;YEAR($B$4)</f>
        <v>Net Capital Spending for 2010</v>
      </c>
      <c r="B27" s="315">
        <f>B24-B23+B25</f>
        <v>-125000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E8CF-4128-4F1A-9625-8DE85FB41383}">
  <sheetPr>
    <tabColor rgb="FF0000FF"/>
  </sheetPr>
  <dimension ref="A1:A15"/>
  <sheetViews>
    <sheetView workbookViewId="0"/>
  </sheetViews>
  <sheetFormatPr defaultRowHeight="14.4" x14ac:dyDescent="0.3"/>
  <cols>
    <col min="1" max="1" width="102.88671875" style="45" bestFit="1" customWidth="1"/>
  </cols>
  <sheetData>
    <row r="1" spans="1:1" ht="28.8" x14ac:dyDescent="0.55000000000000004">
      <c r="A1" s="59" t="s">
        <v>51</v>
      </c>
    </row>
    <row r="3" spans="1:1" x14ac:dyDescent="0.3">
      <c r="A3" s="60" t="s">
        <v>52</v>
      </c>
    </row>
    <row r="4" spans="1:1" x14ac:dyDescent="0.3">
      <c r="A4" s="61" t="s">
        <v>53</v>
      </c>
    </row>
    <row r="5" spans="1:1" x14ac:dyDescent="0.3">
      <c r="A5" s="61" t="s">
        <v>54</v>
      </c>
    </row>
    <row r="6" spans="1:1" x14ac:dyDescent="0.3">
      <c r="A6" s="60" t="s">
        <v>55</v>
      </c>
    </row>
    <row r="7" spans="1:1" x14ac:dyDescent="0.3">
      <c r="A7" s="61" t="s">
        <v>56</v>
      </c>
    </row>
    <row r="8" spans="1:1" x14ac:dyDescent="0.3">
      <c r="A8" s="60" t="s">
        <v>57</v>
      </c>
    </row>
    <row r="9" spans="1:1" x14ac:dyDescent="0.3">
      <c r="A9" s="61" t="s">
        <v>797</v>
      </c>
    </row>
    <row r="10" spans="1:1" x14ac:dyDescent="0.3">
      <c r="A10" s="60" t="s">
        <v>58</v>
      </c>
    </row>
    <row r="12" spans="1:1" x14ac:dyDescent="0.3">
      <c r="A12" s="60" t="s">
        <v>65</v>
      </c>
    </row>
    <row r="13" spans="1:1" x14ac:dyDescent="0.3">
      <c r="A13" s="61" t="s">
        <v>66</v>
      </c>
    </row>
    <row r="14" spans="1:1" x14ac:dyDescent="0.3">
      <c r="A14" s="60" t="s">
        <v>67</v>
      </c>
    </row>
    <row r="15" spans="1:1" ht="28.8" x14ac:dyDescent="0.3">
      <c r="A15" s="61" t="s">
        <v>798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F9D0-D132-4710-B7C5-66A9B31779F3}">
  <sheetPr>
    <tabColor rgb="FF0000FF"/>
  </sheetPr>
  <dimension ref="A1:E5"/>
  <sheetViews>
    <sheetView zoomScale="130" zoomScaleNormal="130" workbookViewId="0"/>
  </sheetViews>
  <sheetFormatPr defaultRowHeight="14.4" x14ac:dyDescent="0.3"/>
  <cols>
    <col min="1" max="1" width="27.44140625" customWidth="1"/>
    <col min="2" max="2" width="2.6640625" bestFit="1" customWidth="1"/>
    <col min="3" max="3" width="27.44140625" customWidth="1"/>
    <col min="4" max="4" width="2.88671875" customWidth="1"/>
    <col min="5" max="5" width="27.44140625" customWidth="1"/>
  </cols>
  <sheetData>
    <row r="1" spans="1:5" x14ac:dyDescent="0.3">
      <c r="A1" s="35" t="str">
        <f>'Balance Sheet'!A7</f>
        <v>Assets</v>
      </c>
      <c r="B1" s="36" t="s">
        <v>35</v>
      </c>
      <c r="C1" s="37" t="s">
        <v>36</v>
      </c>
      <c r="D1" s="10" t="s">
        <v>37</v>
      </c>
      <c r="E1" s="38" t="str">
        <f>'Balance Sheet'!E17</f>
        <v>Shareholders' Equity</v>
      </c>
    </row>
    <row r="2" spans="1:5" ht="39.6" x14ac:dyDescent="0.3">
      <c r="A2" s="39" t="s">
        <v>38</v>
      </c>
      <c r="B2" s="10"/>
      <c r="C2" s="40" t="s">
        <v>39</v>
      </c>
      <c r="D2" s="16"/>
      <c r="E2" s="41"/>
    </row>
    <row r="3" spans="1:5" x14ac:dyDescent="0.3">
      <c r="A3" s="11"/>
      <c r="B3" s="10"/>
      <c r="C3" s="11" t="s">
        <v>50</v>
      </c>
      <c r="D3" s="10"/>
      <c r="E3" s="11" t="s">
        <v>40</v>
      </c>
    </row>
    <row r="4" spans="1:5" ht="27" x14ac:dyDescent="0.3">
      <c r="A4" s="42"/>
      <c r="B4" s="10"/>
      <c r="C4" s="42" t="s">
        <v>41</v>
      </c>
      <c r="D4" s="10"/>
      <c r="E4" s="42" t="s">
        <v>42</v>
      </c>
    </row>
    <row r="5" spans="1:5" x14ac:dyDescent="0.3">
      <c r="A5" s="42"/>
      <c r="B5" s="10"/>
      <c r="C5" s="42" t="s">
        <v>43</v>
      </c>
      <c r="D5" s="10"/>
      <c r="E5" s="42" t="s">
        <v>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ED39-1E1C-447F-9947-5310A9986505}">
  <sheetPr>
    <tabColor rgb="FF0000FF"/>
  </sheetPr>
  <dimension ref="A1:A7"/>
  <sheetViews>
    <sheetView zoomScale="145" zoomScaleNormal="145" workbookViewId="0"/>
  </sheetViews>
  <sheetFormatPr defaultRowHeight="14.4" x14ac:dyDescent="0.3"/>
  <cols>
    <col min="1" max="1" width="77.44140625" bestFit="1" customWidth="1"/>
  </cols>
  <sheetData>
    <row r="1" spans="1:1" x14ac:dyDescent="0.3">
      <c r="A1" s="3" t="s">
        <v>68</v>
      </c>
    </row>
    <row r="2" spans="1:1" x14ac:dyDescent="0.3">
      <c r="A2" s="3" t="s">
        <v>74</v>
      </c>
    </row>
    <row r="3" spans="1:1" x14ac:dyDescent="0.3">
      <c r="A3" s="54" t="s">
        <v>70</v>
      </c>
    </row>
    <row r="4" spans="1:1" x14ac:dyDescent="0.3">
      <c r="A4" s="54" t="s">
        <v>71</v>
      </c>
    </row>
    <row r="5" spans="1:1" x14ac:dyDescent="0.3">
      <c r="A5" s="62" t="s">
        <v>72</v>
      </c>
    </row>
    <row r="6" spans="1:1" x14ac:dyDescent="0.3">
      <c r="A6" s="62" t="s">
        <v>73</v>
      </c>
    </row>
    <row r="7" spans="1:1" x14ac:dyDescent="0.3">
      <c r="A7" s="54" t="s">
        <v>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3F27-3463-47E2-B11F-885DA21DEF7E}">
  <sheetPr>
    <tabColor rgb="FF0000FF"/>
  </sheetPr>
  <dimension ref="A1:A17"/>
  <sheetViews>
    <sheetView zoomScale="115" zoomScaleNormal="115" workbookViewId="0"/>
  </sheetViews>
  <sheetFormatPr defaultRowHeight="14.4" x14ac:dyDescent="0.3"/>
  <cols>
    <col min="1" max="1" width="102.88671875" bestFit="1" customWidth="1"/>
  </cols>
  <sheetData>
    <row r="1" spans="1:1" ht="28.8" x14ac:dyDescent="0.55000000000000004">
      <c r="A1" s="59" t="s">
        <v>84</v>
      </c>
    </row>
    <row r="2" spans="1:1" x14ac:dyDescent="0.3">
      <c r="A2" s="63"/>
    </row>
    <row r="3" spans="1:1" x14ac:dyDescent="0.3">
      <c r="A3" s="60" t="s">
        <v>75</v>
      </c>
    </row>
    <row r="4" spans="1:1" x14ac:dyDescent="0.3">
      <c r="A4" s="61" t="s">
        <v>76</v>
      </c>
    </row>
    <row r="5" spans="1:1" x14ac:dyDescent="0.3">
      <c r="A5" s="61" t="s">
        <v>77</v>
      </c>
    </row>
    <row r="6" spans="1:1" x14ac:dyDescent="0.3">
      <c r="A6" s="60" t="s">
        <v>78</v>
      </c>
    </row>
    <row r="7" spans="1:1" x14ac:dyDescent="0.3">
      <c r="A7" s="61" t="s">
        <v>79</v>
      </c>
    </row>
    <row r="8" spans="1:1" x14ac:dyDescent="0.3">
      <c r="A8" s="62" t="s">
        <v>799</v>
      </c>
    </row>
    <row r="9" spans="1:1" x14ac:dyDescent="0.3">
      <c r="A9" s="61" t="s">
        <v>80</v>
      </c>
    </row>
    <row r="10" spans="1:1" x14ac:dyDescent="0.3">
      <c r="A10" s="62" t="s">
        <v>81</v>
      </c>
    </row>
    <row r="11" spans="1:1" x14ac:dyDescent="0.3">
      <c r="A11" s="62" t="s">
        <v>82</v>
      </c>
    </row>
    <row r="12" spans="1:1" x14ac:dyDescent="0.3">
      <c r="A12" s="62" t="s">
        <v>83</v>
      </c>
    </row>
    <row r="14" spans="1:1" x14ac:dyDescent="0.3">
      <c r="A14" s="60" t="s">
        <v>85</v>
      </c>
    </row>
    <row r="15" spans="1:1" x14ac:dyDescent="0.3">
      <c r="A15" s="61" t="s">
        <v>86</v>
      </c>
    </row>
    <row r="16" spans="1:1" x14ac:dyDescent="0.3">
      <c r="A16" s="60" t="s">
        <v>87</v>
      </c>
    </row>
    <row r="17" spans="1:1" x14ac:dyDescent="0.3">
      <c r="A17" s="60" t="s">
        <v>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8370-A4D6-4B65-9F6F-29EFCE05D58F}">
  <sheetPr>
    <tabColor rgb="FF0000FF"/>
  </sheetPr>
  <dimension ref="A1:I17"/>
  <sheetViews>
    <sheetView zoomScaleNormal="100" workbookViewId="0"/>
  </sheetViews>
  <sheetFormatPr defaultColWidth="9.109375" defaultRowHeight="13.2" x14ac:dyDescent="0.25"/>
  <cols>
    <col min="1" max="1" width="38.6640625" style="70" customWidth="1"/>
    <col min="2" max="2" width="12.33203125" style="10" bestFit="1" customWidth="1"/>
    <col min="3" max="3" width="17.88671875" style="10" bestFit="1" customWidth="1"/>
    <col min="4" max="5" width="9.33203125" style="10" bestFit="1" customWidth="1"/>
    <col min="6" max="6" width="10.6640625" style="10" customWidth="1"/>
    <col min="7" max="7" width="18.33203125" style="10" bestFit="1" customWidth="1"/>
    <col min="8" max="9" width="9.33203125" style="10" bestFit="1" customWidth="1"/>
    <col min="10" max="16384" width="9.109375" style="10"/>
  </cols>
  <sheetData>
    <row r="1" spans="1:9" x14ac:dyDescent="0.25">
      <c r="A1" s="272" t="s">
        <v>28</v>
      </c>
      <c r="B1" s="47"/>
    </row>
    <row r="2" spans="1:9" x14ac:dyDescent="0.25">
      <c r="A2" s="42" t="s">
        <v>89</v>
      </c>
      <c r="B2" s="11" t="s">
        <v>90</v>
      </c>
    </row>
    <row r="3" spans="1:9" x14ac:dyDescent="0.25">
      <c r="A3" s="42" t="s">
        <v>91</v>
      </c>
      <c r="B3" s="64">
        <v>800</v>
      </c>
      <c r="D3" s="65"/>
    </row>
    <row r="4" spans="1:9" x14ac:dyDescent="0.25">
      <c r="A4" s="42" t="s">
        <v>92</v>
      </c>
      <c r="B4" s="64">
        <v>1200</v>
      </c>
    </row>
    <row r="5" spans="1:9" x14ac:dyDescent="0.25">
      <c r="A5" s="42" t="s">
        <v>93</v>
      </c>
      <c r="B5" s="64">
        <v>500</v>
      </c>
    </row>
    <row r="6" spans="1:9" ht="26.4" x14ac:dyDescent="0.25">
      <c r="A6" s="42" t="s">
        <v>94</v>
      </c>
      <c r="B6" s="64">
        <v>800</v>
      </c>
    </row>
    <row r="7" spans="1:9" x14ac:dyDescent="0.25">
      <c r="A7" s="42" t="s">
        <v>64</v>
      </c>
      <c r="B7" s="64">
        <v>400</v>
      </c>
    </row>
    <row r="8" spans="1:9" x14ac:dyDescent="0.25">
      <c r="A8" s="42" t="s">
        <v>95</v>
      </c>
      <c r="B8" s="11" t="s">
        <v>102</v>
      </c>
      <c r="C8" s="66" t="str">
        <f>B2</f>
        <v>Queen's Corp</v>
      </c>
      <c r="D8" s="14"/>
      <c r="E8" s="14"/>
      <c r="F8" s="14"/>
      <c r="G8" s="14"/>
      <c r="H8" s="14"/>
      <c r="I8" s="14"/>
    </row>
    <row r="9" spans="1:9" x14ac:dyDescent="0.25">
      <c r="A9" s="42" t="s">
        <v>96</v>
      </c>
      <c r="B9" s="11" t="s">
        <v>102</v>
      </c>
      <c r="C9" s="66" t="s">
        <v>97</v>
      </c>
      <c r="D9" s="14"/>
      <c r="E9" s="14"/>
      <c r="F9" s="14"/>
      <c r="G9" s="14"/>
      <c r="H9" s="14"/>
      <c r="I9" s="14"/>
    </row>
    <row r="10" spans="1:9" x14ac:dyDescent="0.25">
      <c r="C10" s="66" t="s">
        <v>98</v>
      </c>
      <c r="D10" s="14"/>
      <c r="E10" s="14"/>
      <c r="F10" s="14"/>
      <c r="G10" s="14"/>
      <c r="H10" s="14"/>
      <c r="I10" s="14"/>
    </row>
    <row r="11" spans="1:9" x14ac:dyDescent="0.25">
      <c r="C11" s="67" t="s">
        <v>10</v>
      </c>
      <c r="D11" s="67"/>
      <c r="E11" s="67"/>
      <c r="G11" s="67" t="s">
        <v>11</v>
      </c>
      <c r="H11" s="67"/>
      <c r="I11" s="67"/>
    </row>
    <row r="12" spans="1:9" x14ac:dyDescent="0.25">
      <c r="D12" s="10" t="s">
        <v>99</v>
      </c>
      <c r="E12" s="10" t="s">
        <v>100</v>
      </c>
      <c r="H12" s="10" t="str">
        <f>D12</f>
        <v>Book</v>
      </c>
      <c r="I12" s="10" t="str">
        <f>E12</f>
        <v>Market</v>
      </c>
    </row>
    <row r="13" spans="1:9" x14ac:dyDescent="0.25">
      <c r="C13" s="68" t="s">
        <v>101</v>
      </c>
      <c r="D13" s="238"/>
      <c r="E13" s="238"/>
      <c r="G13" s="10" t="s">
        <v>64</v>
      </c>
      <c r="H13" s="238"/>
      <c r="I13" s="238"/>
    </row>
    <row r="14" spans="1:9" ht="13.8" thickBot="1" x14ac:dyDescent="0.3">
      <c r="C14" s="68" t="s">
        <v>22</v>
      </c>
      <c r="D14" s="239"/>
      <c r="E14" s="239"/>
      <c r="G14" s="10" t="s">
        <v>24</v>
      </c>
      <c r="H14" s="239"/>
      <c r="I14" s="239"/>
    </row>
    <row r="15" spans="1:9" ht="13.8" thickBot="1" x14ac:dyDescent="0.3">
      <c r="D15" s="240"/>
      <c r="E15" s="240"/>
      <c r="H15" s="240"/>
      <c r="I15" s="240"/>
    </row>
    <row r="16" spans="1:9" ht="14.4" thickTop="1" thickBot="1" x14ac:dyDescent="0.3">
      <c r="C16" s="50"/>
      <c r="D16" s="50"/>
      <c r="E16" s="50"/>
      <c r="F16" s="50"/>
      <c r="G16" s="50"/>
      <c r="H16" s="50"/>
      <c r="I16" s="50"/>
    </row>
    <row r="17" ht="13.8" thickTop="1" x14ac:dyDescent="0.25"/>
  </sheetData>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E9FB-CF0D-4467-8625-5512BEBD9F48}">
  <sheetPr>
    <tabColor rgb="FFFF0000"/>
  </sheetPr>
  <dimension ref="A1:I19"/>
  <sheetViews>
    <sheetView zoomScaleNormal="100" workbookViewId="0"/>
  </sheetViews>
  <sheetFormatPr defaultColWidth="9.109375" defaultRowHeight="13.2" x14ac:dyDescent="0.25"/>
  <cols>
    <col min="1" max="1" width="38.6640625" style="70" customWidth="1"/>
    <col min="2" max="2" width="12.33203125" style="10" bestFit="1" customWidth="1"/>
    <col min="3" max="3" width="17.88671875" style="10" bestFit="1" customWidth="1"/>
    <col min="4" max="5" width="9.33203125" style="10" bestFit="1" customWidth="1"/>
    <col min="6" max="6" width="10.6640625" style="10" customWidth="1"/>
    <col min="7" max="7" width="18.33203125" style="10" bestFit="1" customWidth="1"/>
    <col min="8" max="9" width="9.33203125" style="10" bestFit="1" customWidth="1"/>
    <col min="10" max="16384" width="9.109375" style="10"/>
  </cols>
  <sheetData>
    <row r="1" spans="1:9" x14ac:dyDescent="0.25">
      <c r="A1" s="272" t="s">
        <v>28</v>
      </c>
      <c r="B1" s="47"/>
    </row>
    <row r="2" spans="1:9" x14ac:dyDescent="0.25">
      <c r="A2" s="42" t="str">
        <f>IF('Show MV and BV'!A2="","",'Show MV and BV'!A2)</f>
        <v>Name:</v>
      </c>
      <c r="B2" s="11" t="str">
        <f>IF('Show MV and BV'!B2="","",'Show MV and BV'!B2)</f>
        <v>Queen's Corp</v>
      </c>
    </row>
    <row r="3" spans="1:9" x14ac:dyDescent="0.25">
      <c r="A3" s="42" t="str">
        <f>IF('Show MV and BV'!A3="","",'Show MV and BV'!A3)</f>
        <v>Fixed Assets Book Value</v>
      </c>
      <c r="B3" s="64">
        <f>IF('Show MV and BV'!B3="","",'Show MV and BV'!B3)</f>
        <v>800</v>
      </c>
      <c r="D3" s="65"/>
    </row>
    <row r="4" spans="1:9" x14ac:dyDescent="0.25">
      <c r="A4" s="42" t="str">
        <f>IF('Show MV and BV'!A4="","",'Show MV and BV'!A4)</f>
        <v>Fixed Assets Apprised Market Value</v>
      </c>
      <c r="B4" s="64">
        <f>IF('Show MV and BV'!B4="","",'Show MV and BV'!B4)</f>
        <v>1200</v>
      </c>
    </row>
    <row r="5" spans="1:9" x14ac:dyDescent="0.25">
      <c r="A5" s="42" t="str">
        <f>IF('Show MV and BV'!A5="","",'Show MV and BV'!A5)</f>
        <v>Net Working Capital Book Value</v>
      </c>
      <c r="B5" s="64">
        <f>IF('Show MV and BV'!B5="","",'Show MV and BV'!B5)</f>
        <v>500</v>
      </c>
    </row>
    <row r="6" spans="1:9" ht="26.4" x14ac:dyDescent="0.25">
      <c r="A6" s="42" t="str">
        <f>IF('Show MV and BV'!A6="","",'Show MV and BV'!A6)</f>
        <v>Net Working Capital Market Value (perhaps inventory value increased)</v>
      </c>
      <c r="B6" s="64">
        <f>IF('Show MV and BV'!B6="","",'Show MV and BV'!B6)</f>
        <v>800</v>
      </c>
    </row>
    <row r="7" spans="1:9" x14ac:dyDescent="0.25">
      <c r="A7" s="42" t="str">
        <f>IF('Show MV and BV'!A7="","",'Show MV and BV'!A7)</f>
        <v>Long-term Debt</v>
      </c>
      <c r="B7" s="64">
        <f>IF('Show MV and BV'!B7="","",'Show MV and BV'!B7)</f>
        <v>400</v>
      </c>
    </row>
    <row r="8" spans="1:9" x14ac:dyDescent="0.25">
      <c r="A8" s="42" t="str">
        <f>IF('Show MV and BV'!A8="","",'Show MV and BV'!A8)</f>
        <v>What is book value of equity?</v>
      </c>
      <c r="B8" s="11" t="str">
        <f>IF('Show MV and BV'!B8="","",'Show MV and BV'!B8)</f>
        <v/>
      </c>
      <c r="C8" s="66" t="str">
        <f>B2</f>
        <v>Queen's Corp</v>
      </c>
      <c r="D8" s="14"/>
      <c r="E8" s="14"/>
      <c r="F8" s="14"/>
      <c r="G8" s="14"/>
      <c r="H8" s="14"/>
      <c r="I8" s="14"/>
    </row>
    <row r="9" spans="1:9" x14ac:dyDescent="0.25">
      <c r="A9" s="42" t="str">
        <f>IF('Show MV and BV'!A9="","",'Show MV and BV'!A9)</f>
        <v>What is the market value of equity?</v>
      </c>
      <c r="B9" s="11" t="str">
        <f>IF('Show MV and BV'!B9="","",'Show MV and BV'!B9)</f>
        <v/>
      </c>
      <c r="C9" s="66" t="s">
        <v>97</v>
      </c>
      <c r="D9" s="14"/>
      <c r="E9" s="14"/>
      <c r="F9" s="14"/>
      <c r="G9" s="14"/>
      <c r="H9" s="14"/>
      <c r="I9" s="14"/>
    </row>
    <row r="10" spans="1:9" x14ac:dyDescent="0.25">
      <c r="C10" s="66" t="s">
        <v>98</v>
      </c>
      <c r="D10" s="14"/>
      <c r="E10" s="14"/>
      <c r="F10" s="14"/>
      <c r="G10" s="14"/>
      <c r="H10" s="14"/>
      <c r="I10" s="14"/>
    </row>
    <row r="11" spans="1:9" x14ac:dyDescent="0.25">
      <c r="C11" s="67" t="s">
        <v>10</v>
      </c>
      <c r="D11" s="67"/>
      <c r="E11" s="67"/>
      <c r="G11" s="67" t="s">
        <v>11</v>
      </c>
      <c r="H11" s="67"/>
      <c r="I11" s="67"/>
    </row>
    <row r="12" spans="1:9" x14ac:dyDescent="0.25">
      <c r="D12" s="10" t="s">
        <v>99</v>
      </c>
      <c r="E12" s="10" t="s">
        <v>100</v>
      </c>
      <c r="H12" s="10" t="str">
        <f>D12</f>
        <v>Book</v>
      </c>
      <c r="I12" s="10" t="str">
        <f>E12</f>
        <v>Market</v>
      </c>
    </row>
    <row r="13" spans="1:9" x14ac:dyDescent="0.25">
      <c r="C13" s="68" t="s">
        <v>101</v>
      </c>
      <c r="D13" s="269">
        <f>B5</f>
        <v>500</v>
      </c>
      <c r="E13" s="269">
        <f>B6</f>
        <v>800</v>
      </c>
      <c r="G13" s="10" t="s">
        <v>64</v>
      </c>
      <c r="H13" s="269">
        <f>B7</f>
        <v>400</v>
      </c>
      <c r="I13" s="269">
        <f>H13</f>
        <v>400</v>
      </c>
    </row>
    <row r="14" spans="1:9" x14ac:dyDescent="0.25">
      <c r="C14" s="68" t="s">
        <v>22</v>
      </c>
      <c r="D14" s="270">
        <f>B3</f>
        <v>800</v>
      </c>
      <c r="E14" s="270">
        <f>B4</f>
        <v>1200</v>
      </c>
      <c r="G14" s="10" t="s">
        <v>24</v>
      </c>
      <c r="H14" s="270">
        <f>D15-H13</f>
        <v>900</v>
      </c>
      <c r="I14" s="270">
        <f>E15-I13</f>
        <v>1600</v>
      </c>
    </row>
    <row r="15" spans="1:9" ht="13.8" thickBot="1" x14ac:dyDescent="0.3">
      <c r="D15" s="271">
        <f>SUM(D13:D14)</f>
        <v>1300</v>
      </c>
      <c r="E15" s="271">
        <f>SUM(E13:E14)</f>
        <v>2000</v>
      </c>
      <c r="H15" s="271">
        <f>SUM(H13:H14)</f>
        <v>1300</v>
      </c>
      <c r="I15" s="271">
        <f>SUM(I13:I14)</f>
        <v>2000</v>
      </c>
    </row>
    <row r="16" spans="1:9" ht="14.4" thickTop="1" thickBot="1" x14ac:dyDescent="0.3">
      <c r="C16" s="50"/>
      <c r="D16" s="50"/>
      <c r="E16" s="50"/>
      <c r="F16" s="50"/>
      <c r="G16" s="50"/>
      <c r="H16" s="50"/>
      <c r="I16" s="50"/>
    </row>
    <row r="17" spans="7:9" ht="13.8" thickTop="1" x14ac:dyDescent="0.25"/>
    <row r="18" spans="7:9" ht="13.8" thickBot="1" x14ac:dyDescent="0.3">
      <c r="G18" s="17" t="s">
        <v>816</v>
      </c>
      <c r="H18" s="271" cm="1">
        <f t="array" ref="H18:I18">D15:E15-H13:I13</f>
        <v>900</v>
      </c>
      <c r="I18" s="271">
        <v>1600</v>
      </c>
    </row>
    <row r="19" spans="7:9" ht="13.8" thickTop="1" x14ac:dyDescent="0.25"/>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0795-F4F4-41DC-B53F-BE8EC7E8E30C}">
  <sheetPr>
    <tabColor rgb="FF0000FF"/>
  </sheetPr>
  <dimension ref="A1:I27"/>
  <sheetViews>
    <sheetView zoomScaleNormal="100" workbookViewId="0"/>
  </sheetViews>
  <sheetFormatPr defaultColWidth="9.109375" defaultRowHeight="13.2" x14ac:dyDescent="0.25"/>
  <cols>
    <col min="1" max="1" width="4" style="72" bestFit="1" customWidth="1"/>
    <col min="2" max="2" width="2.44140625" style="72" customWidth="1"/>
    <col min="3" max="3" width="43.33203125" style="72" customWidth="1"/>
    <col min="4" max="4" width="7.6640625" style="72" bestFit="1" customWidth="1"/>
    <col min="5" max="5" width="9.6640625" style="72" bestFit="1" customWidth="1"/>
    <col min="6" max="9" width="13.109375" style="72" customWidth="1"/>
    <col min="10" max="16384" width="9.109375" style="72"/>
  </cols>
  <sheetData>
    <row r="1" spans="1:9" ht="40.200000000000003" x14ac:dyDescent="0.3">
      <c r="C1" s="82" t="s">
        <v>122</v>
      </c>
      <c r="D1" s="82"/>
      <c r="E1" s="83"/>
      <c r="F1" s="83"/>
      <c r="G1" s="83"/>
      <c r="H1" s="83"/>
      <c r="I1" s="83"/>
    </row>
    <row r="2" spans="1:9" ht="40.200000000000003" x14ac:dyDescent="0.3">
      <c r="C2" s="82" t="s">
        <v>123</v>
      </c>
      <c r="D2" s="82"/>
      <c r="E2" s="83"/>
      <c r="F2" s="83"/>
      <c r="G2" s="83"/>
      <c r="H2" s="83"/>
      <c r="I2" s="83"/>
    </row>
    <row r="3" spans="1:9" ht="14.4" x14ac:dyDescent="0.3">
      <c r="C3" s="83" t="s">
        <v>114</v>
      </c>
      <c r="D3" s="83"/>
      <c r="E3" s="83"/>
      <c r="F3" s="83"/>
      <c r="G3" s="83"/>
      <c r="H3" s="83"/>
      <c r="I3" s="83"/>
    </row>
    <row r="4" spans="1:9" ht="14.4" x14ac:dyDescent="0.3">
      <c r="C4" s="83" t="s">
        <v>124</v>
      </c>
      <c r="D4" s="83"/>
      <c r="E4" s="83"/>
      <c r="F4" s="83"/>
      <c r="G4" s="83"/>
      <c r="H4" s="83"/>
      <c r="I4" s="83"/>
    </row>
    <row r="7" spans="1:9" x14ac:dyDescent="0.25">
      <c r="C7" s="71" t="str">
        <f>Assumptions!B4</f>
        <v>RAD Corporation</v>
      </c>
      <c r="D7" s="71"/>
      <c r="E7" s="71"/>
    </row>
    <row r="8" spans="1:9" x14ac:dyDescent="0.25">
      <c r="C8" s="71" t="s">
        <v>103</v>
      </c>
      <c r="D8" s="71"/>
      <c r="E8" s="71"/>
    </row>
    <row r="9" spans="1:9" x14ac:dyDescent="0.25">
      <c r="C9" s="71" t="str">
        <f>"For The Year Ended "&amp;TEXT(Assumptions!$B$3,"mmmm d, yyyy")</f>
        <v>For The Year Ended December 31, 2007</v>
      </c>
      <c r="D9" s="71"/>
      <c r="E9" s="71"/>
    </row>
    <row r="10" spans="1:9" x14ac:dyDescent="0.25">
      <c r="A10" s="72" t="s">
        <v>116</v>
      </c>
      <c r="C10" s="72" t="s">
        <v>104</v>
      </c>
      <c r="E10" s="73">
        <v>1600</v>
      </c>
    </row>
    <row r="11" spans="1:9" x14ac:dyDescent="0.25">
      <c r="A11" s="72" t="s">
        <v>115</v>
      </c>
      <c r="C11" s="72" t="s">
        <v>105</v>
      </c>
      <c r="E11" s="72">
        <v>841</v>
      </c>
    </row>
    <row r="12" spans="1:9" x14ac:dyDescent="0.25">
      <c r="A12" s="72" t="s">
        <v>115</v>
      </c>
      <c r="C12" s="72" t="s">
        <v>106</v>
      </c>
      <c r="E12" s="74">
        <v>71</v>
      </c>
    </row>
    <row r="13" spans="1:9" x14ac:dyDescent="0.25">
      <c r="C13" s="72" t="s">
        <v>107</v>
      </c>
      <c r="E13" s="73">
        <f>E10-SUM(E11:E12)</f>
        <v>688</v>
      </c>
    </row>
    <row r="14" spans="1:9" x14ac:dyDescent="0.25">
      <c r="A14" s="72" t="s">
        <v>115</v>
      </c>
      <c r="C14" s="72" t="s">
        <v>108</v>
      </c>
      <c r="E14" s="74">
        <v>76</v>
      </c>
    </row>
    <row r="15" spans="1:9" x14ac:dyDescent="0.25">
      <c r="C15" s="72" t="s">
        <v>109</v>
      </c>
      <c r="E15" s="73">
        <f>E13-E14</f>
        <v>612</v>
      </c>
    </row>
    <row r="16" spans="1:9" x14ac:dyDescent="0.25">
      <c r="A16" s="72" t="s">
        <v>115</v>
      </c>
      <c r="C16" s="72" t="s">
        <v>110</v>
      </c>
      <c r="E16" s="75">
        <v>202</v>
      </c>
    </row>
    <row r="17" spans="3:6" ht="13.8" thickBot="1" x14ac:dyDescent="0.3">
      <c r="C17" s="72" t="s">
        <v>111</v>
      </c>
      <c r="E17" s="76">
        <f>E15-E16</f>
        <v>410</v>
      </c>
    </row>
    <row r="18" spans="3:6" ht="14.4" thickTop="1" thickBot="1" x14ac:dyDescent="0.3">
      <c r="C18" s="77"/>
      <c r="D18" s="77"/>
      <c r="E18" s="77"/>
    </row>
    <row r="19" spans="3:6" ht="13.8" thickTop="1" x14ac:dyDescent="0.25">
      <c r="C19" s="72" t="s">
        <v>112</v>
      </c>
      <c r="E19" s="78">
        <v>88</v>
      </c>
    </row>
    <row r="20" spans="3:6" x14ac:dyDescent="0.25">
      <c r="C20" s="72" t="s">
        <v>113</v>
      </c>
      <c r="E20" s="81"/>
    </row>
    <row r="21" spans="3:6" ht="14.4" x14ac:dyDescent="0.3">
      <c r="C21" s="80" t="str">
        <f>Assumptions!$A$5&amp;" ="</f>
        <v>Shares outstanding (in 000,000), Dec 31, 2007 =</v>
      </c>
      <c r="D21" s="80"/>
      <c r="E21" s="79">
        <f>Assumptions!$B$5</f>
        <v>210</v>
      </c>
    </row>
    <row r="22" spans="3:6" x14ac:dyDescent="0.25">
      <c r="C22" s="80" t="str">
        <f>"Earnings per share (EPS) = "&amp;DOLLAR(E17,0)&amp;"/"&amp;E21&amp;" = "&amp;DOLLAR(E17/E21,2)&amp;" ="</f>
        <v>Earnings per share (EPS) = $410/210 = $1.95 =</v>
      </c>
      <c r="D22" s="80"/>
      <c r="E22" s="81"/>
    </row>
    <row r="23" spans="3:6" x14ac:dyDescent="0.25">
      <c r="C23" s="80" t="str">
        <f>"Dividends per share = "&amp;DOLLAR(E19,0)&amp;"/"&amp;E21&amp;" = "&amp;DOLLAR(E19/E21,2)&amp;" ="</f>
        <v>Dividends per share = $88/210 = $0.42 =</v>
      </c>
      <c r="D23" s="80"/>
      <c r="E23" s="81"/>
    </row>
    <row r="27" spans="3:6" x14ac:dyDescent="0.25">
      <c r="E27" s="80"/>
      <c r="F27" s="80"/>
    </row>
  </sheetData>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E58C-AB5B-402D-BB11-19F8FD8ADE08}">
  <sheetPr>
    <tabColor rgb="FFFF0000"/>
  </sheetPr>
  <dimension ref="A1:C34"/>
  <sheetViews>
    <sheetView workbookViewId="0"/>
  </sheetViews>
  <sheetFormatPr defaultColWidth="9.109375" defaultRowHeight="13.2" x14ac:dyDescent="0.25"/>
  <cols>
    <col min="1" max="1" width="34.5546875" style="72" customWidth="1"/>
    <col min="2" max="2" width="7.6640625" style="72" bestFit="1" customWidth="1"/>
    <col min="3" max="3" width="9.6640625" style="72" bestFit="1" customWidth="1"/>
    <col min="4" max="16384" width="9.109375" style="72"/>
  </cols>
  <sheetData>
    <row r="1" spans="1:3" x14ac:dyDescent="0.25">
      <c r="A1" s="71" t="str">
        <f>Assumptions!$B$4</f>
        <v>RAD Corporation</v>
      </c>
      <c r="B1" s="71"/>
      <c r="C1" s="71"/>
    </row>
    <row r="2" spans="1:3" x14ac:dyDescent="0.25">
      <c r="A2" s="71" t="s">
        <v>103</v>
      </c>
      <c r="B2" s="71"/>
      <c r="C2" s="71"/>
    </row>
    <row r="3" spans="1:3" x14ac:dyDescent="0.25">
      <c r="A3" s="71" t="str">
        <f>"For The Year Ended "&amp;TEXT(Assumptions!$B$3,"mmmm d, yyyy")</f>
        <v>For The Year Ended December 31, 2007</v>
      </c>
      <c r="B3" s="71"/>
      <c r="C3" s="71"/>
    </row>
    <row r="4" spans="1:3" x14ac:dyDescent="0.25">
      <c r="A4" s="72" t="str">
        <f>IF('Income Statement'!C10="","",'Income Statement'!C10)</f>
        <v>Net Sales</v>
      </c>
      <c r="B4" s="72" t="str">
        <f>IF('Income Statement'!D10="","",'Income Statement'!D10)</f>
        <v/>
      </c>
      <c r="C4" s="73">
        <f>IF('Income Statement'!E10="","",'Income Statement'!E10)</f>
        <v>1600</v>
      </c>
    </row>
    <row r="5" spans="1:3" x14ac:dyDescent="0.25">
      <c r="A5" s="72" t="str">
        <f>IF('Income Statement'!C11="","",'Income Statement'!C11)</f>
        <v>Cost of Goods Sold</v>
      </c>
      <c r="B5" s="72" t="str">
        <f>IF('Income Statement'!D11="","",'Income Statement'!D11)</f>
        <v/>
      </c>
      <c r="C5" s="72">
        <f>IF('Income Statement'!E11="","",'Income Statement'!E11)</f>
        <v>841</v>
      </c>
    </row>
    <row r="6" spans="1:3" x14ac:dyDescent="0.25">
      <c r="A6" s="72" t="str">
        <f>IF('Income Statement'!C12="","",'Income Statement'!C12)</f>
        <v>Depreciation</v>
      </c>
      <c r="B6" s="72" t="str">
        <f>IF('Income Statement'!D12="","",'Income Statement'!D12)</f>
        <v/>
      </c>
      <c r="C6" s="74">
        <f>IF('Income Statement'!E12="","",'Income Statement'!E12)</f>
        <v>71</v>
      </c>
    </row>
    <row r="7" spans="1:3" x14ac:dyDescent="0.25">
      <c r="A7" s="72" t="str">
        <f>IF('Income Statement'!C13="","",'Income Statement'!C13)</f>
        <v>Earnings before interest and tax</v>
      </c>
      <c r="B7" s="72" t="str">
        <f>IF('Income Statement'!D13="","",'Income Statement'!D13)</f>
        <v/>
      </c>
      <c r="C7" s="73">
        <f>IF('Income Statement'!E13="","",'Income Statement'!E13)</f>
        <v>688</v>
      </c>
    </row>
    <row r="8" spans="1:3" x14ac:dyDescent="0.25">
      <c r="A8" s="72" t="str">
        <f>IF('Income Statement'!C14="","",'Income Statement'!C14)</f>
        <v>Interest paid</v>
      </c>
      <c r="B8" s="72" t="str">
        <f>IF('Income Statement'!D14="","",'Income Statement'!D14)</f>
        <v/>
      </c>
      <c r="C8" s="74">
        <f>IF('Income Statement'!E14="","",'Income Statement'!E14)</f>
        <v>76</v>
      </c>
    </row>
    <row r="9" spans="1:3" x14ac:dyDescent="0.25">
      <c r="A9" s="72" t="str">
        <f>IF('Income Statement'!C15="","",'Income Statement'!C15)</f>
        <v>Taxable income</v>
      </c>
      <c r="B9" s="72" t="str">
        <f>IF('Income Statement'!D15="","",'Income Statement'!D15)</f>
        <v/>
      </c>
      <c r="C9" s="73">
        <f>IF('Income Statement'!E15="","",'Income Statement'!E15)</f>
        <v>612</v>
      </c>
    </row>
    <row r="10" spans="1:3" x14ac:dyDescent="0.25">
      <c r="A10" s="72" t="str">
        <f>IF('Income Statement'!C16="","",'Income Statement'!C16)</f>
        <v>Taxes</v>
      </c>
      <c r="B10" s="72" t="str">
        <f>IF('Income Statement'!D16="","",'Income Statement'!D16)</f>
        <v/>
      </c>
      <c r="C10" s="75">
        <f>IF('Income Statement'!E16="","",'Income Statement'!E16)</f>
        <v>202</v>
      </c>
    </row>
    <row r="11" spans="1:3" ht="13.8" thickBot="1" x14ac:dyDescent="0.3">
      <c r="A11" s="72" t="str">
        <f>IF('Income Statement'!C17="","",'Income Statement'!C17)</f>
        <v>Net Income</v>
      </c>
      <c r="B11" s="72" t="str">
        <f>IF('Income Statement'!D17="","",'Income Statement'!D17)</f>
        <v/>
      </c>
      <c r="C11" s="76">
        <f>IF('Income Statement'!E17="","",'Income Statement'!E17)</f>
        <v>410</v>
      </c>
    </row>
    <row r="12" spans="1:3" ht="14.4" thickTop="1" thickBot="1" x14ac:dyDescent="0.3">
      <c r="A12" s="77"/>
      <c r="B12" s="77"/>
      <c r="C12" s="77"/>
    </row>
    <row r="13" spans="1:3" ht="13.8" thickTop="1" x14ac:dyDescent="0.25">
      <c r="A13" s="72" t="str">
        <f>IF('Income Statement'!C19="","",'Income Statement'!C19)</f>
        <v>Dividends =</v>
      </c>
      <c r="B13" s="72" t="str">
        <f>IF('Income Statement'!D19="","",'Income Statement'!D19)</f>
        <v/>
      </c>
      <c r="C13" s="78">
        <f>IF('Income Statement'!E19="","",'Income Statement'!E19)</f>
        <v>88</v>
      </c>
    </row>
    <row r="14" spans="1:3" x14ac:dyDescent="0.25">
      <c r="A14" s="72" t="str">
        <f>IF('Income Statement'!C20="","",'Income Statement'!C20)</f>
        <v>Addition to retained earnings =</v>
      </c>
      <c r="B14" s="72" t="str">
        <f>IF('Income Statement'!D20="","",'Income Statement'!D20)</f>
        <v/>
      </c>
      <c r="C14" s="78" t="str">
        <f>IF('Income Statement'!E20="","",'Income Statement'!E20)</f>
        <v/>
      </c>
    </row>
    <row r="15" spans="1:3" ht="15" customHeight="1" x14ac:dyDescent="0.3">
      <c r="A15" s="80" t="str">
        <f>Assumptions!$A$5&amp;" ="</f>
        <v>Shares outstanding (in 000,000), Dec 31, 2007 =</v>
      </c>
      <c r="B15" s="80"/>
      <c r="C15" s="79">
        <f>Assumptions!$B$5</f>
        <v>210</v>
      </c>
    </row>
    <row r="16" spans="1:3" ht="12.75" customHeight="1" x14ac:dyDescent="0.25">
      <c r="A16" s="80" t="str">
        <f>"Earnings per share (EPS) = "&amp;DOLLAR(C11,0)&amp;"/"&amp;C15&amp;" = "&amp;DOLLAR(C11/C15,2)&amp;" ="</f>
        <v>Earnings per share (EPS) = $410/210 = $1.95 =</v>
      </c>
      <c r="B16" s="80"/>
      <c r="C16" s="81">
        <f>C11/C15</f>
        <v>1.9523809523809523</v>
      </c>
    </row>
    <row r="17" spans="1:3" ht="12.75" customHeight="1" x14ac:dyDescent="0.25">
      <c r="A17" s="80" t="str">
        <f>"Dividends per share = "&amp;DOLLAR(C13,0)&amp;"/"&amp;C15&amp;" = "&amp;DOLLAR(C13/C15,2)&amp;" ="</f>
        <v>Dividends per share = $88/210 = $0.42 =</v>
      </c>
      <c r="B17" s="80"/>
      <c r="C17" s="81">
        <f>C13/C15</f>
        <v>0.41904761904761906</v>
      </c>
    </row>
    <row r="21" spans="1:3" x14ac:dyDescent="0.25">
      <c r="C21" s="80"/>
    </row>
    <row r="32" spans="1:3" ht="15" customHeight="1" x14ac:dyDescent="0.25"/>
    <row r="33" ht="24" customHeight="1" x14ac:dyDescent="0.25"/>
    <row r="34" ht="24" customHeight="1" x14ac:dyDescent="0.25"/>
  </sheetData>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7685-23D1-45D0-9502-4FF55B00AE19}">
  <sheetPr>
    <tabColor rgb="FF0000FF"/>
  </sheetPr>
  <dimension ref="A1:B7"/>
  <sheetViews>
    <sheetView zoomScale="115" zoomScaleNormal="115" workbookViewId="0"/>
  </sheetViews>
  <sheetFormatPr defaultRowHeight="14.4" x14ac:dyDescent="0.3"/>
  <cols>
    <col min="1" max="1" width="57.88671875" customWidth="1"/>
    <col min="2" max="2" width="15.88671875" customWidth="1"/>
  </cols>
  <sheetData>
    <row r="1" spans="1:2" x14ac:dyDescent="0.3">
      <c r="A1" s="85" t="s">
        <v>117</v>
      </c>
      <c r="B1" s="86">
        <v>5000000</v>
      </c>
    </row>
    <row r="2" spans="1:2" x14ac:dyDescent="0.3">
      <c r="A2" s="85" t="s">
        <v>118</v>
      </c>
      <c r="B2" s="86">
        <v>250000</v>
      </c>
    </row>
    <row r="3" spans="1:2" x14ac:dyDescent="0.3">
      <c r="A3" s="85" t="s">
        <v>119</v>
      </c>
      <c r="B3" s="87">
        <v>10</v>
      </c>
    </row>
    <row r="4" spans="1:2" x14ac:dyDescent="0.3">
      <c r="A4" s="85" t="s">
        <v>125</v>
      </c>
      <c r="B4" s="84"/>
    </row>
    <row r="6" spans="1:2" ht="27" x14ac:dyDescent="0.3">
      <c r="A6" s="88" t="s">
        <v>120</v>
      </c>
      <c r="B6" s="88"/>
    </row>
    <row r="7" spans="1:2" x14ac:dyDescent="0.3">
      <c r="A7" s="89" t="s">
        <v>121</v>
      </c>
      <c r="B7" s="89"/>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7132-F2F5-438A-BAC9-DE8659DC72D7}">
  <sheetPr>
    <tabColor rgb="FFFF0000"/>
  </sheetPr>
  <dimension ref="A1:B7"/>
  <sheetViews>
    <sheetView zoomScale="115" zoomScaleNormal="115" workbookViewId="0"/>
  </sheetViews>
  <sheetFormatPr defaultRowHeight="14.4" x14ac:dyDescent="0.3"/>
  <cols>
    <col min="1" max="1" width="57.88671875" customWidth="1"/>
    <col min="2" max="2" width="15.88671875" customWidth="1"/>
  </cols>
  <sheetData>
    <row r="1" spans="1:2" x14ac:dyDescent="0.3">
      <c r="A1" s="85" t="s">
        <v>117</v>
      </c>
      <c r="B1" s="86">
        <v>5000000</v>
      </c>
    </row>
    <row r="2" spans="1:2" x14ac:dyDescent="0.3">
      <c r="A2" s="85" t="s">
        <v>118</v>
      </c>
      <c r="B2" s="86">
        <v>250000</v>
      </c>
    </row>
    <row r="3" spans="1:2" x14ac:dyDescent="0.3">
      <c r="A3" s="85" t="s">
        <v>119</v>
      </c>
      <c r="B3" s="87">
        <v>10</v>
      </c>
    </row>
    <row r="4" spans="1:2" x14ac:dyDescent="0.3">
      <c r="A4" s="85" t="s">
        <v>125</v>
      </c>
      <c r="B4" s="84">
        <f>(B1-B2)/B3</f>
        <v>475000</v>
      </c>
    </row>
    <row r="6" spans="1:2" ht="27" x14ac:dyDescent="0.3">
      <c r="A6" s="88" t="s">
        <v>120</v>
      </c>
      <c r="B6" s="88"/>
    </row>
    <row r="7" spans="1:2" x14ac:dyDescent="0.3">
      <c r="A7" s="89" t="s">
        <v>121</v>
      </c>
      <c r="B7" s="89"/>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0DCD-7474-49EC-AECB-ED1F8A143355}">
  <sheetPr>
    <tabColor rgb="FF0000FF"/>
  </sheetPr>
  <dimension ref="A38:F47"/>
  <sheetViews>
    <sheetView workbookViewId="0"/>
  </sheetViews>
  <sheetFormatPr defaultRowHeight="14.4" x14ac:dyDescent="0.3"/>
  <cols>
    <col min="1" max="1" width="20.6640625" customWidth="1"/>
    <col min="2" max="2" width="14" bestFit="1" customWidth="1"/>
    <col min="3" max="11" width="13.6640625" bestFit="1" customWidth="1"/>
  </cols>
  <sheetData>
    <row r="38" spans="1:6" x14ac:dyDescent="0.3">
      <c r="A38" s="85" t="s">
        <v>117</v>
      </c>
      <c r="B38" s="86">
        <v>1000000</v>
      </c>
    </row>
    <row r="39" spans="1:6" x14ac:dyDescent="0.3">
      <c r="A39" s="85" t="s">
        <v>118</v>
      </c>
      <c r="B39" s="86">
        <v>100000</v>
      </c>
    </row>
    <row r="40" spans="1:6" x14ac:dyDescent="0.3">
      <c r="A40" s="85" t="s">
        <v>119</v>
      </c>
      <c r="B40" s="87">
        <v>5</v>
      </c>
    </row>
    <row r="41" spans="1:6" x14ac:dyDescent="0.3">
      <c r="A41" s="85" t="s">
        <v>125</v>
      </c>
      <c r="B41" s="84">
        <f>(B38-B39)/B40</f>
        <v>180000</v>
      </c>
    </row>
    <row r="43" spans="1:6" x14ac:dyDescent="0.3">
      <c r="A43" s="85"/>
      <c r="B43" s="241" t="s">
        <v>29</v>
      </c>
      <c r="C43" s="241" t="s">
        <v>30</v>
      </c>
      <c r="D43" s="241" t="s">
        <v>800</v>
      </c>
      <c r="E43" s="241" t="s">
        <v>801</v>
      </c>
      <c r="F43" s="241" t="s">
        <v>802</v>
      </c>
    </row>
    <row r="44" spans="1:6" x14ac:dyDescent="0.3">
      <c r="A44" s="241" t="s">
        <v>803</v>
      </c>
      <c r="B44" s="242">
        <v>2000000</v>
      </c>
      <c r="C44" s="242">
        <v>2000000</v>
      </c>
      <c r="D44" s="242">
        <v>2000000</v>
      </c>
      <c r="E44" s="242">
        <v>2000000</v>
      </c>
      <c r="F44" s="242">
        <v>2000000</v>
      </c>
    </row>
    <row r="45" spans="1:6" x14ac:dyDescent="0.3">
      <c r="A45" s="241" t="s">
        <v>804</v>
      </c>
      <c r="B45" s="243"/>
      <c r="C45" s="243"/>
      <c r="D45" s="243"/>
      <c r="E45" s="243"/>
      <c r="F45" s="243"/>
    </row>
    <row r="46" spans="1:6" x14ac:dyDescent="0.3">
      <c r="A46" s="241" t="s">
        <v>805</v>
      </c>
      <c r="B46" s="242">
        <v>1200000</v>
      </c>
      <c r="C46" s="242">
        <v>1200000</v>
      </c>
      <c r="D46" s="242">
        <v>1200000</v>
      </c>
      <c r="E46" s="242">
        <v>1200000</v>
      </c>
      <c r="F46" s="242">
        <v>1200000</v>
      </c>
    </row>
    <row r="47" spans="1:6" x14ac:dyDescent="0.3">
      <c r="A47" s="241" t="s">
        <v>817</v>
      </c>
      <c r="B47" s="147">
        <f>B44-SUM(B45:B46)</f>
        <v>800000</v>
      </c>
      <c r="C47" s="147">
        <f>C44-SUM(C45:C46)</f>
        <v>800000</v>
      </c>
      <c r="D47" s="147">
        <f>D44-SUM(D45:D46)</f>
        <v>800000</v>
      </c>
      <c r="E47" s="147">
        <f>E44-SUM(E45:E46)</f>
        <v>800000</v>
      </c>
      <c r="F47" s="147">
        <f>F44-SUM(F45:F46)</f>
        <v>800000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FA9D-8161-49C6-8465-200D0CEB0F0D}">
  <sheetPr>
    <tabColor rgb="FFFF0000"/>
  </sheetPr>
  <dimension ref="A38:F47"/>
  <sheetViews>
    <sheetView workbookViewId="0"/>
  </sheetViews>
  <sheetFormatPr defaultRowHeight="14.4" x14ac:dyDescent="0.3"/>
  <cols>
    <col min="1" max="1" width="20.6640625" customWidth="1"/>
    <col min="2" max="2" width="14" bestFit="1" customWidth="1"/>
    <col min="3" max="11" width="13.6640625" bestFit="1" customWidth="1"/>
  </cols>
  <sheetData>
    <row r="38" spans="1:6" x14ac:dyDescent="0.3">
      <c r="A38" s="85" t="s">
        <v>117</v>
      </c>
      <c r="B38" s="86">
        <v>1000000</v>
      </c>
    </row>
    <row r="39" spans="1:6" x14ac:dyDescent="0.3">
      <c r="A39" s="85" t="s">
        <v>118</v>
      </c>
      <c r="B39" s="86">
        <v>100000</v>
      </c>
    </row>
    <row r="40" spans="1:6" x14ac:dyDescent="0.3">
      <c r="A40" s="85" t="s">
        <v>119</v>
      </c>
      <c r="B40" s="87">
        <v>5</v>
      </c>
    </row>
    <row r="41" spans="1:6" x14ac:dyDescent="0.3">
      <c r="A41" s="85" t="s">
        <v>125</v>
      </c>
      <c r="B41" s="84">
        <f>(B38-B39)/B40</f>
        <v>180000</v>
      </c>
    </row>
    <row r="43" spans="1:6" x14ac:dyDescent="0.3">
      <c r="A43" s="85"/>
      <c r="B43" s="241" t="s">
        <v>29</v>
      </c>
      <c r="C43" s="241" t="s">
        <v>30</v>
      </c>
      <c r="D43" s="241" t="s">
        <v>800</v>
      </c>
      <c r="E43" s="241" t="s">
        <v>801</v>
      </c>
      <c r="F43" s="241" t="s">
        <v>802</v>
      </c>
    </row>
    <row r="44" spans="1:6" x14ac:dyDescent="0.3">
      <c r="A44" s="241" t="s">
        <v>803</v>
      </c>
      <c r="B44" s="242">
        <v>2000000</v>
      </c>
      <c r="C44" s="242">
        <v>2000000</v>
      </c>
      <c r="D44" s="242">
        <v>2000000</v>
      </c>
      <c r="E44" s="242">
        <v>2000000</v>
      </c>
      <c r="F44" s="242">
        <v>2000000</v>
      </c>
    </row>
    <row r="45" spans="1:6" x14ac:dyDescent="0.3">
      <c r="A45" s="241" t="s">
        <v>804</v>
      </c>
      <c r="B45" s="243">
        <f>$B$41</f>
        <v>180000</v>
      </c>
      <c r="C45" s="243">
        <f>$B$41</f>
        <v>180000</v>
      </c>
      <c r="D45" s="243">
        <f>$B$41</f>
        <v>180000</v>
      </c>
      <c r="E45" s="243">
        <f>$B$41</f>
        <v>180000</v>
      </c>
      <c r="F45" s="243">
        <f>$B$41</f>
        <v>180000</v>
      </c>
    </row>
    <row r="46" spans="1:6" x14ac:dyDescent="0.3">
      <c r="A46" s="241" t="s">
        <v>805</v>
      </c>
      <c r="B46" s="242">
        <v>1200000</v>
      </c>
      <c r="C46" s="242">
        <v>1200000</v>
      </c>
      <c r="D46" s="242">
        <v>1200000</v>
      </c>
      <c r="E46" s="242">
        <v>1200000</v>
      </c>
      <c r="F46" s="242">
        <v>1200000</v>
      </c>
    </row>
    <row r="47" spans="1:6" x14ac:dyDescent="0.3">
      <c r="A47" s="241" t="s">
        <v>805</v>
      </c>
      <c r="B47" s="147">
        <f>B44-SUM(B45:B46)</f>
        <v>620000</v>
      </c>
      <c r="C47" s="147">
        <f>C44-SUM(C45:C46)</f>
        <v>620000</v>
      </c>
      <c r="D47" s="147">
        <f>D44-SUM(D45:D46)</f>
        <v>620000</v>
      </c>
      <c r="E47" s="147">
        <f>E44-SUM(E45:E46)</f>
        <v>620000</v>
      </c>
      <c r="F47" s="147">
        <f>F44-SUM(F45:F46)</f>
        <v>620000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60BE-8DF6-4559-A921-67FCEC35F8D7}">
  <sheetPr>
    <tabColor rgb="FF0000FF"/>
  </sheetPr>
  <dimension ref="A1:K24"/>
  <sheetViews>
    <sheetView zoomScale="85" zoomScaleNormal="85" workbookViewId="0">
      <selection activeCell="I27" sqref="I27"/>
    </sheetView>
  </sheetViews>
  <sheetFormatPr defaultRowHeight="14.4" x14ac:dyDescent="0.3"/>
  <cols>
    <col min="1" max="1" width="28" bestFit="1" customWidth="1"/>
    <col min="2" max="2" width="2.5546875" customWidth="1"/>
    <col min="3" max="3" width="8.44140625" bestFit="1" customWidth="1"/>
    <col min="5" max="5" width="20.109375" bestFit="1" customWidth="1"/>
    <col min="6" max="7" width="6.6640625" bestFit="1" customWidth="1"/>
    <col min="8" max="8" width="2.33203125" customWidth="1"/>
    <col min="9" max="9" width="39.88671875" bestFit="1" customWidth="1"/>
    <col min="10" max="11" width="6.6640625" bestFit="1" customWidth="1"/>
  </cols>
  <sheetData>
    <row r="1" spans="1:11" x14ac:dyDescent="0.3">
      <c r="A1" s="14" t="str">
        <f>IF('Income Statement'!C7="","",'Income Statement'!C7)</f>
        <v>RAD Corporation</v>
      </c>
      <c r="B1" s="14"/>
      <c r="C1" s="14"/>
      <c r="E1" s="14" t="str">
        <f>IF('Balance Sheet'!A4="","",'Balance Sheet'!A4)</f>
        <v>RAD Corporation</v>
      </c>
      <c r="F1" s="14"/>
      <c r="G1" s="14"/>
      <c r="H1" s="14"/>
      <c r="I1" s="14"/>
      <c r="J1" s="14"/>
      <c r="K1" s="14"/>
    </row>
    <row r="2" spans="1:11" x14ac:dyDescent="0.3">
      <c r="A2" s="71" t="str">
        <f>IF('Income Statement'!C8="","",'Income Statement'!C8)</f>
        <v>Income Statement ($ in Millions)</v>
      </c>
      <c r="B2" s="71"/>
      <c r="C2" s="71"/>
      <c r="E2" s="14" t="str">
        <f>IF('Balance Sheet'!A5="","",'Balance Sheet'!A5)</f>
        <v>Balance Sheet ($ in Millions)</v>
      </c>
      <c r="F2" s="14"/>
      <c r="G2" s="14"/>
      <c r="H2" s="14"/>
      <c r="I2" s="14"/>
      <c r="J2" s="14"/>
      <c r="K2" s="14"/>
    </row>
    <row r="3" spans="1:11" x14ac:dyDescent="0.3">
      <c r="A3" s="71" t="str">
        <f>IF('Income Statement'!C9="","",'Income Statement'!C9)</f>
        <v>For The Year Ended December 31, 2007</v>
      </c>
      <c r="B3" s="71"/>
      <c r="C3" s="71"/>
      <c r="E3" s="14" t="str">
        <f>IF('Balance Sheet'!A6="","",'Balance Sheet'!A6)</f>
        <v>Balance Sheet as of December 31, 2006 and 2007</v>
      </c>
      <c r="F3" s="14"/>
      <c r="G3" s="14"/>
      <c r="H3" s="14"/>
      <c r="I3" s="14"/>
      <c r="J3" s="14"/>
      <c r="K3" s="14"/>
    </row>
    <row r="4" spans="1:11" x14ac:dyDescent="0.3">
      <c r="A4" s="72" t="str">
        <f>IF('Income Statement'!C10="","",'Income Statement'!C10)</f>
        <v>Net Sales</v>
      </c>
      <c r="B4" s="72" t="str">
        <f>IF('Income Statement'!D10="","",'Income Statement'!D10)</f>
        <v/>
      </c>
      <c r="C4" s="316">
        <f>IF('Income Statement'!E10="","",'Income Statement'!E10)</f>
        <v>1600</v>
      </c>
      <c r="E4" s="15" t="str">
        <f>IF('Balance Sheet'!A7="","",'Balance Sheet'!A7)</f>
        <v>Assets</v>
      </c>
      <c r="F4" s="15" t="str">
        <f>IF('Balance Sheet'!B7="","",'Balance Sheet'!B7)</f>
        <v/>
      </c>
      <c r="G4" s="10" t="str">
        <f>IF('Balance Sheet'!C7="","",'Balance Sheet'!C7)</f>
        <v/>
      </c>
      <c r="H4" s="10" t="str">
        <f>IF('Balance Sheet'!D7="","",'Balance Sheet'!D7)</f>
        <v/>
      </c>
      <c r="I4" s="15" t="str">
        <f>IF('Balance Sheet'!E7="","",'Balance Sheet'!E7)</f>
        <v>Liabilities and Shareholders' Equity</v>
      </c>
      <c r="J4" s="15" t="str">
        <f>IF('Balance Sheet'!F7="","",'Balance Sheet'!F7)</f>
        <v/>
      </c>
      <c r="K4" s="15" t="str">
        <f>IF('Balance Sheet'!G7="","",'Balance Sheet'!G7)</f>
        <v/>
      </c>
    </row>
    <row r="5" spans="1:11" x14ac:dyDescent="0.3">
      <c r="A5" s="72" t="str">
        <f>IF('Income Statement'!C11="","",'Income Statement'!C11)</f>
        <v>Cost of Goods Sold</v>
      </c>
      <c r="B5" s="72" t="str">
        <f>IF('Income Statement'!D11="","",'Income Statement'!D11)</f>
        <v/>
      </c>
      <c r="C5" s="317">
        <f>IF('Income Statement'!E11="","",'Income Statement'!E11)</f>
        <v>841</v>
      </c>
      <c r="E5" s="15" t="str">
        <f>IF('Balance Sheet'!A8="","",'Balance Sheet'!A8)</f>
        <v/>
      </c>
      <c r="F5" s="314">
        <f>IF('Balance Sheet'!B8="","",'Balance Sheet'!B8)</f>
        <v>2006</v>
      </c>
      <c r="G5" s="314">
        <f>IF('Balance Sheet'!C8="","",'Balance Sheet'!C8)</f>
        <v>2007</v>
      </c>
      <c r="H5" s="10" t="str">
        <f>IF('Balance Sheet'!D8="","",'Balance Sheet'!D8)</f>
        <v/>
      </c>
      <c r="I5" s="15" t="str">
        <f>IF('Balance Sheet'!E8="","",'Balance Sheet'!E8)</f>
        <v/>
      </c>
      <c r="J5" s="314">
        <f>IF('Balance Sheet'!F8="","",'Balance Sheet'!F8)</f>
        <v>2006</v>
      </c>
      <c r="K5" s="314">
        <f>IF('Balance Sheet'!G8="","",'Balance Sheet'!G8)</f>
        <v>2007</v>
      </c>
    </row>
    <row r="6" spans="1:11" x14ac:dyDescent="0.3">
      <c r="A6" s="72" t="str">
        <f>IF('Income Statement'!C12="","",'Income Statement'!C12)</f>
        <v>Depreciation</v>
      </c>
      <c r="B6" s="72" t="str">
        <f>IF('Income Statement'!D12="","",'Income Statement'!D12)</f>
        <v/>
      </c>
      <c r="C6" s="318">
        <f>IF('Income Statement'!E12="","",'Income Statement'!E12)</f>
        <v>71</v>
      </c>
      <c r="E6" s="17" t="str">
        <f>IF('Balance Sheet'!A9="","",'Balance Sheet'!A9)</f>
        <v>Current assets</v>
      </c>
      <c r="F6" s="323" t="str">
        <f>IF('Balance Sheet'!B9="","",'Balance Sheet'!B9)</f>
        <v/>
      </c>
      <c r="G6" s="323" t="str">
        <f>IF('Balance Sheet'!C9="","",'Balance Sheet'!C9)</f>
        <v/>
      </c>
      <c r="H6" s="18" t="str">
        <f>IF('Balance Sheet'!D9="","",'Balance Sheet'!D9)</f>
        <v/>
      </c>
      <c r="I6" s="17" t="str">
        <f>IF('Balance Sheet'!E9="","",'Balance Sheet'!E9)</f>
        <v>Current Liabilities</v>
      </c>
      <c r="J6" s="323" t="str">
        <f>IF('Balance Sheet'!F9="","",'Balance Sheet'!F9)</f>
        <v/>
      </c>
      <c r="K6" s="323" t="str">
        <f>IF('Balance Sheet'!G9="","",'Balance Sheet'!G9)</f>
        <v/>
      </c>
    </row>
    <row r="7" spans="1:11" x14ac:dyDescent="0.3">
      <c r="A7" s="72" t="str">
        <f>IF('Income Statement'!C13="","",'Income Statement'!C13)</f>
        <v>Earnings before interest and tax</v>
      </c>
      <c r="B7" s="72" t="str">
        <f>IF('Income Statement'!D13="","",'Income Statement'!D13)</f>
        <v/>
      </c>
      <c r="C7" s="316">
        <f>IF('Income Statement'!E13="","",'Income Statement'!E13)</f>
        <v>688</v>
      </c>
      <c r="E7" s="19" t="str">
        <f>IF('Balance Sheet'!A10="","",'Balance Sheet'!A10)</f>
        <v>Cash</v>
      </c>
      <c r="F7" s="324">
        <f>IF('Balance Sheet'!B10="","",'Balance Sheet'!B10)</f>
        <v>119</v>
      </c>
      <c r="G7" s="324">
        <f>IF('Balance Sheet'!C10="","",'Balance Sheet'!C10)</f>
        <v>183</v>
      </c>
      <c r="H7" s="18" t="str">
        <f>IF('Balance Sheet'!D10="","",'Balance Sheet'!D10)</f>
        <v/>
      </c>
      <c r="I7" s="19" t="str">
        <f>IF('Balance Sheet'!E10="","",'Balance Sheet'!E10)</f>
        <v>Accounts Payable</v>
      </c>
      <c r="J7" s="324">
        <f>IF('Balance Sheet'!F10="","",'Balance Sheet'!F10)</f>
        <v>237</v>
      </c>
      <c r="K7" s="324">
        <f>IF('Balance Sheet'!G10="","",'Balance Sheet'!G10)</f>
        <v>278</v>
      </c>
    </row>
    <row r="8" spans="1:11" x14ac:dyDescent="0.3">
      <c r="A8" s="72" t="str">
        <f>IF('Income Statement'!C14="","",'Income Statement'!C14)</f>
        <v>Interest paid</v>
      </c>
      <c r="B8" s="72" t="str">
        <f>IF('Income Statement'!D14="","",'Income Statement'!D14)</f>
        <v/>
      </c>
      <c r="C8" s="318">
        <f>IF('Income Statement'!E14="","",'Income Statement'!E14)</f>
        <v>76</v>
      </c>
      <c r="E8" s="19" t="str">
        <f>IF('Balance Sheet'!A11="","",'Balance Sheet'!A11)</f>
        <v>Accounts Receivable</v>
      </c>
      <c r="F8" s="325">
        <f>IF('Balance Sheet'!B11="","",'Balance Sheet'!B11)</f>
        <v>465</v>
      </c>
      <c r="G8" s="325">
        <f>IF('Balance Sheet'!C11="","",'Balance Sheet'!C11)</f>
        <v>698</v>
      </c>
      <c r="H8" s="22" t="str">
        <f>IF('Balance Sheet'!D11="","",'Balance Sheet'!D11)</f>
        <v/>
      </c>
      <c r="I8" s="19" t="str">
        <f>IF('Balance Sheet'!E11="","",'Balance Sheet'!E11)</f>
        <v>Notes Payable</v>
      </c>
      <c r="J8" s="329">
        <f>IF('Balance Sheet'!F11="","",'Balance Sheet'!F11)</f>
        <v>206</v>
      </c>
      <c r="K8" s="329">
        <f>IF('Balance Sheet'!G11="","",'Balance Sheet'!G11)</f>
        <v>133</v>
      </c>
    </row>
    <row r="9" spans="1:11" x14ac:dyDescent="0.3">
      <c r="A9" s="72" t="str">
        <f>IF('Income Statement'!C15="","",'Income Statement'!C15)</f>
        <v>Taxable income</v>
      </c>
      <c r="B9" s="72" t="str">
        <f>IF('Income Statement'!D15="","",'Income Statement'!D15)</f>
        <v/>
      </c>
      <c r="C9" s="316">
        <f>IF('Income Statement'!E15="","",'Income Statement'!E15)</f>
        <v>612</v>
      </c>
      <c r="E9" s="19" t="str">
        <f>IF('Balance Sheet'!A12="","",'Balance Sheet'!A12)</f>
        <v>Inventory</v>
      </c>
      <c r="F9" s="325">
        <f>IF('Balance Sheet'!B12="","",'Balance Sheet'!B12)</f>
        <v>563</v>
      </c>
      <c r="G9" s="325">
        <f>IF('Balance Sheet'!C12="","",'Balance Sheet'!C12)</f>
        <v>565</v>
      </c>
      <c r="H9" s="22" t="str">
        <f>IF('Balance Sheet'!D12="","",'Balance Sheet'!D12)</f>
        <v/>
      </c>
      <c r="I9" s="24" t="str">
        <f>IF('Balance Sheet'!E12="","",'Balance Sheet'!E12)</f>
        <v>Total</v>
      </c>
      <c r="J9" s="323">
        <f>IF('Balance Sheet'!F12="","",'Balance Sheet'!F12)</f>
        <v>443</v>
      </c>
      <c r="K9" s="323">
        <f>IF('Balance Sheet'!G12="","",'Balance Sheet'!G12)</f>
        <v>411</v>
      </c>
    </row>
    <row r="10" spans="1:11" x14ac:dyDescent="0.3">
      <c r="A10" s="72" t="str">
        <f>IF('Income Statement'!C16="","",'Income Statement'!C16)</f>
        <v>Taxes</v>
      </c>
      <c r="B10" s="72" t="str">
        <f>IF('Income Statement'!D16="","",'Income Statement'!D16)</f>
        <v/>
      </c>
      <c r="C10" s="319">
        <f>IF('Income Statement'!E16="","",'Income Statement'!E16)</f>
        <v>202</v>
      </c>
      <c r="E10" s="24" t="str">
        <f>IF('Balance Sheet'!A13="","",'Balance Sheet'!A13)</f>
        <v>Total</v>
      </c>
      <c r="F10" s="326">
        <f>IF('Balance Sheet'!B13="","",'Balance Sheet'!B13)</f>
        <v>1147</v>
      </c>
      <c r="G10" s="326">
        <f>IF('Balance Sheet'!C13="","",'Balance Sheet'!C13)</f>
        <v>1446</v>
      </c>
      <c r="H10" s="18" t="str">
        <f>IF('Balance Sheet'!D13="","",'Balance Sheet'!D13)</f>
        <v/>
      </c>
      <c r="I10" s="10" t="str">
        <f>IF('Balance Sheet'!E13="","",'Balance Sheet'!E13)</f>
        <v/>
      </c>
      <c r="J10" s="314" t="str">
        <f>IF('Balance Sheet'!F13="","",'Balance Sheet'!F13)</f>
        <v/>
      </c>
      <c r="K10" s="314" t="str">
        <f>IF('Balance Sheet'!G13="","",'Balance Sheet'!G13)</f>
        <v/>
      </c>
    </row>
    <row r="11" spans="1:11" ht="15" thickBot="1" x14ac:dyDescent="0.35">
      <c r="A11" s="72" t="str">
        <f>IF('Income Statement'!C17="","",'Income Statement'!C17)</f>
        <v>Net Income</v>
      </c>
      <c r="B11" s="72" t="str">
        <f>IF('Income Statement'!D17="","",'Income Statement'!D17)</f>
        <v/>
      </c>
      <c r="C11" s="320">
        <f>IF('Income Statement'!E17="","",'Income Statement'!E17)</f>
        <v>410</v>
      </c>
      <c r="E11" s="17" t="str">
        <f>IF('Balance Sheet'!A14="","",'Balance Sheet'!A14)</f>
        <v>Fixed Assets</v>
      </c>
      <c r="F11" s="325" t="str">
        <f>IF('Balance Sheet'!B14="","",'Balance Sheet'!B14)</f>
        <v/>
      </c>
      <c r="G11" s="325" t="str">
        <f>IF('Balance Sheet'!C14="","",'Balance Sheet'!C14)</f>
        <v/>
      </c>
      <c r="H11" s="18" t="str">
        <f>IF('Balance Sheet'!D14="","",'Balance Sheet'!D14)</f>
        <v/>
      </c>
      <c r="I11" s="17" t="str">
        <f>IF('Balance Sheet'!E14="","",'Balance Sheet'!E14)</f>
        <v>Long-term debt</v>
      </c>
      <c r="J11" s="314">
        <f>IF('Balance Sheet'!F14="","",'Balance Sheet'!F14)</f>
        <v>418</v>
      </c>
      <c r="K11" s="314">
        <f>IF('Balance Sheet'!G14="","",'Balance Sheet'!G14)</f>
        <v>464</v>
      </c>
    </row>
    <row r="12" spans="1:11" ht="15.6" thickTop="1" thickBot="1" x14ac:dyDescent="0.35">
      <c r="A12" s="77" t="str">
        <f>IF('Income Statement'!C18="","",'Income Statement'!C18)</f>
        <v/>
      </c>
      <c r="B12" s="77" t="str">
        <f>IF('Income Statement'!D18="","",'Income Statement'!D18)</f>
        <v/>
      </c>
      <c r="C12" s="321" t="str">
        <f>IF('Income Statement'!E18="","",'Income Statement'!E18)</f>
        <v/>
      </c>
      <c r="E12" s="19" t="str">
        <f>IF('Balance Sheet'!A15="","",'Balance Sheet'!A15)</f>
        <v>Net Fixed Assets</v>
      </c>
      <c r="F12" s="327">
        <f>IF('Balance Sheet'!B15="","",'Balance Sheet'!B15)</f>
        <v>1654</v>
      </c>
      <c r="G12" s="327">
        <f>IF('Balance Sheet'!C15="","",'Balance Sheet'!C15)</f>
        <v>1719</v>
      </c>
      <c r="H12" s="18" t="str">
        <f>IF('Balance Sheet'!D15="","",'Balance Sheet'!D15)</f>
        <v/>
      </c>
      <c r="I12" s="24" t="str">
        <f>IF('Balance Sheet'!E15="","",'Balance Sheet'!E15)</f>
        <v>Total Liabilities</v>
      </c>
      <c r="J12" s="326">
        <f>IF('Balance Sheet'!F15="","",'Balance Sheet'!F15)</f>
        <v>861</v>
      </c>
      <c r="K12" s="326">
        <f>IF('Balance Sheet'!G15="","",'Balance Sheet'!G15)</f>
        <v>875</v>
      </c>
    </row>
    <row r="13" spans="1:11" ht="15" thickTop="1" x14ac:dyDescent="0.3">
      <c r="A13" s="72" t="str">
        <f>IF('Income Statement'!C19="","",'Income Statement'!C19)</f>
        <v>Dividends =</v>
      </c>
      <c r="B13" s="72" t="str">
        <f>IF('Income Statement'!D19="","",'Income Statement'!D19)</f>
        <v/>
      </c>
      <c r="C13" s="322">
        <f>IF('Income Statement'!E19="","",'Income Statement'!E19)</f>
        <v>88</v>
      </c>
      <c r="E13" s="10" t="str">
        <f>IF('Balance Sheet'!A16="","",'Balance Sheet'!A16)</f>
        <v/>
      </c>
      <c r="F13" s="323" t="str">
        <f>IF('Balance Sheet'!B16="","",'Balance Sheet'!B16)</f>
        <v/>
      </c>
      <c r="G13" s="323" t="str">
        <f>IF('Balance Sheet'!C16="","",'Balance Sheet'!C16)</f>
        <v/>
      </c>
      <c r="H13" s="18" t="str">
        <f>IF('Balance Sheet'!D16="","",'Balance Sheet'!D16)</f>
        <v/>
      </c>
      <c r="I13" s="10" t="str">
        <f>IF('Balance Sheet'!E16="","",'Balance Sheet'!E16)</f>
        <v/>
      </c>
      <c r="J13" s="314" t="str">
        <f>IF('Balance Sheet'!F16="","",'Balance Sheet'!F16)</f>
        <v/>
      </c>
      <c r="K13" s="314" t="str">
        <f>IF('Balance Sheet'!G16="","",'Balance Sheet'!G16)</f>
        <v/>
      </c>
    </row>
    <row r="14" spans="1:11" x14ac:dyDescent="0.3">
      <c r="A14" s="72" t="str">
        <f>IF('Income Statement'!C20="","",'Income Statement'!C20)</f>
        <v>Addition to retained earnings =</v>
      </c>
      <c r="B14" s="72" t="str">
        <f>IF('Income Statement'!D20="","",'Income Statement'!D20)</f>
        <v/>
      </c>
      <c r="C14" s="78" t="str">
        <f>IF('Income Statement'!E20="","",'Income Statement'!E20)</f>
        <v/>
      </c>
      <c r="E14" s="10" t="str">
        <f>IF('Balance Sheet'!A17="","",'Balance Sheet'!A17)</f>
        <v/>
      </c>
      <c r="F14" s="323" t="str">
        <f>IF('Balance Sheet'!B17="","",'Balance Sheet'!B17)</f>
        <v/>
      </c>
      <c r="G14" s="323" t="str">
        <f>IF('Balance Sheet'!C17="","",'Balance Sheet'!C17)</f>
        <v/>
      </c>
      <c r="H14" s="18" t="str">
        <f>IF('Balance Sheet'!D17="","",'Balance Sheet'!D17)</f>
        <v/>
      </c>
      <c r="I14" s="17" t="str">
        <f>IF('Balance Sheet'!E17="","",'Balance Sheet'!E17)</f>
        <v>Shareholders' Equity</v>
      </c>
      <c r="J14" s="323" t="str">
        <f>IF('Balance Sheet'!F17="","",'Balance Sheet'!F17)</f>
        <v/>
      </c>
      <c r="K14" s="323" t="str">
        <f>IF('Balance Sheet'!G17="","",'Balance Sheet'!G17)</f>
        <v/>
      </c>
    </row>
    <row r="15" spans="1:11" x14ac:dyDescent="0.3">
      <c r="E15" s="10" t="str">
        <f>IF('Balance Sheet'!A18="","",'Balance Sheet'!A18)</f>
        <v/>
      </c>
      <c r="F15" s="323" t="str">
        <f>IF('Balance Sheet'!B18="","",'Balance Sheet'!B18)</f>
        <v/>
      </c>
      <c r="G15" s="323" t="str">
        <f>IF('Balance Sheet'!C18="","",'Balance Sheet'!C18)</f>
        <v/>
      </c>
      <c r="H15" s="18" t="str">
        <f>IF('Balance Sheet'!D18="","",'Balance Sheet'!D18)</f>
        <v/>
      </c>
      <c r="I15" s="19" t="str">
        <f>IF('Balance Sheet'!E18="","",'Balance Sheet'!E18)</f>
        <v>Common Stock and paid-in surplus</v>
      </c>
      <c r="J15" s="314">
        <f>IF('Balance Sheet'!F18="","",'Balance Sheet'!F18)</f>
        <v>610</v>
      </c>
      <c r="K15" s="325">
        <f>IF('Balance Sheet'!G18="","",'Balance Sheet'!G18)</f>
        <v>638</v>
      </c>
    </row>
    <row r="16" spans="1:11" x14ac:dyDescent="0.3">
      <c r="E16" s="10" t="str">
        <f>IF('Balance Sheet'!A19="","",'Balance Sheet'!A19)</f>
        <v/>
      </c>
      <c r="F16" s="314" t="str">
        <f>IF('Balance Sheet'!B19="","",'Balance Sheet'!B19)</f>
        <v/>
      </c>
      <c r="G16" s="314" t="str">
        <f>IF('Balance Sheet'!C19="","",'Balance Sheet'!C19)</f>
        <v/>
      </c>
      <c r="H16" s="10" t="str">
        <f>IF('Balance Sheet'!D19="","",'Balance Sheet'!D19)</f>
        <v/>
      </c>
      <c r="I16" s="19" t="str">
        <f>IF('Balance Sheet'!E19="","",'Balance Sheet'!E19)</f>
        <v>Retained Earnings</v>
      </c>
      <c r="J16" s="325">
        <f>IF('Balance Sheet'!F19="","",'Balance Sheet'!F19)</f>
        <v>1330</v>
      </c>
      <c r="K16" s="325">
        <f>IF('Balance Sheet'!G19="","",'Balance Sheet'!G19)</f>
        <v>1652</v>
      </c>
    </row>
    <row r="17" spans="1:11" x14ac:dyDescent="0.3">
      <c r="E17" s="10" t="str">
        <f>IF('Balance Sheet'!A20="","",'Balance Sheet'!A20)</f>
        <v/>
      </c>
      <c r="F17" s="314" t="str">
        <f>IF('Balance Sheet'!B20="","",'Balance Sheet'!B20)</f>
        <v/>
      </c>
      <c r="G17" s="314" t="str">
        <f>IF('Balance Sheet'!C20="","",'Balance Sheet'!C20)</f>
        <v/>
      </c>
      <c r="H17" s="10" t="str">
        <f>IF('Balance Sheet'!D20="","",'Balance Sheet'!D20)</f>
        <v/>
      </c>
      <c r="I17" s="24" t="str">
        <f>IF('Balance Sheet'!E20="","",'Balance Sheet'!E20)</f>
        <v>Total</v>
      </c>
      <c r="J17" s="326">
        <f>IF('Balance Sheet'!F20="","",'Balance Sheet'!F20)</f>
        <v>1940</v>
      </c>
      <c r="K17" s="326">
        <f>IF('Balance Sheet'!G20="","",'Balance Sheet'!G20)</f>
        <v>2290</v>
      </c>
    </row>
    <row r="18" spans="1:11" ht="15" thickBot="1" x14ac:dyDescent="0.35">
      <c r="E18" s="17" t="str">
        <f>IF('Balance Sheet'!A21="","",'Balance Sheet'!A21)</f>
        <v>Total Assets</v>
      </c>
      <c r="F18" s="328">
        <f>IF('Balance Sheet'!B21="","",'Balance Sheet'!B21)</f>
        <v>2801</v>
      </c>
      <c r="G18" s="328">
        <f>IF('Balance Sheet'!C21="","",'Balance Sheet'!C21)</f>
        <v>3165</v>
      </c>
      <c r="H18" s="18" t="str">
        <f>IF('Balance Sheet'!D21="","",'Balance Sheet'!D21)</f>
        <v/>
      </c>
      <c r="I18" s="17" t="str">
        <f>IF('Balance Sheet'!E21="","",'Balance Sheet'!E21)</f>
        <v>Total Liabilities and Shareholders' Equity</v>
      </c>
      <c r="J18" s="330">
        <f>IF('Balance Sheet'!F21="","",'Balance Sheet'!F21)</f>
        <v>2801</v>
      </c>
      <c r="K18" s="330">
        <f>IF('Balance Sheet'!G21="","",'Balance Sheet'!G21)</f>
        <v>3165</v>
      </c>
    </row>
    <row r="19" spans="1:11" ht="15" thickTop="1" x14ac:dyDescent="0.3"/>
    <row r="20" spans="1:11" x14ac:dyDescent="0.3">
      <c r="A20" t="s">
        <v>167</v>
      </c>
    </row>
    <row r="21" spans="1:11" x14ac:dyDescent="0.3">
      <c r="A21" t="s">
        <v>215</v>
      </c>
    </row>
    <row r="23" spans="1:11" x14ac:dyDescent="0.3">
      <c r="A23" t="s">
        <v>172</v>
      </c>
    </row>
    <row r="24" spans="1:11" x14ac:dyDescent="0.3">
      <c r="A24" t="s">
        <v>173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948A-5019-43B5-A4D7-3265277C9B0C}">
  <sheetPr>
    <tabColor rgb="FF0000FF"/>
  </sheetPr>
  <dimension ref="A1:G14"/>
  <sheetViews>
    <sheetView showGridLines="0" zoomScale="75" workbookViewId="0"/>
  </sheetViews>
  <sheetFormatPr defaultColWidth="9.109375" defaultRowHeight="13.2" x14ac:dyDescent="0.25"/>
  <cols>
    <col min="1" max="1" width="21.109375" style="113" customWidth="1"/>
    <col min="2" max="2" width="2.6640625" style="10" customWidth="1"/>
    <col min="3" max="3" width="21.109375" style="113" customWidth="1"/>
    <col min="4" max="4" width="2.6640625" style="10" customWidth="1"/>
    <col min="5" max="5" width="21.109375" style="113" customWidth="1"/>
    <col min="6" max="6" width="2.109375" style="10" bestFit="1" customWidth="1"/>
    <col min="7" max="7" width="21.109375" style="113" customWidth="1"/>
    <col min="8" max="16384" width="9.109375" style="10"/>
  </cols>
  <sheetData>
    <row r="1" spans="1:7" s="32" customFormat="1" ht="38.25" customHeight="1" x14ac:dyDescent="0.3">
      <c r="A1" s="110" t="s">
        <v>151</v>
      </c>
      <c r="B1" s="32" t="s">
        <v>35</v>
      </c>
      <c r="C1" s="111" t="s">
        <v>152</v>
      </c>
      <c r="D1" s="32" t="s">
        <v>37</v>
      </c>
      <c r="E1" s="112" t="s">
        <v>153</v>
      </c>
    </row>
    <row r="2" spans="1:7" ht="31.5" customHeight="1" x14ac:dyDescent="0.25"/>
    <row r="3" spans="1:7" s="32" customFormat="1" ht="38.25" customHeight="1" x14ac:dyDescent="0.3">
      <c r="A3" s="110" t="s">
        <v>151</v>
      </c>
      <c r="B3" s="32" t="s">
        <v>35</v>
      </c>
      <c r="C3" s="114" t="s">
        <v>154</v>
      </c>
      <c r="D3" s="115" t="s">
        <v>155</v>
      </c>
      <c r="E3" s="116" t="s">
        <v>156</v>
      </c>
      <c r="F3" s="115" t="s">
        <v>155</v>
      </c>
      <c r="G3" s="117" t="s">
        <v>157</v>
      </c>
    </row>
    <row r="4" spans="1:7" ht="31.5" customHeight="1" x14ac:dyDescent="0.25"/>
    <row r="5" spans="1:7" s="32" customFormat="1" ht="38.25" customHeight="1" x14ac:dyDescent="0.3">
      <c r="A5" s="114" t="s">
        <v>154</v>
      </c>
      <c r="B5" s="32" t="s">
        <v>35</v>
      </c>
      <c r="C5" s="118" t="s">
        <v>158</v>
      </c>
      <c r="D5" s="32" t="s">
        <v>37</v>
      </c>
      <c r="E5" s="118" t="s">
        <v>106</v>
      </c>
      <c r="F5" s="32" t="s">
        <v>155</v>
      </c>
      <c r="G5" s="118" t="s">
        <v>110</v>
      </c>
    </row>
    <row r="6" spans="1:7" ht="31.5" customHeight="1" x14ac:dyDescent="0.25"/>
    <row r="7" spans="1:7" s="32" customFormat="1" ht="38.25" customHeight="1" x14ac:dyDescent="0.3">
      <c r="A7" s="116" t="s">
        <v>156</v>
      </c>
      <c r="B7" s="32" t="s">
        <v>35</v>
      </c>
      <c r="C7" s="119" t="s">
        <v>159</v>
      </c>
      <c r="D7" s="32" t="s">
        <v>155</v>
      </c>
      <c r="E7" s="119" t="s">
        <v>160</v>
      </c>
      <c r="F7" s="32" t="s">
        <v>37</v>
      </c>
      <c r="G7" s="118" t="s">
        <v>106</v>
      </c>
    </row>
    <row r="8" spans="1:7" ht="31.5" customHeight="1" x14ac:dyDescent="0.25"/>
    <row r="9" spans="1:7" s="32" customFormat="1" ht="38.25" customHeight="1" x14ac:dyDescent="0.3">
      <c r="A9" s="117" t="s">
        <v>161</v>
      </c>
      <c r="B9" s="32" t="s">
        <v>35</v>
      </c>
      <c r="C9" s="119" t="s">
        <v>162</v>
      </c>
      <c r="D9" s="32" t="s">
        <v>155</v>
      </c>
      <c r="E9" s="119" t="s">
        <v>163</v>
      </c>
      <c r="G9" s="39"/>
    </row>
    <row r="10" spans="1:7" ht="31.5" customHeight="1" x14ac:dyDescent="0.25"/>
    <row r="11" spans="1:7" s="32" customFormat="1" ht="38.25" customHeight="1" x14ac:dyDescent="0.3">
      <c r="A11" s="111" t="s">
        <v>152</v>
      </c>
      <c r="B11" s="32" t="s">
        <v>35</v>
      </c>
      <c r="C11" s="119" t="s">
        <v>108</v>
      </c>
      <c r="D11" s="32" t="s">
        <v>155</v>
      </c>
      <c r="E11" s="119" t="s">
        <v>164</v>
      </c>
      <c r="G11" s="39"/>
    </row>
    <row r="12" spans="1:7" ht="31.5" customHeight="1" x14ac:dyDescent="0.25"/>
    <row r="13" spans="1:7" s="32" customFormat="1" ht="54.75" customHeight="1" x14ac:dyDescent="0.3">
      <c r="A13" s="112" t="s">
        <v>153</v>
      </c>
      <c r="B13" s="32" t="s">
        <v>35</v>
      </c>
      <c r="C13" s="119" t="s">
        <v>165</v>
      </c>
      <c r="D13" s="32" t="s">
        <v>155</v>
      </c>
      <c r="E13" s="119" t="s">
        <v>166</v>
      </c>
      <c r="G13" s="39"/>
    </row>
    <row r="14" spans="1:7" ht="31.5" customHeight="1" x14ac:dyDescent="0.25"/>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84FB-7711-4E14-ABB3-4DAB6A1BF1B8}">
  <sheetPr>
    <tabColor rgb="FF0000FF"/>
  </sheetPr>
  <dimension ref="A1:W74"/>
  <sheetViews>
    <sheetView zoomScale="85" zoomScaleNormal="85" workbookViewId="0"/>
  </sheetViews>
  <sheetFormatPr defaultColWidth="9.109375" defaultRowHeight="14.4" outlineLevelCol="1" x14ac:dyDescent="0.3"/>
  <cols>
    <col min="1" max="1" width="39.109375" style="10" bestFit="1" customWidth="1" outlineLevel="1"/>
    <col min="2" max="2" width="22.109375" style="10" bestFit="1" customWidth="1" outlineLevel="1"/>
    <col min="3" max="3" width="8.88671875" style="10" bestFit="1" customWidth="1" outlineLevel="1"/>
    <col min="4" max="4" width="3.6640625" customWidth="1"/>
    <col min="5" max="5" width="28" style="10" customWidth="1" outlineLevel="1"/>
    <col min="6" max="6" width="9.109375" style="10" customWidth="1" outlineLevel="1"/>
    <col min="7" max="7" width="9.88671875" style="10" customWidth="1" outlineLevel="1"/>
    <col min="8" max="8" width="3" customWidth="1"/>
    <col min="9" max="9" width="14.5546875" style="10" bestFit="1" customWidth="1" outlineLevel="1"/>
    <col min="10" max="11" width="9.88671875" style="10" bestFit="1" customWidth="1" outlineLevel="1"/>
    <col min="12" max="12" width="2.33203125" style="10" customWidth="1" outlineLevel="1"/>
    <col min="13" max="13" width="40.44140625" style="10" bestFit="1" customWidth="1" outlineLevel="1"/>
    <col min="14" max="15" width="9.88671875" style="10" bestFit="1" customWidth="1" outlineLevel="1"/>
    <col min="16" max="16" width="3.33203125" customWidth="1"/>
    <col min="17" max="17" width="23.33203125" style="10" bestFit="1" customWidth="1" outlineLevel="1"/>
    <col min="18" max="18" width="2.6640625" style="10" bestFit="1" customWidth="1" outlineLevel="1"/>
    <col min="19" max="19" width="23.33203125" style="10" bestFit="1" customWidth="1" outlineLevel="1"/>
    <col min="20" max="20" width="2.6640625" style="10" bestFit="1" customWidth="1" outlineLevel="1"/>
    <col min="21" max="21" width="23" style="10" bestFit="1" customWidth="1" outlineLevel="1"/>
    <col min="22" max="22" width="4.88671875" style="10" bestFit="1" customWidth="1" outlineLevel="1"/>
    <col min="23" max="23" width="14.44140625" style="10" bestFit="1" customWidth="1" outlineLevel="1"/>
    <col min="24" max="16384" width="9.109375" style="10"/>
  </cols>
  <sheetData>
    <row r="1" spans="1:23" x14ac:dyDescent="0.3">
      <c r="A1" s="273" t="s">
        <v>28</v>
      </c>
      <c r="B1" s="123"/>
      <c r="C1" s="124"/>
      <c r="E1" s="14" t="str">
        <f>B2</f>
        <v>Entrepreneur Corporation</v>
      </c>
      <c r="F1" s="14"/>
      <c r="G1" s="14"/>
      <c r="I1" s="14" t="str">
        <f>E1</f>
        <v>Entrepreneur Corporation</v>
      </c>
      <c r="J1" s="14"/>
      <c r="K1" s="14"/>
      <c r="L1" s="14"/>
      <c r="M1" s="14"/>
      <c r="N1" s="14"/>
      <c r="O1" s="14"/>
      <c r="Q1" s="129" t="s">
        <v>151</v>
      </c>
      <c r="R1" s="113" t="s">
        <v>35</v>
      </c>
      <c r="S1" s="37" t="s">
        <v>186</v>
      </c>
      <c r="T1" s="113" t="s">
        <v>37</v>
      </c>
      <c r="U1" s="130" t="s">
        <v>187</v>
      </c>
      <c r="V1" s="131"/>
      <c r="W1" s="113"/>
    </row>
    <row r="2" spans="1:23" x14ac:dyDescent="0.3">
      <c r="A2" s="11" t="s">
        <v>89</v>
      </c>
      <c r="B2" s="11" t="s">
        <v>213</v>
      </c>
      <c r="E2" s="14" t="str">
        <f>B6</f>
        <v>Income Statement</v>
      </c>
      <c r="F2" s="14"/>
      <c r="G2" s="14"/>
      <c r="I2" s="14" t="str">
        <f>B7</f>
        <v>Balance Sheet</v>
      </c>
      <c r="J2" s="14"/>
      <c r="K2" s="14"/>
      <c r="L2" s="14"/>
      <c r="M2" s="14"/>
      <c r="N2" s="14"/>
      <c r="O2" s="14"/>
      <c r="Q2" s="126"/>
      <c r="R2" s="113"/>
      <c r="S2" s="126"/>
      <c r="T2" s="113"/>
      <c r="U2" s="126"/>
      <c r="V2" s="113"/>
      <c r="W2" s="113"/>
    </row>
    <row r="3" spans="1:23" x14ac:dyDescent="0.3">
      <c r="A3" s="11" t="s">
        <v>29</v>
      </c>
      <c r="B3" s="12">
        <v>40178</v>
      </c>
      <c r="E3" s="14" t="str">
        <f>"For The Year Ended "&amp;YEAR(B4)</f>
        <v>For The Year Ended 2010</v>
      </c>
      <c r="F3" s="14"/>
      <c r="G3" s="14"/>
      <c r="I3" s="14" t="str">
        <f>TEXT(B3,"mmmm dd, yyyy")&amp;" and "&amp;TEXT(B4,"mmmm dd, yyyy")</f>
        <v>December 31, 2009 and December 31, 2010</v>
      </c>
      <c r="J3" s="14"/>
      <c r="K3" s="14"/>
      <c r="L3" s="14"/>
      <c r="M3" s="14"/>
      <c r="N3" s="14"/>
      <c r="O3" s="14"/>
      <c r="Q3" s="129" t="s">
        <v>151</v>
      </c>
      <c r="R3" s="113" t="s">
        <v>35</v>
      </c>
      <c r="S3" s="132" t="s">
        <v>188</v>
      </c>
      <c r="T3" s="113" t="s">
        <v>155</v>
      </c>
      <c r="U3" s="133" t="s">
        <v>156</v>
      </c>
      <c r="V3" s="113" t="s">
        <v>155</v>
      </c>
      <c r="W3" s="134" t="s">
        <v>161</v>
      </c>
    </row>
    <row r="4" spans="1:23" x14ac:dyDescent="0.3">
      <c r="A4" s="11" t="s">
        <v>30</v>
      </c>
      <c r="B4" s="12">
        <f>B3+365</f>
        <v>40543</v>
      </c>
      <c r="E4" s="10" t="str">
        <f>A15</f>
        <v>Sales</v>
      </c>
      <c r="G4" s="244"/>
      <c r="I4" s="68" t="s">
        <v>10</v>
      </c>
      <c r="J4" s="68"/>
      <c r="K4" s="68"/>
      <c r="M4" s="68" t="s">
        <v>183</v>
      </c>
      <c r="N4" s="68"/>
      <c r="O4" s="68"/>
      <c r="Q4" s="126"/>
      <c r="R4" s="113"/>
      <c r="S4" s="126"/>
      <c r="T4" s="113"/>
      <c r="U4" s="126"/>
      <c r="V4" s="113"/>
      <c r="W4" s="126"/>
    </row>
    <row r="5" spans="1:23" x14ac:dyDescent="0.3">
      <c r="A5" s="11" t="s">
        <v>142</v>
      </c>
      <c r="B5" s="120">
        <v>0.34</v>
      </c>
      <c r="E5" s="10" t="str">
        <f>A16</f>
        <v>Cost of goods sold</v>
      </c>
      <c r="G5" s="245"/>
      <c r="I5" s="68"/>
      <c r="J5" s="68">
        <f t="array" ref="J5:K5">TRANSPOSE(YEAR(B3:B4))</f>
        <v>2009</v>
      </c>
      <c r="K5" s="10">
        <v>2010</v>
      </c>
      <c r="M5" s="68"/>
      <c r="N5" s="68">
        <f>J5</f>
        <v>2009</v>
      </c>
      <c r="O5" s="68">
        <f>K5</f>
        <v>2010</v>
      </c>
      <c r="Q5" s="135" t="str">
        <f>S3</f>
        <v>Cash flow from operations</v>
      </c>
      <c r="R5" s="113" t="s">
        <v>35</v>
      </c>
      <c r="S5" s="136" t="s">
        <v>189</v>
      </c>
      <c r="T5" s="113" t="s">
        <v>37</v>
      </c>
      <c r="U5" s="136" t="str">
        <f>A17</f>
        <v>Depreciation</v>
      </c>
      <c r="V5" s="113" t="s">
        <v>155</v>
      </c>
      <c r="W5" s="136" t="str">
        <f>E10</f>
        <v>Taxes</v>
      </c>
    </row>
    <row r="6" spans="1:23" ht="15" thickBot="1" x14ac:dyDescent="0.35">
      <c r="A6" s="11" t="s">
        <v>174</v>
      </c>
      <c r="B6" s="11" t="s">
        <v>2</v>
      </c>
      <c r="E6" s="10" t="str">
        <f>A17</f>
        <v>Depreciation</v>
      </c>
      <c r="G6" s="248"/>
      <c r="I6" s="10" t="str">
        <f>A20</f>
        <v>Current assets</v>
      </c>
      <c r="J6" s="244"/>
      <c r="K6" s="244"/>
      <c r="M6" s="10" t="str">
        <f>A22</f>
        <v>Current liabilities</v>
      </c>
      <c r="N6" s="244"/>
      <c r="O6" s="244"/>
      <c r="Q6" s="126"/>
      <c r="R6" s="113"/>
      <c r="T6" s="113"/>
      <c r="U6" s="126"/>
      <c r="V6" s="113"/>
      <c r="W6" s="126"/>
    </row>
    <row r="7" spans="1:23" ht="15" thickBot="1" x14ac:dyDescent="0.35">
      <c r="A7" s="11"/>
      <c r="B7" s="11" t="s">
        <v>1</v>
      </c>
      <c r="E7" s="10" t="s">
        <v>107</v>
      </c>
      <c r="G7" s="247"/>
      <c r="I7" s="10" t="str">
        <f>A21</f>
        <v>Net fixed assets</v>
      </c>
      <c r="J7" s="245"/>
      <c r="K7" s="245"/>
      <c r="M7" s="10" t="str">
        <f>A23</f>
        <v>Long-term debt</v>
      </c>
      <c r="N7" s="248"/>
      <c r="O7" s="248"/>
      <c r="Q7" s="133" t="s">
        <v>156</v>
      </c>
      <c r="R7" s="113" t="s">
        <v>35</v>
      </c>
      <c r="S7" s="122" t="s">
        <v>190</v>
      </c>
      <c r="T7" s="113" t="s">
        <v>155</v>
      </c>
      <c r="U7" s="122" t="s">
        <v>191</v>
      </c>
      <c r="V7" s="113" t="s">
        <v>37</v>
      </c>
      <c r="W7" s="122" t="str">
        <f>U5</f>
        <v>Depreciation</v>
      </c>
    </row>
    <row r="8" spans="1:23" ht="15" thickBot="1" x14ac:dyDescent="0.35">
      <c r="A8" s="144" t="s">
        <v>175</v>
      </c>
      <c r="B8" s="144"/>
      <c r="C8" s="144"/>
      <c r="E8" s="10" t="str">
        <f>A18</f>
        <v>Interest</v>
      </c>
      <c r="G8" s="248"/>
      <c r="M8" s="10" t="s">
        <v>23</v>
      </c>
      <c r="N8" s="247"/>
      <c r="O8" s="247"/>
      <c r="Q8" s="126"/>
      <c r="R8" s="113"/>
      <c r="S8" s="126"/>
      <c r="T8" s="113"/>
      <c r="U8" s="126"/>
      <c r="V8" s="113"/>
      <c r="W8" s="126"/>
    </row>
    <row r="9" spans="1:23" x14ac:dyDescent="0.3">
      <c r="A9" s="11" t="str">
        <f>"Prepare an "&amp;B6&amp;" for "&amp;YEAR(B4)</f>
        <v>Prepare an Income Statement for 2010</v>
      </c>
      <c r="B9" s="11"/>
      <c r="C9" s="11"/>
      <c r="E9" s="10" t="s">
        <v>109</v>
      </c>
      <c r="G9" s="247"/>
      <c r="M9" s="10" t="s">
        <v>184</v>
      </c>
      <c r="N9" s="246"/>
      <c r="O9" s="245"/>
      <c r="Q9" s="134" t="s">
        <v>161</v>
      </c>
      <c r="R9" s="113" t="s">
        <v>35</v>
      </c>
      <c r="S9" s="122" t="s">
        <v>192</v>
      </c>
      <c r="T9" s="113" t="s">
        <v>155</v>
      </c>
      <c r="U9" s="122" t="s">
        <v>193</v>
      </c>
      <c r="V9" s="113"/>
      <c r="W9" s="126"/>
    </row>
    <row r="10" spans="1:23" ht="15" thickBot="1" x14ac:dyDescent="0.35">
      <c r="A10" s="11" t="str">
        <f>"Prepare an "&amp;B7&amp;" for "&amp;YEAR(B3)&amp;" and "&amp;YEAR(B4)</f>
        <v>Prepare an Balance Sheet for 2009 and 2010</v>
      </c>
      <c r="B10" s="11"/>
      <c r="C10" s="11"/>
      <c r="E10" s="10" t="s">
        <v>110</v>
      </c>
      <c r="G10" s="248"/>
      <c r="M10" s="10" t="s">
        <v>212</v>
      </c>
      <c r="N10" s="246"/>
      <c r="O10" s="245"/>
      <c r="Q10" s="126"/>
      <c r="R10" s="113"/>
      <c r="T10" s="113"/>
      <c r="U10" s="126"/>
      <c r="V10" s="113"/>
      <c r="W10" s="126"/>
    </row>
    <row r="11" spans="1:23" ht="15" thickBot="1" x14ac:dyDescent="0.35">
      <c r="A11" s="11" t="str">
        <f>"Calculate cash flows from assets for "&amp;YEAR(B4)</f>
        <v>Calculate cash flows from assets for 2010</v>
      </c>
      <c r="B11" s="137"/>
      <c r="C11" s="137"/>
      <c r="E11" s="10" t="s">
        <v>111</v>
      </c>
      <c r="G11" s="251"/>
      <c r="M11" s="10" t="s">
        <v>185</v>
      </c>
      <c r="N11" s="249"/>
      <c r="O11" s="250"/>
      <c r="Q11" s="37" t="s">
        <v>186</v>
      </c>
      <c r="R11" s="113" t="s">
        <v>35</v>
      </c>
      <c r="S11" s="136" t="str">
        <f>E8</f>
        <v>Interest</v>
      </c>
      <c r="T11" s="113" t="s">
        <v>155</v>
      </c>
      <c r="U11" s="136" t="s">
        <v>194</v>
      </c>
      <c r="V11" s="113"/>
      <c r="W11" s="113"/>
    </row>
    <row r="12" spans="1:23" ht="15.6" thickTop="1" thickBot="1" x14ac:dyDescent="0.35">
      <c r="A12" s="11" t="str">
        <f>"Calculate cash flows to creditors "&amp;YEAR(B4)</f>
        <v>Calculate cash flows to creditors 2010</v>
      </c>
      <c r="B12" s="137"/>
      <c r="C12" s="11"/>
      <c r="I12" s="10" t="str">
        <f>"Total "&amp;I4</f>
        <v>Total Assets</v>
      </c>
      <c r="J12" s="251"/>
      <c r="K12" s="251"/>
      <c r="M12" s="10" t="str">
        <f>"Total "&amp;M4</f>
        <v>Total Liabilities and Owners' Equity</v>
      </c>
      <c r="N12" s="251"/>
      <c r="O12" s="251"/>
      <c r="Q12" s="126"/>
      <c r="R12" s="113"/>
      <c r="S12" s="126"/>
      <c r="T12" s="113"/>
      <c r="U12" s="126"/>
      <c r="V12" s="113"/>
      <c r="W12" s="113"/>
    </row>
    <row r="13" spans="1:23" ht="15.6" thickTop="1" thickBot="1" x14ac:dyDescent="0.35">
      <c r="A13" s="11" t="str">
        <f>"Calculate cash flows to stockholders "&amp;YEAR(B4)</f>
        <v>Calculate cash flows to stockholders 2010</v>
      </c>
      <c r="B13" s="137"/>
      <c r="C13" s="11"/>
      <c r="E13" s="10" t="s">
        <v>171</v>
      </c>
      <c r="G13" s="244"/>
      <c r="I13" s="50"/>
      <c r="J13" s="128"/>
      <c r="K13" s="128"/>
      <c r="L13" s="50"/>
      <c r="M13" s="50"/>
      <c r="N13" s="128"/>
      <c r="O13" s="128"/>
      <c r="Q13" s="130" t="s">
        <v>187</v>
      </c>
      <c r="R13" s="113" t="s">
        <v>35</v>
      </c>
      <c r="S13" s="136" t="str">
        <f>E13</f>
        <v>Dividends</v>
      </c>
      <c r="T13" s="113" t="s">
        <v>155</v>
      </c>
      <c r="U13" s="136" t="s">
        <v>195</v>
      </c>
      <c r="V13" s="113"/>
      <c r="W13" s="113"/>
    </row>
    <row r="14" spans="1:23" ht="15" thickTop="1" x14ac:dyDescent="0.3">
      <c r="A14" s="125" t="s">
        <v>177</v>
      </c>
      <c r="B14" s="125">
        <f t="array" ref="B14:C14">TRANSPOSE(YEAR(B3:B4))</f>
        <v>2009</v>
      </c>
      <c r="C14" s="125">
        <v>2010</v>
      </c>
      <c r="E14" s="10" t="s">
        <v>182</v>
      </c>
      <c r="G14" s="244"/>
      <c r="Q14" s="126"/>
      <c r="R14" s="113"/>
      <c r="S14" s="127"/>
      <c r="T14" s="113"/>
      <c r="U14" s="127"/>
      <c r="V14" s="113"/>
      <c r="W14" s="113"/>
    </row>
    <row r="15" spans="1:23" ht="15" thickBot="1" x14ac:dyDescent="0.35">
      <c r="A15" s="11" t="s">
        <v>168</v>
      </c>
      <c r="B15" s="137">
        <v>3810</v>
      </c>
      <c r="C15" s="11">
        <v>4237</v>
      </c>
      <c r="E15" s="50"/>
      <c r="F15" s="50"/>
      <c r="G15" s="50"/>
    </row>
    <row r="16" spans="1:23" ht="15" thickTop="1" x14ac:dyDescent="0.3">
      <c r="A16" s="11" t="s">
        <v>178</v>
      </c>
      <c r="B16" s="137">
        <v>2063</v>
      </c>
      <c r="C16" s="137">
        <f>2257-59</f>
        <v>2198</v>
      </c>
    </row>
    <row r="17" spans="1:15" x14ac:dyDescent="0.3">
      <c r="A17" s="11" t="s">
        <v>106</v>
      </c>
      <c r="B17" s="137">
        <v>995</v>
      </c>
      <c r="C17" s="137">
        <v>1438</v>
      </c>
    </row>
    <row r="18" spans="1:15" x14ac:dyDescent="0.3">
      <c r="A18" s="11" t="s">
        <v>179</v>
      </c>
      <c r="B18" s="137">
        <v>245</v>
      </c>
      <c r="C18" s="137">
        <v>287</v>
      </c>
    </row>
    <row r="19" spans="1:15" x14ac:dyDescent="0.3">
      <c r="A19" s="11" t="s">
        <v>171</v>
      </c>
      <c r="B19" s="137">
        <v>120</v>
      </c>
      <c r="C19" s="137">
        <v>130</v>
      </c>
    </row>
    <row r="20" spans="1:15" x14ac:dyDescent="0.3">
      <c r="A20" s="11" t="s">
        <v>12</v>
      </c>
      <c r="B20" s="137">
        <v>2060</v>
      </c>
      <c r="C20" s="137">
        <v>2466</v>
      </c>
    </row>
    <row r="21" spans="1:15" x14ac:dyDescent="0.3">
      <c r="A21" s="11" t="s">
        <v>180</v>
      </c>
      <c r="B21" s="137">
        <v>6790</v>
      </c>
      <c r="C21" s="137">
        <v>7407</v>
      </c>
    </row>
    <row r="22" spans="1:15" x14ac:dyDescent="0.3">
      <c r="A22" s="11" t="s">
        <v>181</v>
      </c>
      <c r="B22" s="137">
        <v>1014</v>
      </c>
      <c r="C22" s="137">
        <v>1346</v>
      </c>
    </row>
    <row r="23" spans="1:15" x14ac:dyDescent="0.3">
      <c r="A23" s="11" t="s">
        <v>21</v>
      </c>
      <c r="B23" s="137">
        <v>2889</v>
      </c>
      <c r="C23" s="137">
        <v>2976</v>
      </c>
    </row>
    <row r="30" spans="1:15" x14ac:dyDescent="0.3">
      <c r="O30" s="121"/>
    </row>
    <row r="46" spans="19:19" x14ac:dyDescent="0.3">
      <c r="S46" s="65"/>
    </row>
    <row r="53" spans="13:15" x14ac:dyDescent="0.3">
      <c r="N53" s="121"/>
    </row>
    <row r="54" spans="13:15" x14ac:dyDescent="0.3">
      <c r="N54" s="121"/>
    </row>
    <row r="56" spans="13:15" x14ac:dyDescent="0.3">
      <c r="O56" s="121"/>
    </row>
    <row r="61" spans="13:15" x14ac:dyDescent="0.3">
      <c r="M61" s="121"/>
    </row>
    <row r="66" spans="17:23" x14ac:dyDescent="0.3">
      <c r="Q66" s="113"/>
      <c r="R66" s="113"/>
      <c r="S66" s="113"/>
      <c r="T66" s="113"/>
      <c r="U66" s="113"/>
      <c r="V66" s="113"/>
      <c r="W66" s="113"/>
    </row>
    <row r="67" spans="17:23" x14ac:dyDescent="0.3">
      <c r="Q67" s="113"/>
      <c r="R67" s="113"/>
      <c r="S67" s="113"/>
      <c r="T67" s="113"/>
      <c r="U67" s="113"/>
      <c r="V67" s="113"/>
      <c r="W67" s="113"/>
    </row>
    <row r="68" spans="17:23" x14ac:dyDescent="0.3">
      <c r="Q68" s="113"/>
      <c r="R68" s="113"/>
      <c r="S68" s="113"/>
      <c r="T68" s="113"/>
      <c r="U68" s="113"/>
      <c r="V68" s="113"/>
      <c r="W68" s="113"/>
    </row>
    <row r="69" spans="17:23" x14ac:dyDescent="0.3">
      <c r="Q69" s="113"/>
      <c r="R69" s="113"/>
      <c r="S69" s="113"/>
      <c r="T69" s="113"/>
      <c r="U69" s="127"/>
      <c r="V69" s="113"/>
      <c r="W69" s="113"/>
    </row>
    <row r="70" spans="17:23" x14ac:dyDescent="0.3">
      <c r="Q70" s="113"/>
      <c r="R70" s="113"/>
      <c r="S70" s="113"/>
      <c r="T70" s="113"/>
      <c r="U70" s="113"/>
      <c r="V70" s="113"/>
      <c r="W70" s="113"/>
    </row>
    <row r="71" spans="17:23" x14ac:dyDescent="0.3">
      <c r="Q71" s="113"/>
      <c r="R71" s="113"/>
      <c r="S71" s="113"/>
      <c r="T71" s="113"/>
      <c r="U71" s="113"/>
      <c r="V71" s="113"/>
      <c r="W71" s="113"/>
    </row>
    <row r="72" spans="17:23" x14ac:dyDescent="0.3">
      <c r="Q72" s="113"/>
      <c r="R72" s="113"/>
      <c r="S72" s="113"/>
      <c r="T72" s="113"/>
      <c r="U72" s="113"/>
      <c r="V72" s="113"/>
      <c r="W72" s="113"/>
    </row>
    <row r="73" spans="17:23" x14ac:dyDescent="0.3">
      <c r="Q73" s="113"/>
      <c r="R73" s="113"/>
      <c r="S73" s="113"/>
      <c r="T73" s="113"/>
      <c r="U73" s="113"/>
      <c r="V73" s="113"/>
      <c r="W73" s="113"/>
    </row>
    <row r="74" spans="17:23" x14ac:dyDescent="0.3">
      <c r="Q74" s="113"/>
      <c r="R74" s="113"/>
      <c r="S74" s="113"/>
      <c r="T74" s="113"/>
      <c r="U74" s="113"/>
      <c r="V74" s="113"/>
      <c r="W74" s="113"/>
    </row>
  </sheetData>
  <printOptions horizontalCentered="1"/>
  <pageMargins left="0.75" right="0.75" top="1" bottom="1" header="0.5" footer="0.5"/>
  <pageSetup scale="89" orientation="landscape" r:id="rId1"/>
  <headerFooter alignWithMargins="0">
    <oddHeader>&amp;C&amp;F - &amp;A</oddHeader>
    <oddFooter>&amp;LPage &amp;P of &amp;N&amp;RFinance is Fun!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8DC7-FDAF-4625-8725-59587C648A42}">
  <sheetPr>
    <tabColor rgb="FFFF0000"/>
  </sheetPr>
  <dimension ref="A1:W74"/>
  <sheetViews>
    <sheetView zoomScale="85" zoomScaleNormal="85" workbookViewId="0"/>
  </sheetViews>
  <sheetFormatPr defaultColWidth="9.109375" defaultRowHeight="14.4" outlineLevelCol="1" x14ac:dyDescent="0.3"/>
  <cols>
    <col min="1" max="1" width="39.109375" style="10" bestFit="1" customWidth="1" outlineLevel="1"/>
    <col min="2" max="2" width="22.109375" style="10" bestFit="1" customWidth="1" outlineLevel="1"/>
    <col min="3" max="3" width="8.88671875" style="10" bestFit="1" customWidth="1" outlineLevel="1"/>
    <col min="4" max="4" width="3.6640625" customWidth="1"/>
    <col min="5" max="5" width="28" style="10" customWidth="1" outlineLevel="1"/>
    <col min="6" max="6" width="9.109375" style="10" customWidth="1" outlineLevel="1"/>
    <col min="7" max="7" width="9.88671875" style="10" customWidth="1" outlineLevel="1"/>
    <col min="8" max="8" width="3" customWidth="1"/>
    <col min="9" max="9" width="14.5546875" style="10" bestFit="1" customWidth="1" outlineLevel="1"/>
    <col min="10" max="11" width="9.88671875" style="10" bestFit="1" customWidth="1" outlineLevel="1"/>
    <col min="12" max="12" width="2.33203125" style="10" customWidth="1" outlineLevel="1"/>
    <col min="13" max="13" width="40.44140625" style="10" bestFit="1" customWidth="1" outlineLevel="1"/>
    <col min="14" max="15" width="9.88671875" style="10" bestFit="1" customWidth="1" outlineLevel="1"/>
    <col min="16" max="16" width="3.33203125" customWidth="1"/>
    <col min="17" max="17" width="23.33203125" style="10" bestFit="1" customWidth="1" outlineLevel="1"/>
    <col min="18" max="18" width="2.6640625" style="10" bestFit="1" customWidth="1" outlineLevel="1"/>
    <col min="19" max="19" width="23.33203125" style="10" bestFit="1" customWidth="1" outlineLevel="1"/>
    <col min="20" max="20" width="2.6640625" style="10" bestFit="1" customWidth="1" outlineLevel="1"/>
    <col min="21" max="21" width="23" style="10" bestFit="1" customWidth="1" outlineLevel="1"/>
    <col min="22" max="22" width="4.88671875" style="10" bestFit="1" customWidth="1" outlineLevel="1"/>
    <col min="23" max="23" width="14.44140625" style="10" bestFit="1" customWidth="1" outlineLevel="1"/>
    <col min="24" max="16384" width="9.109375" style="10"/>
  </cols>
  <sheetData>
    <row r="1" spans="1:23" x14ac:dyDescent="0.3">
      <c r="A1" s="273" t="s">
        <v>28</v>
      </c>
      <c r="B1" s="123"/>
      <c r="C1" s="124"/>
      <c r="E1" s="14" t="str">
        <f>B2</f>
        <v>Entrepreneur Corporation</v>
      </c>
      <c r="F1" s="14"/>
      <c r="G1" s="14"/>
      <c r="I1" s="14" t="str">
        <f>E1</f>
        <v>Entrepreneur Corporation</v>
      </c>
      <c r="J1" s="14"/>
      <c r="K1" s="14"/>
      <c r="L1" s="14"/>
      <c r="M1" s="14"/>
      <c r="N1" s="14"/>
      <c r="O1" s="14"/>
      <c r="Q1" s="129" t="s">
        <v>151</v>
      </c>
      <c r="R1" s="113" t="s">
        <v>35</v>
      </c>
      <c r="S1" s="37" t="s">
        <v>186</v>
      </c>
      <c r="T1" s="113" t="s">
        <v>37</v>
      </c>
      <c r="U1" s="130" t="s">
        <v>187</v>
      </c>
      <c r="V1" s="131" t="str">
        <f>IF(Q2=S2+U2,"True","Off by: "&amp;DOLLAR(Q2-S2-U2))</f>
        <v>True</v>
      </c>
      <c r="W1" s="113"/>
    </row>
    <row r="2" spans="1:23" x14ac:dyDescent="0.3">
      <c r="A2" s="11" t="s">
        <v>89</v>
      </c>
      <c r="B2" s="11" t="s">
        <v>213</v>
      </c>
      <c r="E2" s="14" t="str">
        <f>B6</f>
        <v>Income Statement</v>
      </c>
      <c r="F2" s="14"/>
      <c r="G2" s="14"/>
      <c r="I2" s="14" t="str">
        <f>B7</f>
        <v>Balance Sheet</v>
      </c>
      <c r="J2" s="14"/>
      <c r="K2" s="14"/>
      <c r="L2" s="14"/>
      <c r="M2" s="14"/>
      <c r="N2" s="14"/>
      <c r="O2" s="14"/>
      <c r="Q2" s="126">
        <f>Q4</f>
        <v>-197</v>
      </c>
      <c r="R2" s="113"/>
      <c r="S2" s="126">
        <f>Q12</f>
        <v>200</v>
      </c>
      <c r="T2" s="113"/>
      <c r="U2" s="126">
        <f>Q14</f>
        <v>-397</v>
      </c>
      <c r="V2" s="113"/>
      <c r="W2" s="113"/>
    </row>
    <row r="3" spans="1:23" x14ac:dyDescent="0.3">
      <c r="A3" s="11" t="s">
        <v>29</v>
      </c>
      <c r="B3" s="12">
        <v>40178</v>
      </c>
      <c r="E3" s="14" t="str">
        <f>"For The Year Ended "&amp;YEAR(B4)</f>
        <v>For The Year Ended 2010</v>
      </c>
      <c r="F3" s="14"/>
      <c r="G3" s="14"/>
      <c r="I3" s="14" t="str">
        <f>TEXT(B3,"mmmm dd, yyyy")&amp;" and "&amp;TEXT(B4,"mmmm dd, yyyy")</f>
        <v>December 31, 2009 and December 31, 2010</v>
      </c>
      <c r="J3" s="14"/>
      <c r="K3" s="14"/>
      <c r="L3" s="14"/>
      <c r="M3" s="14"/>
      <c r="N3" s="14"/>
      <c r="O3" s="14"/>
      <c r="Q3" s="129" t="s">
        <v>151</v>
      </c>
      <c r="R3" s="113" t="s">
        <v>35</v>
      </c>
      <c r="S3" s="132" t="s">
        <v>188</v>
      </c>
      <c r="T3" s="113" t="s">
        <v>155</v>
      </c>
      <c r="U3" s="133" t="s">
        <v>156</v>
      </c>
      <c r="V3" s="113" t="s">
        <v>155</v>
      </c>
      <c r="W3" s="134" t="s">
        <v>161</v>
      </c>
    </row>
    <row r="4" spans="1:23" x14ac:dyDescent="0.3">
      <c r="A4" s="11" t="s">
        <v>30</v>
      </c>
      <c r="B4" s="12">
        <f>B3+365</f>
        <v>40543</v>
      </c>
      <c r="E4" s="10" t="str">
        <f>A15</f>
        <v>Sales</v>
      </c>
      <c r="G4" s="244">
        <f>C15</f>
        <v>4237</v>
      </c>
      <c r="I4" s="68" t="s">
        <v>10</v>
      </c>
      <c r="J4" s="68"/>
      <c r="K4" s="68"/>
      <c r="M4" s="68" t="s">
        <v>183</v>
      </c>
      <c r="N4" s="68"/>
      <c r="O4" s="68"/>
      <c r="Q4" s="126">
        <f>S4-U4-W4</f>
        <v>-197</v>
      </c>
      <c r="R4" s="113"/>
      <c r="S4" s="126">
        <f>Q6</f>
        <v>1932</v>
      </c>
      <c r="T4" s="113"/>
      <c r="U4" s="126">
        <f>Q8</f>
        <v>2055</v>
      </c>
      <c r="V4" s="113"/>
      <c r="W4" s="126">
        <f>Q10</f>
        <v>74</v>
      </c>
    </row>
    <row r="5" spans="1:23" x14ac:dyDescent="0.3">
      <c r="A5" s="11" t="s">
        <v>142</v>
      </c>
      <c r="B5" s="120">
        <v>0.34</v>
      </c>
      <c r="E5" s="10" t="str">
        <f>A16</f>
        <v>Cost of goods sold</v>
      </c>
      <c r="G5" s="245">
        <f>C16</f>
        <v>2198</v>
      </c>
      <c r="I5" s="68"/>
      <c r="J5" s="68">
        <f t="array" ref="J5:K5">TRANSPOSE(YEAR(B3:B4))</f>
        <v>2009</v>
      </c>
      <c r="K5" s="10">
        <v>2010</v>
      </c>
      <c r="M5" s="68"/>
      <c r="N5" s="68">
        <f>J5</f>
        <v>2009</v>
      </c>
      <c r="O5" s="68">
        <f>K5</f>
        <v>2010</v>
      </c>
      <c r="Q5" s="135" t="str">
        <f>S3</f>
        <v>Cash flow from operations</v>
      </c>
      <c r="R5" s="113" t="s">
        <v>35</v>
      </c>
      <c r="S5" s="136" t="s">
        <v>189</v>
      </c>
      <c r="T5" s="113" t="s">
        <v>37</v>
      </c>
      <c r="U5" s="136" t="str">
        <f>A17</f>
        <v>Depreciation</v>
      </c>
      <c r="V5" s="113" t="s">
        <v>155</v>
      </c>
      <c r="W5" s="136" t="str">
        <f>E10</f>
        <v>Taxes</v>
      </c>
    </row>
    <row r="6" spans="1:23" ht="15" thickBot="1" x14ac:dyDescent="0.35">
      <c r="A6" s="11" t="s">
        <v>174</v>
      </c>
      <c r="B6" s="11" t="s">
        <v>2</v>
      </c>
      <c r="E6" s="10" t="str">
        <f>A17</f>
        <v>Depreciation</v>
      </c>
      <c r="G6" s="248">
        <f>C17</f>
        <v>1438</v>
      </c>
      <c r="I6" s="10" t="str">
        <f t="shared" ref="I6:K7" si="0">A20</f>
        <v>Current assets</v>
      </c>
      <c r="J6" s="244">
        <f t="shared" si="0"/>
        <v>2060</v>
      </c>
      <c r="K6" s="244">
        <f t="shared" si="0"/>
        <v>2466</v>
      </c>
      <c r="M6" s="10" t="str">
        <f t="shared" ref="M6:O7" si="1">A22</f>
        <v>Current liabilities</v>
      </c>
      <c r="N6" s="244">
        <f t="shared" si="1"/>
        <v>1014</v>
      </c>
      <c r="O6" s="244">
        <f t="shared" si="1"/>
        <v>1346</v>
      </c>
      <c r="Q6" s="126">
        <f>S6+U6-W6</f>
        <v>1932</v>
      </c>
      <c r="R6" s="113"/>
      <c r="S6" s="10">
        <f>G7</f>
        <v>601</v>
      </c>
      <c r="T6" s="113"/>
      <c r="U6" s="126">
        <f>G6</f>
        <v>1438</v>
      </c>
      <c r="V6" s="113"/>
      <c r="W6" s="126">
        <f>G10</f>
        <v>107</v>
      </c>
    </row>
    <row r="7" spans="1:23" ht="15" thickBot="1" x14ac:dyDescent="0.35">
      <c r="A7" s="11"/>
      <c r="B7" s="11" t="s">
        <v>1</v>
      </c>
      <c r="E7" s="10" t="s">
        <v>107</v>
      </c>
      <c r="G7" s="247">
        <f>G4-SUM(G5:G6)</f>
        <v>601</v>
      </c>
      <c r="I7" s="10" t="str">
        <f t="shared" si="0"/>
        <v>Net fixed assets</v>
      </c>
      <c r="J7" s="245">
        <f t="shared" si="0"/>
        <v>6790</v>
      </c>
      <c r="K7" s="245">
        <f t="shared" si="0"/>
        <v>7407</v>
      </c>
      <c r="M7" s="10" t="str">
        <f t="shared" si="1"/>
        <v>Long-term debt</v>
      </c>
      <c r="N7" s="248">
        <f t="shared" si="1"/>
        <v>2889</v>
      </c>
      <c r="O7" s="248">
        <f t="shared" si="1"/>
        <v>2976</v>
      </c>
      <c r="Q7" s="133" t="s">
        <v>156</v>
      </c>
      <c r="R7" s="113" t="s">
        <v>35</v>
      </c>
      <c r="S7" s="122" t="s">
        <v>190</v>
      </c>
      <c r="T7" s="113" t="s">
        <v>155</v>
      </c>
      <c r="U7" s="122" t="s">
        <v>191</v>
      </c>
      <c r="V7" s="113" t="s">
        <v>37</v>
      </c>
      <c r="W7" s="122" t="str">
        <f>U5</f>
        <v>Depreciation</v>
      </c>
    </row>
    <row r="8" spans="1:23" ht="15" thickBot="1" x14ac:dyDescent="0.35">
      <c r="A8" s="144" t="s">
        <v>175</v>
      </c>
      <c r="B8" s="144"/>
      <c r="C8" s="144"/>
      <c r="E8" s="10" t="str">
        <f>A18</f>
        <v>Interest</v>
      </c>
      <c r="G8" s="248">
        <f>C18</f>
        <v>287</v>
      </c>
      <c r="M8" s="10" t="s">
        <v>23</v>
      </c>
      <c r="N8" s="247">
        <f>SUM(N6:N7)</f>
        <v>3903</v>
      </c>
      <c r="O8" s="247">
        <f>SUM(O6:O7)</f>
        <v>4322</v>
      </c>
      <c r="Q8" s="126">
        <f>S8-U8+W8</f>
        <v>2055</v>
      </c>
      <c r="R8" s="113"/>
      <c r="S8" s="126">
        <f>K7</f>
        <v>7407</v>
      </c>
      <c r="T8" s="113"/>
      <c r="U8" s="126">
        <f>J7</f>
        <v>6790</v>
      </c>
      <c r="V8" s="113"/>
      <c r="W8" s="126">
        <f>U6</f>
        <v>1438</v>
      </c>
    </row>
    <row r="9" spans="1:23" x14ac:dyDescent="0.3">
      <c r="A9" s="11" t="str">
        <f>"Prepare an "&amp;B6&amp;" for "&amp;YEAR(B4)</f>
        <v>Prepare an Income Statement for 2010</v>
      </c>
      <c r="B9" s="11" t="s">
        <v>176</v>
      </c>
      <c r="C9" s="11"/>
      <c r="E9" s="10" t="s">
        <v>109</v>
      </c>
      <c r="G9" s="247">
        <f>G7-G8</f>
        <v>314</v>
      </c>
      <c r="M9" s="10" t="s">
        <v>184</v>
      </c>
      <c r="N9" s="246"/>
      <c r="O9" s="245">
        <f>O11-N11-O10</f>
        <v>527</v>
      </c>
      <c r="Q9" s="134" t="s">
        <v>161</v>
      </c>
      <c r="R9" s="113" t="s">
        <v>35</v>
      </c>
      <c r="S9" s="122" t="s">
        <v>192</v>
      </c>
      <c r="T9" s="113" t="s">
        <v>155</v>
      </c>
      <c r="U9" s="122" t="s">
        <v>193</v>
      </c>
      <c r="V9" s="113"/>
      <c r="W9" s="126"/>
    </row>
    <row r="10" spans="1:23" ht="15" thickBot="1" x14ac:dyDescent="0.35">
      <c r="A10" s="11" t="str">
        <f>"Prepare an "&amp;B7&amp;" for "&amp;YEAR(B3)&amp;" and "&amp;YEAR(B4)</f>
        <v>Prepare an Balance Sheet for 2009 and 2010</v>
      </c>
      <c r="B10" s="11" t="s">
        <v>176</v>
      </c>
      <c r="C10" s="11"/>
      <c r="E10" s="10" t="s">
        <v>110</v>
      </c>
      <c r="G10" s="248">
        <f>ROUND(G9*B5,0)</f>
        <v>107</v>
      </c>
      <c r="M10" s="10" t="s">
        <v>212</v>
      </c>
      <c r="N10" s="246"/>
      <c r="O10" s="245">
        <f>G14</f>
        <v>77</v>
      </c>
      <c r="Q10" s="126">
        <f>S10-U10</f>
        <v>74</v>
      </c>
      <c r="R10" s="113"/>
      <c r="S10" s="10">
        <f>K6-O6</f>
        <v>1120</v>
      </c>
      <c r="T10" s="113"/>
      <c r="U10" s="126">
        <f>J6-N6</f>
        <v>1046</v>
      </c>
      <c r="V10" s="113"/>
      <c r="W10" s="126"/>
    </row>
    <row r="11" spans="1:23" ht="15" thickBot="1" x14ac:dyDescent="0.35">
      <c r="A11" s="11" t="str">
        <f>"Calculate cash flows from assets for "&amp;YEAR(B4)</f>
        <v>Calculate cash flows from assets for 2010</v>
      </c>
      <c r="B11" s="137">
        <f>Q4</f>
        <v>-197</v>
      </c>
      <c r="C11" s="137">
        <f>SUM(B12:B13)</f>
        <v>-197</v>
      </c>
      <c r="E11" s="10" t="s">
        <v>111</v>
      </c>
      <c r="G11" s="251">
        <f>G9-G10</f>
        <v>207</v>
      </c>
      <c r="M11" s="10" t="s">
        <v>185</v>
      </c>
      <c r="N11" s="249">
        <f>J12-N8</f>
        <v>4947</v>
      </c>
      <c r="O11" s="250">
        <f>K12-O8</f>
        <v>5551</v>
      </c>
      <c r="Q11" s="37" t="s">
        <v>186</v>
      </c>
      <c r="R11" s="113" t="s">
        <v>35</v>
      </c>
      <c r="S11" s="136" t="str">
        <f>E8</f>
        <v>Interest</v>
      </c>
      <c r="T11" s="113" t="s">
        <v>155</v>
      </c>
      <c r="U11" s="136" t="s">
        <v>194</v>
      </c>
      <c r="V11" s="113"/>
      <c r="W11" s="113"/>
    </row>
    <row r="12" spans="1:23" ht="15.6" thickTop="1" thickBot="1" x14ac:dyDescent="0.35">
      <c r="A12" s="11" t="str">
        <f>"Calculate cash flows to creditors "&amp;YEAR(B4)</f>
        <v>Calculate cash flows to creditors 2010</v>
      </c>
      <c r="B12" s="137">
        <f>Q12</f>
        <v>200</v>
      </c>
      <c r="C12" s="11"/>
      <c r="I12" s="10" t="str">
        <f>"Total "&amp;I4</f>
        <v>Total Assets</v>
      </c>
      <c r="J12" s="251">
        <f>SUM(J6:J7)</f>
        <v>8850</v>
      </c>
      <c r="K12" s="251">
        <f>SUM(K6:K7)</f>
        <v>9873</v>
      </c>
      <c r="M12" s="10" t="str">
        <f>"Total "&amp;M4</f>
        <v>Total Liabilities and Owners' Equity</v>
      </c>
      <c r="N12" s="251">
        <f>SUM(N11,N8)</f>
        <v>8850</v>
      </c>
      <c r="O12" s="251">
        <f>SUM(O11,O8)</f>
        <v>9873</v>
      </c>
      <c r="Q12" s="126">
        <f>S12-U12</f>
        <v>200</v>
      </c>
      <c r="R12" s="113"/>
      <c r="S12" s="126">
        <f>G8</f>
        <v>287</v>
      </c>
      <c r="T12" s="113"/>
      <c r="U12" s="126">
        <f>O7-N7</f>
        <v>87</v>
      </c>
      <c r="V12" s="113"/>
      <c r="W12" s="113"/>
    </row>
    <row r="13" spans="1:23" ht="15.6" thickTop="1" thickBot="1" x14ac:dyDescent="0.35">
      <c r="A13" s="11" t="str">
        <f>"Calculate cash flows to stockholders "&amp;YEAR(B4)</f>
        <v>Calculate cash flows to stockholders 2010</v>
      </c>
      <c r="B13" s="137">
        <f>Q14</f>
        <v>-397</v>
      </c>
      <c r="C13" s="11"/>
      <c r="E13" s="10" t="s">
        <v>171</v>
      </c>
      <c r="G13" s="244">
        <f>C19</f>
        <v>130</v>
      </c>
      <c r="I13" s="50"/>
      <c r="J13" s="128"/>
      <c r="K13" s="128"/>
      <c r="L13" s="50"/>
      <c r="M13" s="50"/>
      <c r="N13" s="128"/>
      <c r="O13" s="128"/>
      <c r="Q13" s="130" t="s">
        <v>187</v>
      </c>
      <c r="R13" s="113" t="s">
        <v>35</v>
      </c>
      <c r="S13" s="136" t="str">
        <f>E13</f>
        <v>Dividends</v>
      </c>
      <c r="T13" s="113" t="s">
        <v>155</v>
      </c>
      <c r="U13" s="136" t="s">
        <v>195</v>
      </c>
      <c r="V13" s="113"/>
      <c r="W13" s="113"/>
    </row>
    <row r="14" spans="1:23" ht="15" thickTop="1" x14ac:dyDescent="0.3">
      <c r="A14" s="125" t="s">
        <v>177</v>
      </c>
      <c r="B14" s="125">
        <f t="array" ref="B14:C14">TRANSPOSE(YEAR(B3:B4))</f>
        <v>2009</v>
      </c>
      <c r="C14" s="125">
        <v>2010</v>
      </c>
      <c r="E14" s="10" t="s">
        <v>182</v>
      </c>
      <c r="G14" s="244">
        <f>G11-G13</f>
        <v>77</v>
      </c>
      <c r="Q14" s="126">
        <f>S14-U14</f>
        <v>-397</v>
      </c>
      <c r="R14" s="113"/>
      <c r="S14" s="127">
        <f>G13</f>
        <v>130</v>
      </c>
      <c r="T14" s="113"/>
      <c r="U14" s="127">
        <f>O9</f>
        <v>527</v>
      </c>
      <c r="V14" s="113"/>
      <c r="W14" s="113"/>
    </row>
    <row r="15" spans="1:23" ht="15" thickBot="1" x14ac:dyDescent="0.35">
      <c r="A15" s="11" t="s">
        <v>168</v>
      </c>
      <c r="B15" s="137">
        <v>3810</v>
      </c>
      <c r="C15" s="11">
        <v>4237</v>
      </c>
      <c r="E15" s="50"/>
      <c r="F15" s="50"/>
      <c r="G15" s="50"/>
    </row>
    <row r="16" spans="1:23" ht="15" thickTop="1" x14ac:dyDescent="0.3">
      <c r="A16" s="11" t="s">
        <v>178</v>
      </c>
      <c r="B16" s="137">
        <v>2063</v>
      </c>
      <c r="C16" s="137">
        <f>2257-59</f>
        <v>2198</v>
      </c>
    </row>
    <row r="17" spans="1:15" x14ac:dyDescent="0.3">
      <c r="A17" s="11" t="s">
        <v>106</v>
      </c>
      <c r="B17" s="137">
        <v>995</v>
      </c>
      <c r="C17" s="137">
        <v>1438</v>
      </c>
    </row>
    <row r="18" spans="1:15" x14ac:dyDescent="0.3">
      <c r="A18" s="11" t="s">
        <v>179</v>
      </c>
      <c r="B18" s="137">
        <v>245</v>
      </c>
      <c r="C18" s="137">
        <v>287</v>
      </c>
    </row>
    <row r="19" spans="1:15" x14ac:dyDescent="0.3">
      <c r="A19" s="11" t="s">
        <v>171</v>
      </c>
      <c r="B19" s="137">
        <v>120</v>
      </c>
      <c r="C19" s="137">
        <v>130</v>
      </c>
    </row>
    <row r="20" spans="1:15" x14ac:dyDescent="0.3">
      <c r="A20" s="11" t="s">
        <v>12</v>
      </c>
      <c r="B20" s="137">
        <v>2060</v>
      </c>
      <c r="C20" s="137">
        <v>2466</v>
      </c>
    </row>
    <row r="21" spans="1:15" x14ac:dyDescent="0.3">
      <c r="A21" s="11" t="s">
        <v>180</v>
      </c>
      <c r="B21" s="137">
        <v>6790</v>
      </c>
      <c r="C21" s="137">
        <v>7407</v>
      </c>
    </row>
    <row r="22" spans="1:15" x14ac:dyDescent="0.3">
      <c r="A22" s="11" t="s">
        <v>181</v>
      </c>
      <c r="B22" s="137">
        <v>1014</v>
      </c>
      <c r="C22" s="137">
        <v>1346</v>
      </c>
    </row>
    <row r="23" spans="1:15" x14ac:dyDescent="0.3">
      <c r="A23" s="11" t="s">
        <v>21</v>
      </c>
      <c r="B23" s="137">
        <v>2889</v>
      </c>
      <c r="C23" s="137">
        <v>2976</v>
      </c>
    </row>
    <row r="30" spans="1:15" x14ac:dyDescent="0.3">
      <c r="O30" s="121"/>
    </row>
    <row r="46" spans="19:19" x14ac:dyDescent="0.3">
      <c r="S46" s="65"/>
    </row>
    <row r="53" spans="13:15" x14ac:dyDescent="0.3">
      <c r="N53" s="121"/>
    </row>
    <row r="54" spans="13:15" x14ac:dyDescent="0.3">
      <c r="N54" s="121"/>
    </row>
    <row r="56" spans="13:15" x14ac:dyDescent="0.3">
      <c r="O56" s="121"/>
    </row>
    <row r="61" spans="13:15" x14ac:dyDescent="0.3">
      <c r="M61" s="121"/>
    </row>
    <row r="66" spans="17:23" x14ac:dyDescent="0.3">
      <c r="Q66" s="113"/>
      <c r="R66" s="113"/>
      <c r="S66" s="113"/>
      <c r="T66" s="113"/>
      <c r="U66" s="113"/>
      <c r="V66" s="113"/>
      <c r="W66" s="113"/>
    </row>
    <row r="67" spans="17:23" x14ac:dyDescent="0.3">
      <c r="Q67" s="113"/>
      <c r="R67" s="113"/>
      <c r="S67" s="113"/>
      <c r="T67" s="113"/>
      <c r="U67" s="113"/>
      <c r="V67" s="113"/>
      <c r="W67" s="113"/>
    </row>
    <row r="68" spans="17:23" x14ac:dyDescent="0.3">
      <c r="Q68" s="113"/>
      <c r="R68" s="113"/>
      <c r="S68" s="113"/>
      <c r="T68" s="113"/>
      <c r="U68" s="113"/>
      <c r="V68" s="113"/>
      <c r="W68" s="113"/>
    </row>
    <row r="69" spans="17:23" x14ac:dyDescent="0.3">
      <c r="Q69" s="113"/>
      <c r="R69" s="113"/>
      <c r="S69" s="113"/>
      <c r="T69" s="113"/>
      <c r="U69" s="127"/>
      <c r="V69" s="113"/>
      <c r="W69" s="113"/>
    </row>
    <row r="70" spans="17:23" x14ac:dyDescent="0.3">
      <c r="Q70" s="113"/>
      <c r="R70" s="113"/>
      <c r="S70" s="113"/>
      <c r="T70" s="113"/>
      <c r="U70" s="113"/>
      <c r="V70" s="113"/>
      <c r="W70" s="113"/>
    </row>
    <row r="71" spans="17:23" x14ac:dyDescent="0.3">
      <c r="Q71" s="113"/>
      <c r="R71" s="113"/>
      <c r="S71" s="113"/>
      <c r="T71" s="113"/>
      <c r="U71" s="113"/>
      <c r="V71" s="113"/>
      <c r="W71" s="113"/>
    </row>
    <row r="72" spans="17:23" x14ac:dyDescent="0.3">
      <c r="Q72" s="113"/>
      <c r="R72" s="113"/>
      <c r="S72" s="113"/>
      <c r="T72" s="113"/>
      <c r="U72" s="113"/>
      <c r="V72" s="113"/>
      <c r="W72" s="113"/>
    </row>
    <row r="73" spans="17:23" x14ac:dyDescent="0.3">
      <c r="Q73" s="113"/>
      <c r="R73" s="113"/>
      <c r="S73" s="113"/>
      <c r="T73" s="113"/>
      <c r="U73" s="113"/>
      <c r="V73" s="113"/>
      <c r="W73" s="113"/>
    </row>
    <row r="74" spans="17:23" x14ac:dyDescent="0.3">
      <c r="Q74" s="113"/>
      <c r="R74" s="113"/>
      <c r="S74" s="113"/>
      <c r="T74" s="113"/>
      <c r="U74" s="113"/>
      <c r="V74" s="113"/>
      <c r="W74" s="113"/>
    </row>
  </sheetData>
  <printOptions horizontalCentered="1"/>
  <pageMargins left="0.75" right="0.75" top="1" bottom="1" header="0.5" footer="0.5"/>
  <pageSetup scale="89" orientation="landscape" r:id="rId1"/>
  <headerFooter alignWithMargins="0">
    <oddHeader>&amp;C&amp;F - &amp;A</oddHeader>
    <oddFooter>&amp;LPage &amp;P of &amp;N&amp;RFinance is Fun!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BF14-839B-446F-AECE-CBC8C59F8045}">
  <sheetPr>
    <tabColor rgb="FF0000FF"/>
  </sheetPr>
  <dimension ref="A1:D22"/>
  <sheetViews>
    <sheetView zoomScale="85" zoomScaleNormal="85" workbookViewId="0"/>
  </sheetViews>
  <sheetFormatPr defaultRowHeight="14.4" x14ac:dyDescent="0.3"/>
  <cols>
    <col min="1" max="1" width="65" style="45" customWidth="1"/>
    <col min="2" max="2" width="10.5546875" bestFit="1" customWidth="1"/>
    <col min="3" max="3" width="49.6640625" bestFit="1" customWidth="1"/>
    <col min="4" max="4" width="10.5546875" bestFit="1" customWidth="1"/>
  </cols>
  <sheetData>
    <row r="1" spans="1:4" x14ac:dyDescent="0.3">
      <c r="A1" s="252" t="s">
        <v>216</v>
      </c>
      <c r="B1" s="252"/>
      <c r="C1" s="252"/>
      <c r="D1" s="252"/>
    </row>
    <row r="2" spans="1:4" x14ac:dyDescent="0.3">
      <c r="A2" s="252" t="s">
        <v>219</v>
      </c>
      <c r="B2" s="252"/>
      <c r="C2" s="252"/>
      <c r="D2" s="252"/>
    </row>
    <row r="3" spans="1:4" x14ac:dyDescent="0.3">
      <c r="A3" s="145" t="s">
        <v>220</v>
      </c>
      <c r="B3" s="86">
        <v>500</v>
      </c>
    </row>
    <row r="4" spans="1:4" x14ac:dyDescent="0.3">
      <c r="A4" s="145" t="s">
        <v>221</v>
      </c>
      <c r="B4" s="104">
        <v>0.08</v>
      </c>
    </row>
    <row r="5" spans="1:4" x14ac:dyDescent="0.3">
      <c r="A5" s="145" t="s">
        <v>142</v>
      </c>
      <c r="B5" s="104">
        <v>0.3</v>
      </c>
    </row>
    <row r="6" spans="1:4" x14ac:dyDescent="0.3">
      <c r="A6" s="145" t="str">
        <f>"Interest on Debt the first year = "&amp;DOLLAR(B3)&amp;"*"&amp;TEXT(B4,"0.00%")&amp;" = "&amp;DOLLAR(B3*B4,2)</f>
        <v>Interest on Debt the first year = $500.00*8.00% = $40.00</v>
      </c>
      <c r="B6" s="84">
        <f>ROUND(B3*B4,0)</f>
        <v>40</v>
      </c>
      <c r="C6" s="85" t="s">
        <v>217</v>
      </c>
    </row>
    <row r="7" spans="1:4" ht="57.6" x14ac:dyDescent="0.3">
      <c r="A7" s="145" t="str">
        <f>"Because Interest on Debt is tax deductable, the "&amp;DOLLAR(B6)&amp;" you paid is subtracted from earnings, you save "&amp;DOLLAR(B6)&amp;"*"&amp;TEXT(B5,"0.00%")&amp;" = "&amp;DOLLAR(B5*B6,2)&amp;". In essence, you avoid paying "&amp;DOLLAR(B5*B6,2)&amp;" which is a savings to you. If you had not used debt, but instead used equity, you would not have received the "&amp;DOLLAR(B5*B6,2)&amp;" savings."</f>
        <v>Because Interest on Debt is tax deductable, the $40.00 you paid is subtracted from earnings, you save $40.00*30.00% = $12.00. In essence, you avoid paying $12.00 which is a savings to you. If you had not used debt, but instead used equity, you would not have received the $12.00 savings.</v>
      </c>
      <c r="B7" s="84">
        <f>ROUND(B5*B6,2)</f>
        <v>12</v>
      </c>
      <c r="C7" s="85" t="s">
        <v>218</v>
      </c>
    </row>
    <row r="8" spans="1:4" x14ac:dyDescent="0.3">
      <c r="A8" s="145" t="str">
        <f>"Total Cash going out is then = "&amp;DOLLAR(B6)&amp;" - "&amp;DOLLAR(B7)&amp;" ="</f>
        <v>Total Cash going out is then = $40.00 - $12.00 =</v>
      </c>
      <c r="B8" s="243">
        <f>B6-B7</f>
        <v>28</v>
      </c>
    </row>
    <row r="10" spans="1:4" x14ac:dyDescent="0.3">
      <c r="A10" s="253" t="s">
        <v>222</v>
      </c>
      <c r="B10" s="253"/>
      <c r="C10" s="254" t="s">
        <v>222</v>
      </c>
      <c r="D10" s="254"/>
    </row>
    <row r="11" spans="1:4" x14ac:dyDescent="0.3">
      <c r="A11" s="145" t="s">
        <v>104</v>
      </c>
      <c r="B11" s="86">
        <v>1000</v>
      </c>
      <c r="C11" s="145" t="s">
        <v>104</v>
      </c>
      <c r="D11" s="86">
        <f>B11</f>
        <v>1000</v>
      </c>
    </row>
    <row r="12" spans="1:4" ht="15" thickBot="1" x14ac:dyDescent="0.35">
      <c r="A12" s="145" t="s">
        <v>223</v>
      </c>
      <c r="B12" s="149">
        <v>400</v>
      </c>
      <c r="C12" s="145" t="s">
        <v>226</v>
      </c>
      <c r="D12" s="149">
        <f>B12</f>
        <v>400</v>
      </c>
    </row>
    <row r="13" spans="1:4" ht="15" thickBot="1" x14ac:dyDescent="0.35">
      <c r="A13" s="152" t="s">
        <v>224</v>
      </c>
      <c r="B13" s="152">
        <f>B11-B12</f>
        <v>600</v>
      </c>
      <c r="C13" s="152" t="s">
        <v>224</v>
      </c>
      <c r="D13" s="152">
        <f>D11-D12</f>
        <v>600</v>
      </c>
    </row>
    <row r="14" spans="1:4" x14ac:dyDescent="0.3">
      <c r="A14" s="150" t="s">
        <v>179</v>
      </c>
      <c r="B14" s="150">
        <f>B6</f>
        <v>40</v>
      </c>
      <c r="C14" s="150" t="s">
        <v>179</v>
      </c>
      <c r="D14" s="150">
        <v>0</v>
      </c>
    </row>
    <row r="15" spans="1:4" x14ac:dyDescent="0.3">
      <c r="A15" s="145" t="s">
        <v>225</v>
      </c>
      <c r="B15" s="255">
        <f>B13-B14</f>
        <v>560</v>
      </c>
      <c r="C15" s="145" t="s">
        <v>225</v>
      </c>
      <c r="D15" s="255">
        <f>D13-D14</f>
        <v>600</v>
      </c>
    </row>
    <row r="16" spans="1:4" ht="15" thickBot="1" x14ac:dyDescent="0.35">
      <c r="A16" s="145" t="s">
        <v>205</v>
      </c>
      <c r="B16" s="255"/>
      <c r="C16" s="145" t="s">
        <v>205</v>
      </c>
      <c r="D16" s="255"/>
    </row>
    <row r="17" spans="1:4" ht="15" thickBot="1" x14ac:dyDescent="0.35">
      <c r="A17" s="153" t="s">
        <v>111</v>
      </c>
      <c r="B17" s="256"/>
      <c r="C17" s="153" t="s">
        <v>111</v>
      </c>
      <c r="D17" s="256"/>
    </row>
    <row r="18" spans="1:4" ht="15" thickTop="1" x14ac:dyDescent="0.3"/>
    <row r="19" spans="1:4" x14ac:dyDescent="0.3">
      <c r="A19" s="257" t="s">
        <v>227</v>
      </c>
      <c r="B19" s="151"/>
    </row>
    <row r="21" spans="1:4" ht="21" x14ac:dyDescent="0.4">
      <c r="A21" s="258" t="s">
        <v>806</v>
      </c>
    </row>
    <row r="22" spans="1:4" ht="42" x14ac:dyDescent="0.4">
      <c r="A22" s="258" t="s">
        <v>807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A8C0-E17E-4C8F-86F1-A3EAFC7D47FF}">
  <sheetPr>
    <tabColor rgb="FFFF0000"/>
  </sheetPr>
  <dimension ref="A1:D22"/>
  <sheetViews>
    <sheetView zoomScale="85" zoomScaleNormal="85" workbookViewId="0">
      <selection activeCell="B8" sqref="B8"/>
    </sheetView>
  </sheetViews>
  <sheetFormatPr defaultRowHeight="14.4" x14ac:dyDescent="0.3"/>
  <cols>
    <col min="1" max="1" width="65" style="45" customWidth="1"/>
    <col min="2" max="2" width="10.5546875" bestFit="1" customWidth="1"/>
    <col min="3" max="3" width="49.6640625" bestFit="1" customWidth="1"/>
    <col min="4" max="4" width="10.5546875" bestFit="1" customWidth="1"/>
  </cols>
  <sheetData>
    <row r="1" spans="1:4" x14ac:dyDescent="0.3">
      <c r="A1" s="253" t="s">
        <v>222</v>
      </c>
      <c r="B1" s="252"/>
      <c r="C1" s="252"/>
      <c r="D1" s="252"/>
    </row>
    <row r="2" spans="1:4" x14ac:dyDescent="0.3">
      <c r="A2" s="252" t="s">
        <v>219</v>
      </c>
      <c r="B2" s="252"/>
      <c r="C2" s="252"/>
      <c r="D2" s="252"/>
    </row>
    <row r="3" spans="1:4" x14ac:dyDescent="0.3">
      <c r="A3" s="145" t="s">
        <v>220</v>
      </c>
      <c r="B3" s="86">
        <v>500</v>
      </c>
    </row>
    <row r="4" spans="1:4" x14ac:dyDescent="0.3">
      <c r="A4" s="145" t="s">
        <v>221</v>
      </c>
      <c r="B4" s="104">
        <v>0.08</v>
      </c>
    </row>
    <row r="5" spans="1:4" x14ac:dyDescent="0.3">
      <c r="A5" s="145" t="s">
        <v>142</v>
      </c>
      <c r="B5" s="104">
        <v>0.3</v>
      </c>
    </row>
    <row r="6" spans="1:4" x14ac:dyDescent="0.3">
      <c r="A6" s="145" t="str">
        <f>"Interest on Debt the first year = "&amp;DOLLAR(B3)&amp;"*"&amp;TEXT(B4,"0.00%")&amp;" = "&amp;DOLLAR(B3*B4,2)</f>
        <v>Interest on Debt the first year = $500.00*8.00% = $40.00</v>
      </c>
      <c r="B6" s="84">
        <f>ROUND(B3*B4,0)</f>
        <v>40</v>
      </c>
      <c r="C6" s="85" t="s">
        <v>217</v>
      </c>
    </row>
    <row r="7" spans="1:4" ht="57.6" x14ac:dyDescent="0.3">
      <c r="A7" s="145" t="str">
        <f>"Because Interest on Debt is tax deductable, the "&amp;DOLLAR(B6)&amp;" you paid is subtracted from earnings, you save "&amp;DOLLAR(B6)&amp;"*"&amp;TEXT(B5,"0.00%")&amp;" = "&amp;DOLLAR(B5*B6,2)&amp;". In essence, you avoid paying "&amp;DOLLAR(B5*B6,2)&amp;" which is a savings to you. If you had not used debt, but instead used equity, you would not have received the "&amp;DOLLAR(B5*B6,2)&amp;" savings."</f>
        <v>Because Interest on Debt is tax deductable, the $40.00 you paid is subtracted from earnings, you save $40.00*30.00% = $12.00. In essence, you avoid paying $12.00 which is a savings to you. If you had not used debt, but instead used equity, you would not have received the $12.00 savings.</v>
      </c>
      <c r="B7" s="84">
        <f>ROUND(B5*B6,2)</f>
        <v>12</v>
      </c>
      <c r="C7" s="85" t="s">
        <v>218</v>
      </c>
    </row>
    <row r="8" spans="1:4" x14ac:dyDescent="0.3">
      <c r="A8" s="145" t="str">
        <f>"Total Cash going out is then = "&amp;DOLLAR(B6)&amp;" - "&amp;DOLLAR(B7)&amp;" ="</f>
        <v>Total Cash going out is then = $40.00 - $12.00 =</v>
      </c>
      <c r="B8" s="243">
        <f>B6-B7</f>
        <v>28</v>
      </c>
    </row>
    <row r="10" spans="1:4" x14ac:dyDescent="0.3">
      <c r="A10" s="253" t="s">
        <v>222</v>
      </c>
      <c r="B10" s="253"/>
      <c r="C10" s="254" t="s">
        <v>222</v>
      </c>
      <c r="D10" s="254"/>
    </row>
    <row r="11" spans="1:4" x14ac:dyDescent="0.3">
      <c r="A11" s="145" t="s">
        <v>104</v>
      </c>
      <c r="B11" s="86">
        <v>1000</v>
      </c>
      <c r="C11" s="145" t="s">
        <v>104</v>
      </c>
      <c r="D11" s="86">
        <f>B11</f>
        <v>1000</v>
      </c>
    </row>
    <row r="12" spans="1:4" ht="15" thickBot="1" x14ac:dyDescent="0.35">
      <c r="A12" s="145" t="s">
        <v>223</v>
      </c>
      <c r="B12" s="149">
        <v>400</v>
      </c>
      <c r="C12" s="145" t="s">
        <v>226</v>
      </c>
      <c r="D12" s="149">
        <f>B12</f>
        <v>400</v>
      </c>
    </row>
    <row r="13" spans="1:4" ht="15" thickBot="1" x14ac:dyDescent="0.35">
      <c r="A13" s="152" t="s">
        <v>224</v>
      </c>
      <c r="B13" s="152">
        <f>B11-B12</f>
        <v>600</v>
      </c>
      <c r="C13" s="152" t="s">
        <v>224</v>
      </c>
      <c r="D13" s="152">
        <f>D11-D12</f>
        <v>600</v>
      </c>
    </row>
    <row r="14" spans="1:4" x14ac:dyDescent="0.3">
      <c r="A14" s="150" t="s">
        <v>179</v>
      </c>
      <c r="B14" s="150">
        <f>B6</f>
        <v>40</v>
      </c>
      <c r="C14" s="150" t="s">
        <v>179</v>
      </c>
      <c r="D14" s="150">
        <v>0</v>
      </c>
    </row>
    <row r="15" spans="1:4" x14ac:dyDescent="0.3">
      <c r="A15" s="145" t="s">
        <v>225</v>
      </c>
      <c r="B15" s="255">
        <f>B13-B14</f>
        <v>560</v>
      </c>
      <c r="C15" s="145" t="s">
        <v>225</v>
      </c>
      <c r="D15" s="255">
        <f>D13-D14</f>
        <v>600</v>
      </c>
    </row>
    <row r="16" spans="1:4" ht="15" thickBot="1" x14ac:dyDescent="0.35">
      <c r="A16" s="145" t="s">
        <v>205</v>
      </c>
      <c r="B16" s="255">
        <f>ROUND(B15*$B5,0)</f>
        <v>168</v>
      </c>
      <c r="C16" s="145" t="s">
        <v>205</v>
      </c>
      <c r="D16" s="255">
        <f>ROUND(D15*$B5,0)</f>
        <v>180</v>
      </c>
    </row>
    <row r="17" spans="1:4" ht="15" thickBot="1" x14ac:dyDescent="0.35">
      <c r="A17" s="153" t="s">
        <v>111</v>
      </c>
      <c r="B17" s="256">
        <f>B15-B16</f>
        <v>392</v>
      </c>
      <c r="C17" s="153" t="s">
        <v>111</v>
      </c>
      <c r="D17" s="256">
        <f>D15-D16</f>
        <v>420</v>
      </c>
    </row>
    <row r="18" spans="1:4" ht="15" thickTop="1" x14ac:dyDescent="0.3"/>
    <row r="19" spans="1:4" x14ac:dyDescent="0.3">
      <c r="A19" s="257" t="s">
        <v>227</v>
      </c>
      <c r="B19" s="151">
        <f>D17-B17</f>
        <v>28</v>
      </c>
    </row>
    <row r="21" spans="1:4" ht="21" x14ac:dyDescent="0.4">
      <c r="A21" s="258" t="s">
        <v>806</v>
      </c>
    </row>
    <row r="22" spans="1:4" ht="42" x14ac:dyDescent="0.4">
      <c r="A22" s="258" t="s">
        <v>807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815D-3582-447F-93F8-88AE54E7AFC4}">
  <sheetPr>
    <tabColor rgb="FF0000FF"/>
  </sheetPr>
  <dimension ref="A1:F23"/>
  <sheetViews>
    <sheetView zoomScale="85" zoomScaleNormal="85" workbookViewId="0"/>
  </sheetViews>
  <sheetFormatPr defaultRowHeight="14.4" x14ac:dyDescent="0.3"/>
  <cols>
    <col min="1" max="1" width="19.5546875" customWidth="1"/>
    <col min="2" max="2" width="15.21875" bestFit="1" customWidth="1"/>
    <col min="3" max="3" width="23.77734375" customWidth="1"/>
    <col min="4" max="4" width="1.44140625" customWidth="1"/>
    <col min="5" max="5" width="46.44140625" bestFit="1" customWidth="1"/>
    <col min="6" max="6" width="20" customWidth="1"/>
  </cols>
  <sheetData>
    <row r="1" spans="1:6" x14ac:dyDescent="0.3">
      <c r="A1" s="259" t="s">
        <v>28</v>
      </c>
      <c r="B1" s="259"/>
    </row>
    <row r="2" spans="1:6" ht="17.399999999999999" x14ac:dyDescent="0.3">
      <c r="A2" s="102" t="s">
        <v>137</v>
      </c>
      <c r="B2" s="106">
        <v>300000</v>
      </c>
    </row>
    <row r="4" spans="1:6" x14ac:dyDescent="0.3">
      <c r="A4" s="253" t="s">
        <v>143</v>
      </c>
      <c r="B4" s="253"/>
      <c r="C4" s="253"/>
    </row>
    <row r="5" spans="1:6" x14ac:dyDescent="0.3">
      <c r="A5" s="85" t="s">
        <v>140</v>
      </c>
      <c r="B5" s="85" t="s">
        <v>141</v>
      </c>
      <c r="C5" s="104" t="s">
        <v>142</v>
      </c>
    </row>
    <row r="6" spans="1:6" x14ac:dyDescent="0.3">
      <c r="A6" s="105">
        <v>0</v>
      </c>
      <c r="B6" s="105">
        <v>50000</v>
      </c>
      <c r="C6" s="104">
        <v>0.15</v>
      </c>
    </row>
    <row r="7" spans="1:6" x14ac:dyDescent="0.3">
      <c r="A7" s="105">
        <v>50001</v>
      </c>
      <c r="B7" s="105">
        <v>75000</v>
      </c>
      <c r="C7" s="104">
        <v>0.25</v>
      </c>
    </row>
    <row r="8" spans="1:6" x14ac:dyDescent="0.3">
      <c r="A8" s="105">
        <v>75001</v>
      </c>
      <c r="B8" s="105">
        <v>100000</v>
      </c>
      <c r="C8" s="104">
        <v>0.34</v>
      </c>
    </row>
    <row r="9" spans="1:6" x14ac:dyDescent="0.3">
      <c r="A9" s="105">
        <v>100001</v>
      </c>
      <c r="B9" s="105">
        <v>335000</v>
      </c>
      <c r="C9" s="104">
        <v>0.39</v>
      </c>
    </row>
    <row r="10" spans="1:6" x14ac:dyDescent="0.3">
      <c r="A10" s="105">
        <v>335001</v>
      </c>
      <c r="B10" s="105">
        <v>10000000</v>
      </c>
      <c r="C10" s="104">
        <v>0.34</v>
      </c>
    </row>
    <row r="11" spans="1:6" x14ac:dyDescent="0.3">
      <c r="A11" s="105">
        <v>10000001</v>
      </c>
      <c r="B11" s="105">
        <v>15000000</v>
      </c>
      <c r="C11" s="104">
        <v>0.35</v>
      </c>
    </row>
    <row r="12" spans="1:6" x14ac:dyDescent="0.3">
      <c r="A12" s="105">
        <v>15000001</v>
      </c>
      <c r="B12" s="105">
        <v>18333333</v>
      </c>
      <c r="C12" s="104">
        <v>0.38</v>
      </c>
    </row>
    <row r="13" spans="1:6" x14ac:dyDescent="0.3">
      <c r="A13" s="105">
        <v>18333334</v>
      </c>
      <c r="B13" s="105" t="s">
        <v>37</v>
      </c>
      <c r="C13" s="104">
        <v>0.35</v>
      </c>
    </row>
    <row r="14" spans="1:6" ht="17.399999999999999" x14ac:dyDescent="0.3">
      <c r="E14" s="260" t="str">
        <f>"Taxable Income = "&amp;DOLLAR(B2,2)</f>
        <v>Taxable Income = $300,000.00</v>
      </c>
      <c r="F14" s="260"/>
    </row>
    <row r="15" spans="1:6" ht="17.399999999999999" x14ac:dyDescent="0.3">
      <c r="E15" s="261" t="s">
        <v>138</v>
      </c>
      <c r="F15" s="261"/>
    </row>
    <row r="16" spans="1:6" ht="17.399999999999999" x14ac:dyDescent="0.3">
      <c r="E16" s="102" t="str">
        <f>DOLLAR(B6,0)&amp;"*"&amp;TEXT(C6,"0.00%")</f>
        <v>$50,000*15.00%</v>
      </c>
      <c r="F16" s="108">
        <f>B6*C6</f>
        <v>7500</v>
      </c>
    </row>
    <row r="17" spans="1:6" ht="17.399999999999999" x14ac:dyDescent="0.3">
      <c r="E17" s="102" t="str">
        <f>"("&amp;DOLLAR(B7,0)&amp;"-"&amp;DOLLAR(B6,0)&amp;")*"&amp;TEXT(C7,"0.00%")</f>
        <v>($75,000-$50,000)*25.00%</v>
      </c>
      <c r="F17" s="108">
        <f>(B7-B6)*C7</f>
        <v>6250</v>
      </c>
    </row>
    <row r="18" spans="1:6" ht="17.399999999999999" x14ac:dyDescent="0.3">
      <c r="E18" s="102" t="str">
        <f>"("&amp;DOLLAR(B8,0)&amp;"-"&amp;DOLLAR(B7,0)&amp;")*"&amp;TEXT(C8,"0.00%")</f>
        <v>($100,000-$75,000)*34.00%</v>
      </c>
      <c r="F18" s="108">
        <f>(B8-B7)*C8</f>
        <v>8500</v>
      </c>
    </row>
    <row r="19" spans="1:6" ht="18" thickBot="1" x14ac:dyDescent="0.35">
      <c r="E19" s="102" t="str">
        <f>"("&amp;DOLLAR(B2,0)&amp;"-"&amp;DOLLAR(B8,0)&amp;")*"&amp;TEXT(C9,"0.00%")</f>
        <v>($300,000-$100,000)*39.00%</v>
      </c>
      <c r="F19" s="262">
        <f>(B2-B8)*C9</f>
        <v>78000</v>
      </c>
    </row>
    <row r="20" spans="1:6" ht="18" thickBot="1" x14ac:dyDescent="0.35">
      <c r="E20" s="102"/>
      <c r="F20" s="263"/>
    </row>
    <row r="21" spans="1:6" ht="15" thickTop="1" x14ac:dyDescent="0.3">
      <c r="A21" s="264" t="s">
        <v>145</v>
      </c>
      <c r="B21" s="265"/>
      <c r="C21" s="266"/>
    </row>
    <row r="22" spans="1:6" ht="17.399999999999999" x14ac:dyDescent="0.3">
      <c r="A22" s="264" t="s">
        <v>146</v>
      </c>
      <c r="B22" s="265"/>
      <c r="C22" s="266"/>
      <c r="E22" s="103" t="s">
        <v>139</v>
      </c>
      <c r="F22" s="109"/>
    </row>
    <row r="23" spans="1:6" ht="40.200000000000003" x14ac:dyDescent="0.3">
      <c r="A23" s="267" t="s">
        <v>214</v>
      </c>
      <c r="B23" s="267"/>
      <c r="C23" s="267"/>
      <c r="E23" s="102" t="s">
        <v>144</v>
      </c>
      <c r="F23" s="10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E8A7-2F0F-4371-9D96-7743F1DB0D5F}">
  <sheetPr>
    <tabColor rgb="FFFF0000"/>
  </sheetPr>
  <dimension ref="A1:P23"/>
  <sheetViews>
    <sheetView zoomScale="85" zoomScaleNormal="85" workbookViewId="0"/>
  </sheetViews>
  <sheetFormatPr defaultRowHeight="14.4" x14ac:dyDescent="0.3"/>
  <cols>
    <col min="1" max="1" width="19.5546875" customWidth="1"/>
    <col min="2" max="2" width="15.21875" bestFit="1" customWidth="1"/>
    <col min="3" max="3" width="23.77734375" customWidth="1"/>
    <col min="4" max="4" width="1.44140625" customWidth="1"/>
    <col min="5" max="5" width="46.44140625" bestFit="1" customWidth="1"/>
    <col min="6" max="6" width="20" customWidth="1"/>
    <col min="14" max="14" width="11.6640625" bestFit="1" customWidth="1"/>
    <col min="16" max="16" width="18.6640625" customWidth="1"/>
  </cols>
  <sheetData>
    <row r="1" spans="1:16" x14ac:dyDescent="0.3">
      <c r="A1" s="259" t="s">
        <v>28</v>
      </c>
      <c r="B1" s="259"/>
    </row>
    <row r="2" spans="1:16" ht="17.399999999999999" x14ac:dyDescent="0.3">
      <c r="A2" s="102" t="s">
        <v>137</v>
      </c>
      <c r="B2" s="106">
        <v>300000</v>
      </c>
    </row>
    <row r="4" spans="1:16" x14ac:dyDescent="0.3">
      <c r="A4" s="253" t="s">
        <v>143</v>
      </c>
      <c r="B4" s="253"/>
      <c r="C4" s="253"/>
    </row>
    <row r="5" spans="1:16" x14ac:dyDescent="0.3">
      <c r="A5" s="85" t="s">
        <v>140</v>
      </c>
      <c r="B5" s="85" t="s">
        <v>141</v>
      </c>
      <c r="C5" s="104" t="s">
        <v>142</v>
      </c>
    </row>
    <row r="6" spans="1:16" x14ac:dyDescent="0.3">
      <c r="A6" s="105">
        <v>0</v>
      </c>
      <c r="B6" s="105">
        <v>50000</v>
      </c>
      <c r="C6" s="104">
        <v>0.15</v>
      </c>
    </row>
    <row r="7" spans="1:16" x14ac:dyDescent="0.3">
      <c r="A7" s="105">
        <v>50001</v>
      </c>
      <c r="B7" s="105">
        <v>75000</v>
      </c>
      <c r="C7" s="104">
        <v>0.25</v>
      </c>
    </row>
    <row r="8" spans="1:16" x14ac:dyDescent="0.3">
      <c r="A8" s="105">
        <v>75001</v>
      </c>
      <c r="B8" s="105">
        <v>100000</v>
      </c>
      <c r="C8" s="104">
        <v>0.34</v>
      </c>
    </row>
    <row r="9" spans="1:16" x14ac:dyDescent="0.3">
      <c r="A9" s="105">
        <v>100001</v>
      </c>
      <c r="B9" s="105">
        <v>335000</v>
      </c>
      <c r="C9" s="104">
        <v>0.39</v>
      </c>
    </row>
    <row r="10" spans="1:16" x14ac:dyDescent="0.3">
      <c r="A10" s="105">
        <v>335001</v>
      </c>
      <c r="B10" s="105">
        <v>10000000</v>
      </c>
      <c r="C10" s="104">
        <v>0.34</v>
      </c>
    </row>
    <row r="11" spans="1:16" x14ac:dyDescent="0.3">
      <c r="A11" s="105">
        <v>10000001</v>
      </c>
      <c r="B11" s="105">
        <v>15000000</v>
      </c>
      <c r="C11" s="104">
        <v>0.35</v>
      </c>
    </row>
    <row r="12" spans="1:16" x14ac:dyDescent="0.3">
      <c r="A12" s="105">
        <v>15000001</v>
      </c>
      <c r="B12" s="105">
        <v>18333333</v>
      </c>
      <c r="C12" s="104">
        <v>0.38</v>
      </c>
    </row>
    <row r="13" spans="1:16" x14ac:dyDescent="0.3">
      <c r="A13" s="105">
        <v>18333334</v>
      </c>
      <c r="B13" s="105" t="s">
        <v>37</v>
      </c>
      <c r="C13" s="104">
        <v>0.35</v>
      </c>
      <c r="N13" s="85" t="s">
        <v>813</v>
      </c>
      <c r="O13" s="85" t="s">
        <v>814</v>
      </c>
      <c r="P13" s="85" t="s">
        <v>815</v>
      </c>
    </row>
    <row r="14" spans="1:16" ht="17.399999999999999" x14ac:dyDescent="0.3">
      <c r="E14" s="260" t="str">
        <f>"Taxable Income = "&amp;DOLLAR(B2,2)</f>
        <v>Taxable Income = $300,000.00</v>
      </c>
      <c r="F14" s="260"/>
      <c r="N14" s="85">
        <v>0</v>
      </c>
      <c r="O14" s="104">
        <v>0.15</v>
      </c>
      <c r="P14" s="85">
        <v>0</v>
      </c>
    </row>
    <row r="15" spans="1:16" ht="17.399999999999999" x14ac:dyDescent="0.3">
      <c r="E15" s="261" t="s">
        <v>138</v>
      </c>
      <c r="F15" s="261"/>
      <c r="N15" s="105">
        <v>50000</v>
      </c>
      <c r="O15" s="104">
        <v>0.25</v>
      </c>
      <c r="P15" s="85">
        <f>ROUND(N15*O14,0)</f>
        <v>7500</v>
      </c>
    </row>
    <row r="16" spans="1:16" ht="17.399999999999999" x14ac:dyDescent="0.3">
      <c r="E16" s="102" t="str">
        <f>DOLLAR(B6,0)&amp;"*"&amp;TEXT(C6,"0.00%")</f>
        <v>$50,000*15.00%</v>
      </c>
      <c r="F16" s="108">
        <f>B6*C6</f>
        <v>7500</v>
      </c>
      <c r="N16" s="105">
        <v>75000</v>
      </c>
      <c r="O16" s="104">
        <v>0.34</v>
      </c>
      <c r="P16" s="210">
        <f t="shared" ref="P16:P21" si="0">P15+ROUND((N16-N15)*O15,0)</f>
        <v>13750</v>
      </c>
    </row>
    <row r="17" spans="1:16" ht="17.399999999999999" x14ac:dyDescent="0.3">
      <c r="E17" s="102" t="str">
        <f>"("&amp;DOLLAR(B7,0)&amp;"-"&amp;DOLLAR(B6,0)&amp;")*"&amp;TEXT(C7,"0.00%")</f>
        <v>($75,000-$50,000)*25.00%</v>
      </c>
      <c r="F17" s="108">
        <f>(B7-B6)*C7</f>
        <v>6250</v>
      </c>
      <c r="N17" s="105">
        <v>100000</v>
      </c>
      <c r="O17" s="104">
        <v>0.39</v>
      </c>
      <c r="P17" s="210">
        <f t="shared" si="0"/>
        <v>22250</v>
      </c>
    </row>
    <row r="18" spans="1:16" ht="17.399999999999999" x14ac:dyDescent="0.3">
      <c r="E18" s="102" t="str">
        <f>"("&amp;DOLLAR(B8,0)&amp;"-"&amp;DOLLAR(B7,0)&amp;")*"&amp;TEXT(C8,"0.00%")</f>
        <v>($100,000-$75,000)*34.00%</v>
      </c>
      <c r="F18" s="108">
        <f>(B8-B7)*C8</f>
        <v>8500</v>
      </c>
      <c r="N18" s="105">
        <v>335000</v>
      </c>
      <c r="O18" s="104">
        <v>0.34</v>
      </c>
      <c r="P18" s="210">
        <f t="shared" si="0"/>
        <v>113900</v>
      </c>
    </row>
    <row r="19" spans="1:16" ht="18" thickBot="1" x14ac:dyDescent="0.35">
      <c r="E19" s="102" t="str">
        <f>"("&amp;DOLLAR(B2,0)&amp;"-"&amp;DOLLAR(B8,0)&amp;")*"&amp;TEXT(C9,"0.00%")</f>
        <v>($300,000-$100,000)*39.00%</v>
      </c>
      <c r="F19" s="262">
        <f>(B2-B8)*C9</f>
        <v>78000</v>
      </c>
      <c r="H19" s="241" t="s">
        <v>812</v>
      </c>
      <c r="N19" s="105">
        <v>10000000</v>
      </c>
      <c r="O19" s="104">
        <v>0.35</v>
      </c>
      <c r="P19" s="210">
        <f t="shared" si="0"/>
        <v>3400000</v>
      </c>
    </row>
    <row r="20" spans="1:16" ht="18" thickBot="1" x14ac:dyDescent="0.35">
      <c r="E20" s="102"/>
      <c r="F20" s="263">
        <f>SUM(F16:F19)</f>
        <v>100250</v>
      </c>
      <c r="H20" s="46">
        <f>LOOKUP(B2,N14:P21)+(B2-LOOKUP(B2,N14:N21))*LOOKUP(B2,N14:O21)</f>
        <v>100250</v>
      </c>
      <c r="N20" s="105">
        <v>15000000</v>
      </c>
      <c r="O20" s="104">
        <v>0.38</v>
      </c>
      <c r="P20" s="210">
        <f t="shared" si="0"/>
        <v>5150000</v>
      </c>
    </row>
    <row r="21" spans="1:16" ht="15" thickTop="1" x14ac:dyDescent="0.3">
      <c r="A21" s="264" t="s">
        <v>145</v>
      </c>
      <c r="B21" s="265"/>
      <c r="C21" s="266"/>
      <c r="N21" s="105">
        <v>18333333</v>
      </c>
      <c r="O21" s="104">
        <v>0.35</v>
      </c>
      <c r="P21" s="210">
        <f t="shared" si="0"/>
        <v>6416667</v>
      </c>
    </row>
    <row r="22" spans="1:16" ht="17.399999999999999" x14ac:dyDescent="0.3">
      <c r="A22" s="264" t="s">
        <v>146</v>
      </c>
      <c r="B22" s="265"/>
      <c r="C22" s="266"/>
      <c r="E22" s="103" t="s">
        <v>139</v>
      </c>
      <c r="F22" s="109">
        <f>F20/B2</f>
        <v>0.33416666666666667</v>
      </c>
    </row>
    <row r="23" spans="1:16" ht="40.200000000000003" x14ac:dyDescent="0.3">
      <c r="A23" s="267" t="s">
        <v>214</v>
      </c>
      <c r="B23" s="267"/>
      <c r="C23" s="267"/>
      <c r="E23" s="102" t="s">
        <v>144</v>
      </c>
      <c r="F23" s="109">
        <f>C9</f>
        <v>0.39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2A6F-9B7B-4314-AEA0-290425AA9095}">
  <sheetPr>
    <tabColor rgb="FF0000FF"/>
  </sheetPr>
  <dimension ref="A1:G19"/>
  <sheetViews>
    <sheetView zoomScale="75" workbookViewId="0"/>
  </sheetViews>
  <sheetFormatPr defaultColWidth="9.109375" defaultRowHeight="13.2" x14ac:dyDescent="0.25"/>
  <cols>
    <col min="1" max="1" width="11.88671875" style="10" bestFit="1" customWidth="1"/>
    <col min="2" max="7" width="15.6640625" style="10" customWidth="1"/>
    <col min="8" max="16384" width="9.109375" style="10"/>
  </cols>
  <sheetData>
    <row r="1" spans="1:7" ht="15.6" x14ac:dyDescent="0.3">
      <c r="B1" s="91" t="s">
        <v>127</v>
      </c>
      <c r="C1" s="92"/>
      <c r="D1" s="92"/>
      <c r="E1" s="92"/>
      <c r="F1" s="92"/>
      <c r="G1" s="92"/>
    </row>
    <row r="2" spans="1:7" x14ac:dyDescent="0.25">
      <c r="B2" s="93" t="s">
        <v>128</v>
      </c>
      <c r="C2" s="94"/>
      <c r="D2" s="94"/>
      <c r="E2" s="94"/>
      <c r="F2" s="94"/>
      <c r="G2" s="94"/>
    </row>
    <row r="3" spans="1:7" ht="20.399999999999999" x14ac:dyDescent="0.25">
      <c r="A3" s="95" t="s">
        <v>150</v>
      </c>
      <c r="B3" s="95" t="s">
        <v>129</v>
      </c>
      <c r="C3" s="95" t="s">
        <v>149</v>
      </c>
      <c r="D3" s="95" t="s">
        <v>130</v>
      </c>
      <c r="E3" s="95" t="s">
        <v>131</v>
      </c>
      <c r="F3" s="95" t="s">
        <v>132</v>
      </c>
      <c r="G3" s="95" t="s">
        <v>133</v>
      </c>
    </row>
    <row r="4" spans="1:7" x14ac:dyDescent="0.25">
      <c r="A4" s="96">
        <f>B4</f>
        <v>0</v>
      </c>
      <c r="B4" s="96">
        <v>0</v>
      </c>
      <c r="C4" s="96">
        <v>50000</v>
      </c>
      <c r="D4" s="97"/>
      <c r="E4" s="98">
        <v>0.15</v>
      </c>
      <c r="F4" s="98" t="str">
        <f>TEXT(D4,"#,##")&amp;IF(D4="",""," + ")&amp;TEXT(E4,"00%")</f>
        <v>15%</v>
      </c>
      <c r="G4" s="99">
        <v>0</v>
      </c>
    </row>
    <row r="5" spans="1:7" x14ac:dyDescent="0.25">
      <c r="A5" s="96">
        <f>B5+1</f>
        <v>50001</v>
      </c>
      <c r="B5" s="100">
        <f>C4</f>
        <v>50000</v>
      </c>
      <c r="C5" s="100">
        <v>75000</v>
      </c>
      <c r="D5" s="96">
        <f>E4*C4</f>
        <v>7500</v>
      </c>
      <c r="E5" s="98">
        <v>0.25</v>
      </c>
      <c r="F5" s="98" t="str">
        <f t="shared" ref="F5:F11" si="0">TEXT(D5,"#,##")&amp;IF(D5="",""," + ")&amp;TEXT(E5,"00%")</f>
        <v>7,500 + 25%</v>
      </c>
      <c r="G5" s="96">
        <v>50000</v>
      </c>
    </row>
    <row r="6" spans="1:7" x14ac:dyDescent="0.25">
      <c r="A6" s="96">
        <f t="shared" ref="A6:A11" si="1">B6+1</f>
        <v>75001</v>
      </c>
      <c r="B6" s="100">
        <f t="shared" ref="B6:B11" si="2">C5</f>
        <v>75000</v>
      </c>
      <c r="C6" s="100">
        <v>100000</v>
      </c>
      <c r="D6" s="100">
        <f>E5*(C5-C4)+D5</f>
        <v>13750</v>
      </c>
      <c r="E6" s="98">
        <v>0.34</v>
      </c>
      <c r="F6" s="98" t="str">
        <f t="shared" si="0"/>
        <v>13,750 + 34%</v>
      </c>
      <c r="G6" s="100">
        <v>75000</v>
      </c>
    </row>
    <row r="7" spans="1:7" x14ac:dyDescent="0.25">
      <c r="A7" s="96">
        <f t="shared" si="1"/>
        <v>100001</v>
      </c>
      <c r="B7" s="100">
        <f t="shared" si="2"/>
        <v>100000</v>
      </c>
      <c r="C7" s="100">
        <v>335000</v>
      </c>
      <c r="D7" s="100">
        <f>E6*(C6-C5)+D6</f>
        <v>22250</v>
      </c>
      <c r="E7" s="98">
        <v>0.39</v>
      </c>
      <c r="F7" s="98" t="str">
        <f t="shared" si="0"/>
        <v>22,250 + 39%</v>
      </c>
      <c r="G7" s="100">
        <v>100000</v>
      </c>
    </row>
    <row r="8" spans="1:7" x14ac:dyDescent="0.25">
      <c r="A8" s="96">
        <f t="shared" si="1"/>
        <v>335001</v>
      </c>
      <c r="B8" s="100">
        <f t="shared" si="2"/>
        <v>335000</v>
      </c>
      <c r="C8" s="100">
        <v>10000000</v>
      </c>
      <c r="D8" s="100">
        <f>E7*(C7-C6)+D7</f>
        <v>113900</v>
      </c>
      <c r="E8" s="98">
        <v>0.34</v>
      </c>
      <c r="F8" s="98" t="str">
        <f>TEXT(D8,"#,##")&amp;IF(D8="",""," + ")&amp;TEXT(E8,"00%")</f>
        <v>113,900 + 34%</v>
      </c>
      <c r="G8" s="100">
        <v>335000</v>
      </c>
    </row>
    <row r="9" spans="1:7" x14ac:dyDescent="0.25">
      <c r="A9" s="96">
        <f t="shared" si="1"/>
        <v>10000001</v>
      </c>
      <c r="B9" s="100">
        <f t="shared" si="2"/>
        <v>10000000</v>
      </c>
      <c r="C9" s="100">
        <v>15000000</v>
      </c>
      <c r="D9" s="100">
        <f>E8*(C8-C7)+D8</f>
        <v>3400000.0000000005</v>
      </c>
      <c r="E9" s="98">
        <v>0.35</v>
      </c>
      <c r="F9" s="98" t="str">
        <f t="shared" si="0"/>
        <v>3,400,000 + 35%</v>
      </c>
      <c r="G9" s="100">
        <v>10000000</v>
      </c>
    </row>
    <row r="10" spans="1:7" x14ac:dyDescent="0.25">
      <c r="A10" s="96">
        <f t="shared" si="1"/>
        <v>15000001</v>
      </c>
      <c r="B10" s="100">
        <f t="shared" si="2"/>
        <v>15000000</v>
      </c>
      <c r="C10" s="100">
        <v>18333333</v>
      </c>
      <c r="D10" s="100">
        <f>E9*(C9-C8)+D9</f>
        <v>5150000</v>
      </c>
      <c r="E10" s="98">
        <v>0.38</v>
      </c>
      <c r="F10" s="98" t="str">
        <f t="shared" si="0"/>
        <v>5,150,000 + 38%</v>
      </c>
      <c r="G10" s="100">
        <v>15000000</v>
      </c>
    </row>
    <row r="11" spans="1:7" x14ac:dyDescent="0.25">
      <c r="A11" s="96">
        <f t="shared" si="1"/>
        <v>18333334</v>
      </c>
      <c r="B11" s="100">
        <f t="shared" si="2"/>
        <v>18333333</v>
      </c>
      <c r="C11" s="99"/>
      <c r="D11" s="100"/>
      <c r="E11" s="98">
        <v>0.35</v>
      </c>
      <c r="F11" s="98" t="str">
        <f t="shared" si="0"/>
        <v>35%</v>
      </c>
      <c r="G11" s="99">
        <v>0</v>
      </c>
    </row>
    <row r="12" spans="1:7" ht="66" x14ac:dyDescent="0.25">
      <c r="B12" s="101" t="s">
        <v>134</v>
      </c>
      <c r="C12" s="101"/>
      <c r="D12" s="101"/>
      <c r="E12" s="101"/>
      <c r="F12" s="101"/>
      <c r="G12" s="101"/>
    </row>
    <row r="13" spans="1:7" ht="26.4" x14ac:dyDescent="0.25">
      <c r="B13" s="101" t="s">
        <v>135</v>
      </c>
      <c r="C13" s="101"/>
      <c r="D13" s="101"/>
      <c r="E13" s="101"/>
      <c r="F13" s="101"/>
      <c r="G13" s="101"/>
    </row>
    <row r="14" spans="1:7" ht="26.4" x14ac:dyDescent="0.25">
      <c r="B14" s="101" t="s">
        <v>136</v>
      </c>
      <c r="C14" s="101"/>
      <c r="D14" s="101"/>
      <c r="E14" s="101"/>
      <c r="F14" s="101"/>
      <c r="G14" s="101"/>
    </row>
    <row r="18" spans="6:7" x14ac:dyDescent="0.25">
      <c r="F18" s="10" t="s">
        <v>147</v>
      </c>
      <c r="G18" s="107">
        <v>300000</v>
      </c>
    </row>
    <row r="19" spans="6:7" x14ac:dyDescent="0.25">
      <c r="F19" s="10" t="s">
        <v>148</v>
      </c>
      <c r="G19" s="10">
        <f>IF(G18=0,0,VLOOKUP(G18,A4:G11,4)+(ROUND(G18,0)-VLOOKUP(G18,A4:G11,2))*VLOOKUP(G18,A4:G11,5))</f>
        <v>100250</v>
      </c>
    </row>
  </sheetData>
  <hyperlinks>
    <hyperlink ref="B2" r:id="rId1" xr:uid="{E1A4AF6A-7B9B-4941-AAC6-B4E32C85C114}"/>
  </hyperlinks>
  <printOptions horizontalCentered="1"/>
  <pageMargins left="0.75" right="0.75" top="1" bottom="1" header="0.5" footer="0.5"/>
  <pageSetup orientation="landscape" r:id="rId2"/>
  <headerFooter alignWithMargins="0">
    <oddHeader>&amp;L&amp;F&amp;C&amp;A&amp;RAccounting Is Fun!</oddHeader>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E759-61FB-451A-9760-81896F4BA78A}">
  <sheetPr>
    <tabColor rgb="FF002060"/>
  </sheetPr>
  <dimension ref="A1"/>
  <sheetViews>
    <sheetView workbookViewId="0"/>
  </sheetViews>
  <sheetFormatPr defaultRowHeight="14.4" x14ac:dyDescent="0.3"/>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E613-F615-4409-8EA8-05E16B38E98B}">
  <sheetPr>
    <tabColor rgb="FF3333FF"/>
  </sheetPr>
  <dimension ref="A1:J48"/>
  <sheetViews>
    <sheetView zoomScale="75" workbookViewId="0"/>
  </sheetViews>
  <sheetFormatPr defaultColWidth="9.109375" defaultRowHeight="13.2" x14ac:dyDescent="0.25"/>
  <cols>
    <col min="1" max="1" width="28.6640625" style="10" bestFit="1" customWidth="1"/>
    <col min="2" max="2" width="12.6640625" style="10" bestFit="1" customWidth="1"/>
    <col min="3" max="3" width="2.33203125" style="10" bestFit="1" customWidth="1"/>
    <col min="4" max="4" width="30.88671875" style="10" bestFit="1" customWidth="1"/>
    <col min="5" max="5" width="2.6640625" style="10" customWidth="1"/>
    <col min="6" max="6" width="34.33203125" style="10" bestFit="1" customWidth="1"/>
    <col min="7" max="7" width="2.6640625" style="10" customWidth="1"/>
    <col min="8" max="8" width="43" style="10" bestFit="1" customWidth="1"/>
    <col min="9" max="9" width="4.88671875" style="10" bestFit="1" customWidth="1"/>
    <col min="10" max="10" width="30.44140625" style="10" bestFit="1" customWidth="1"/>
    <col min="11" max="11" width="4.88671875" style="10" bestFit="1" customWidth="1"/>
    <col min="12" max="16384" width="9.109375" style="10"/>
  </cols>
  <sheetData>
    <row r="1" spans="1:2" x14ac:dyDescent="0.25">
      <c r="A1" s="275" t="s">
        <v>818</v>
      </c>
      <c r="B1" s="275"/>
    </row>
    <row r="2" spans="1:2" x14ac:dyDescent="0.25">
      <c r="A2" s="11" t="s">
        <v>89</v>
      </c>
      <c r="B2" s="11" t="s">
        <v>819</v>
      </c>
    </row>
    <row r="3" spans="1:2" x14ac:dyDescent="0.25">
      <c r="A3" s="11" t="s">
        <v>820</v>
      </c>
      <c r="B3" s="11">
        <v>2022</v>
      </c>
    </row>
    <row r="4" spans="1:2" x14ac:dyDescent="0.25">
      <c r="A4" s="11" t="s">
        <v>168</v>
      </c>
      <c r="B4" s="48">
        <v>600</v>
      </c>
    </row>
    <row r="5" spans="1:2" x14ac:dyDescent="0.25">
      <c r="A5" s="11" t="s">
        <v>169</v>
      </c>
      <c r="B5" s="276">
        <v>300</v>
      </c>
    </row>
    <row r="6" spans="1:2" x14ac:dyDescent="0.25">
      <c r="A6" s="11" t="s">
        <v>170</v>
      </c>
      <c r="B6" s="276">
        <v>150</v>
      </c>
    </row>
    <row r="7" spans="1:2" x14ac:dyDescent="0.25">
      <c r="A7" s="11" t="s">
        <v>821</v>
      </c>
      <c r="B7" s="276">
        <v>30</v>
      </c>
    </row>
    <row r="8" spans="1:2" x14ac:dyDescent="0.25">
      <c r="A8" s="11" t="s">
        <v>142</v>
      </c>
      <c r="B8" s="120">
        <v>0.21</v>
      </c>
    </row>
    <row r="9" spans="1:2" x14ac:dyDescent="0.25">
      <c r="A9" s="11" t="s">
        <v>171</v>
      </c>
      <c r="B9" s="276">
        <v>30</v>
      </c>
    </row>
    <row r="10" spans="1:2" x14ac:dyDescent="0.25">
      <c r="A10" s="11" t="s">
        <v>822</v>
      </c>
      <c r="B10" s="276">
        <v>750</v>
      </c>
    </row>
    <row r="11" spans="1:2" x14ac:dyDescent="0.25">
      <c r="A11" s="11" t="s">
        <v>823</v>
      </c>
      <c r="B11" s="276">
        <v>500</v>
      </c>
    </row>
    <row r="12" spans="1:2" x14ac:dyDescent="0.25">
      <c r="A12" s="11" t="s">
        <v>824</v>
      </c>
      <c r="B12" s="276">
        <v>2130</v>
      </c>
    </row>
    <row r="13" spans="1:2" x14ac:dyDescent="0.25">
      <c r="A13" s="11" t="s">
        <v>825</v>
      </c>
      <c r="B13" s="276">
        <v>1620</v>
      </c>
    </row>
    <row r="14" spans="1:2" x14ac:dyDescent="0.25">
      <c r="A14" s="11" t="s">
        <v>826</v>
      </c>
      <c r="B14" s="276">
        <v>2260</v>
      </c>
    </row>
    <row r="15" spans="1:2" x14ac:dyDescent="0.25">
      <c r="A15" s="11" t="s">
        <v>827</v>
      </c>
      <c r="B15" s="276">
        <v>1710</v>
      </c>
    </row>
    <row r="16" spans="1:2" customFormat="1" ht="14.4" x14ac:dyDescent="0.3"/>
    <row r="17" spans="1:2" x14ac:dyDescent="0.25">
      <c r="A17" s="277" t="str">
        <f>B2</f>
        <v>Dole Cola Inc.</v>
      </c>
      <c r="B17" s="277"/>
    </row>
    <row r="18" spans="1:2" x14ac:dyDescent="0.25">
      <c r="A18" s="277" t="s">
        <v>828</v>
      </c>
      <c r="B18" s="277"/>
    </row>
    <row r="19" spans="1:2" x14ac:dyDescent="0.25">
      <c r="A19" s="277" t="str">
        <f>"For the Year Ended "&amp;B3</f>
        <v>For the Year Ended 2022</v>
      </c>
      <c r="B19" s="277"/>
    </row>
    <row r="20" spans="1:2" x14ac:dyDescent="0.25">
      <c r="A20" s="10" t="str">
        <f>A4</f>
        <v>Sales</v>
      </c>
      <c r="B20" s="20"/>
    </row>
    <row r="21" spans="1:2" x14ac:dyDescent="0.25">
      <c r="A21" s="10" t="str">
        <f>A5</f>
        <v>COGS</v>
      </c>
      <c r="B21" s="121"/>
    </row>
    <row r="22" spans="1:2" x14ac:dyDescent="0.25">
      <c r="A22" s="121" t="str">
        <f>A6</f>
        <v>Depreciation Expense</v>
      </c>
      <c r="B22" s="278"/>
    </row>
    <row r="23" spans="1:2" x14ac:dyDescent="0.25">
      <c r="A23" s="10" t="s">
        <v>829</v>
      </c>
      <c r="B23" s="121"/>
    </row>
    <row r="24" spans="1:2" x14ac:dyDescent="0.25">
      <c r="A24" s="10" t="str">
        <f>A7</f>
        <v>Interest Paid</v>
      </c>
      <c r="B24" s="278"/>
    </row>
    <row r="25" spans="1:2" x14ac:dyDescent="0.25">
      <c r="A25" s="10" t="s">
        <v>137</v>
      </c>
      <c r="B25" s="121"/>
    </row>
    <row r="26" spans="1:2" x14ac:dyDescent="0.25">
      <c r="A26" s="10" t="s">
        <v>110</v>
      </c>
      <c r="B26" s="278"/>
    </row>
    <row r="27" spans="1:2" ht="13.8" thickBot="1" x14ac:dyDescent="0.3">
      <c r="A27" s="10" t="s">
        <v>111</v>
      </c>
      <c r="B27" s="279"/>
    </row>
    <row r="28" spans="1:2" ht="13.8" thickTop="1" x14ac:dyDescent="0.25">
      <c r="B28" s="121"/>
    </row>
    <row r="29" spans="1:2" x14ac:dyDescent="0.25">
      <c r="A29" s="10" t="s">
        <v>171</v>
      </c>
      <c r="B29" s="121"/>
    </row>
    <row r="30" spans="1:2" x14ac:dyDescent="0.25">
      <c r="A30" s="10" t="s">
        <v>830</v>
      </c>
      <c r="B30" s="121"/>
    </row>
    <row r="31" spans="1:2" x14ac:dyDescent="0.25">
      <c r="B31" s="121"/>
    </row>
    <row r="32" spans="1:2" x14ac:dyDescent="0.25">
      <c r="A32" s="280" t="s">
        <v>831</v>
      </c>
      <c r="B32" s="11"/>
    </row>
    <row r="33" spans="1:10" x14ac:dyDescent="0.25">
      <c r="A33" s="280" t="s">
        <v>832</v>
      </c>
      <c r="B33" s="281"/>
    </row>
    <row r="34" spans="1:10" x14ac:dyDescent="0.25">
      <c r="A34" s="280" t="s">
        <v>833</v>
      </c>
      <c r="B34" s="282"/>
    </row>
    <row r="35" spans="1:10" s="32" customFormat="1" x14ac:dyDescent="0.25">
      <c r="A35" s="10"/>
      <c r="B35" s="121"/>
      <c r="D35" s="110" t="s">
        <v>151</v>
      </c>
      <c r="E35" s="32" t="s">
        <v>35</v>
      </c>
      <c r="F35" s="111" t="s">
        <v>152</v>
      </c>
      <c r="G35" s="32" t="s">
        <v>37</v>
      </c>
      <c r="H35" s="112" t="s">
        <v>153</v>
      </c>
    </row>
    <row r="36" spans="1:10" x14ac:dyDescent="0.25">
      <c r="B36" s="121"/>
      <c r="C36" s="10">
        <v>6</v>
      </c>
      <c r="D36" s="122"/>
      <c r="E36" s="32" t="s">
        <v>35</v>
      </c>
      <c r="F36" s="122"/>
      <c r="G36" s="32" t="s">
        <v>37</v>
      </c>
      <c r="H36" s="122"/>
      <c r="J36" s="113"/>
    </row>
    <row r="37" spans="1:10" s="32" customFormat="1" ht="26.4" x14ac:dyDescent="0.25">
      <c r="A37" s="10"/>
      <c r="B37" s="10"/>
      <c r="D37" s="283" t="s">
        <v>151</v>
      </c>
      <c r="E37" s="32" t="s">
        <v>35</v>
      </c>
      <c r="F37" s="284" t="s">
        <v>154</v>
      </c>
      <c r="G37" s="115" t="s">
        <v>155</v>
      </c>
      <c r="H37" s="285" t="s">
        <v>156</v>
      </c>
      <c r="I37" s="115" t="s">
        <v>155</v>
      </c>
      <c r="J37" s="117" t="s">
        <v>157</v>
      </c>
    </row>
    <row r="38" spans="1:10" x14ac:dyDescent="0.25">
      <c r="C38" s="10">
        <v>4</v>
      </c>
      <c r="D38" s="122"/>
      <c r="E38" s="32" t="s">
        <v>35</v>
      </c>
      <c r="F38" s="122"/>
      <c r="G38" s="32" t="s">
        <v>155</v>
      </c>
      <c r="H38" s="122"/>
      <c r="I38" s="115" t="s">
        <v>155</v>
      </c>
      <c r="J38" s="122"/>
    </row>
    <row r="39" spans="1:10" s="32" customFormat="1" ht="26.4" x14ac:dyDescent="0.25">
      <c r="A39" s="10"/>
      <c r="B39" s="10"/>
      <c r="D39" s="284" t="s">
        <v>154</v>
      </c>
      <c r="E39" s="32" t="s">
        <v>35</v>
      </c>
      <c r="F39" s="286" t="s">
        <v>158</v>
      </c>
      <c r="G39" s="32" t="s">
        <v>37</v>
      </c>
      <c r="H39" s="286" t="s">
        <v>106</v>
      </c>
      <c r="I39" s="32" t="s">
        <v>155</v>
      </c>
      <c r="J39" s="286" t="s">
        <v>110</v>
      </c>
    </row>
    <row r="40" spans="1:10" x14ac:dyDescent="0.25">
      <c r="C40" s="10">
        <v>3</v>
      </c>
      <c r="D40" s="122"/>
      <c r="E40" s="32" t="s">
        <v>35</v>
      </c>
      <c r="F40" s="122"/>
      <c r="G40" s="32" t="s">
        <v>37</v>
      </c>
      <c r="H40" s="122"/>
      <c r="I40" s="32" t="s">
        <v>155</v>
      </c>
      <c r="J40" s="122"/>
    </row>
    <row r="41" spans="1:10" s="32" customFormat="1" x14ac:dyDescent="0.25">
      <c r="A41" s="10" t="s">
        <v>834</v>
      </c>
      <c r="B41" s="10"/>
      <c r="D41" s="285" t="s">
        <v>156</v>
      </c>
      <c r="E41" s="32" t="s">
        <v>35</v>
      </c>
      <c r="F41" s="287" t="s">
        <v>159</v>
      </c>
      <c r="G41" s="32" t="s">
        <v>155</v>
      </c>
      <c r="H41" s="287" t="s">
        <v>160</v>
      </c>
      <c r="I41" s="32" t="s">
        <v>37</v>
      </c>
      <c r="J41" s="286" t="s">
        <v>106</v>
      </c>
    </row>
    <row r="42" spans="1:10" x14ac:dyDescent="0.25">
      <c r="C42" s="10">
        <v>2</v>
      </c>
      <c r="D42" s="122"/>
      <c r="E42" s="32" t="s">
        <v>35</v>
      </c>
      <c r="F42" s="122"/>
      <c r="G42" s="32" t="s">
        <v>155</v>
      </c>
      <c r="H42" s="122"/>
      <c r="I42" s="32" t="s">
        <v>37</v>
      </c>
      <c r="J42" s="122"/>
    </row>
    <row r="43" spans="1:10" s="32" customFormat="1" x14ac:dyDescent="0.25">
      <c r="A43" s="10"/>
      <c r="B43" s="10"/>
      <c r="D43" s="288" t="s">
        <v>161</v>
      </c>
      <c r="E43" s="32" t="s">
        <v>35</v>
      </c>
      <c r="F43" s="287" t="s">
        <v>835</v>
      </c>
      <c r="G43" s="32" t="s">
        <v>155</v>
      </c>
      <c r="H43" s="287" t="s">
        <v>836</v>
      </c>
      <c r="I43" s="289"/>
      <c r="J43" s="39"/>
    </row>
    <row r="44" spans="1:10" x14ac:dyDescent="0.25">
      <c r="C44" s="10">
        <v>1</v>
      </c>
      <c r="D44" s="122"/>
      <c r="E44" s="32" t="s">
        <v>35</v>
      </c>
      <c r="F44" s="122"/>
      <c r="G44" s="32" t="s">
        <v>155</v>
      </c>
      <c r="H44" s="122"/>
      <c r="J44" s="113"/>
    </row>
    <row r="45" spans="1:10" s="32" customFormat="1" x14ac:dyDescent="0.25">
      <c r="A45" s="10"/>
      <c r="B45" s="10"/>
      <c r="D45" s="290" t="s">
        <v>152</v>
      </c>
      <c r="E45" s="32" t="s">
        <v>35</v>
      </c>
      <c r="F45" s="287" t="s">
        <v>108</v>
      </c>
      <c r="G45" s="32" t="s">
        <v>155</v>
      </c>
      <c r="H45" s="287" t="s">
        <v>164</v>
      </c>
      <c r="I45" s="289"/>
      <c r="J45" s="39"/>
    </row>
    <row r="46" spans="1:10" x14ac:dyDescent="0.25">
      <c r="C46" s="10">
        <v>7</v>
      </c>
      <c r="D46" s="122"/>
      <c r="E46" s="32" t="s">
        <v>35</v>
      </c>
      <c r="F46" s="122"/>
      <c r="G46" s="32" t="s">
        <v>155</v>
      </c>
      <c r="H46" s="122"/>
      <c r="J46" s="113"/>
    </row>
    <row r="47" spans="1:10" s="32" customFormat="1" ht="26.4" x14ac:dyDescent="0.25">
      <c r="A47" s="10"/>
      <c r="B47" s="10"/>
      <c r="D47" s="291" t="s">
        <v>153</v>
      </c>
      <c r="E47" s="32" t="s">
        <v>35</v>
      </c>
      <c r="F47" s="287" t="s">
        <v>165</v>
      </c>
      <c r="G47" s="32" t="s">
        <v>155</v>
      </c>
      <c r="H47" s="287" t="s">
        <v>166</v>
      </c>
      <c r="I47" s="289"/>
      <c r="J47" s="39"/>
    </row>
    <row r="48" spans="1:10" x14ac:dyDescent="0.25">
      <c r="C48" s="10">
        <v>5</v>
      </c>
      <c r="D48" s="122"/>
      <c r="E48" s="32" t="s">
        <v>35</v>
      </c>
      <c r="F48" s="122"/>
      <c r="G48" s="32" t="s">
        <v>155</v>
      </c>
      <c r="H48" s="122"/>
      <c r="J48" s="113"/>
    </row>
  </sheetData>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BB4C-FB64-4838-8123-4864A76B5C6F}">
  <sheetPr>
    <tabColor rgb="FFFF0000"/>
  </sheetPr>
  <dimension ref="A1:K49"/>
  <sheetViews>
    <sheetView zoomScale="75" workbookViewId="0"/>
  </sheetViews>
  <sheetFormatPr defaultColWidth="9.109375" defaultRowHeight="13.2" x14ac:dyDescent="0.25"/>
  <cols>
    <col min="1" max="1" width="28.6640625" style="10" bestFit="1" customWidth="1"/>
    <col min="2" max="2" width="29.88671875" style="10" bestFit="1" customWidth="1"/>
    <col min="3" max="3" width="2.33203125" style="10" bestFit="1" customWidth="1"/>
    <col min="4" max="4" width="22.44140625" style="10" bestFit="1" customWidth="1"/>
    <col min="5" max="5" width="2.6640625" style="10" customWidth="1"/>
    <col min="6" max="6" width="23.5546875" style="10" bestFit="1" customWidth="1"/>
    <col min="7" max="7" width="2.6640625" style="10" customWidth="1"/>
    <col min="8" max="8" width="28.109375" style="10" bestFit="1" customWidth="1"/>
    <col min="9" max="9" width="8.33203125" style="10" bestFit="1" customWidth="1"/>
    <col min="10" max="10" width="24.33203125" style="10" bestFit="1" customWidth="1"/>
    <col min="11" max="11" width="4.88671875" style="10" bestFit="1" customWidth="1"/>
    <col min="12" max="16384" width="9.109375" style="10"/>
  </cols>
  <sheetData>
    <row r="1" spans="1:2" x14ac:dyDescent="0.25">
      <c r="A1" s="275" t="s">
        <v>818</v>
      </c>
      <c r="B1" s="275"/>
    </row>
    <row r="2" spans="1:2" x14ac:dyDescent="0.25">
      <c r="A2" s="11" t="s">
        <v>89</v>
      </c>
      <c r="B2" s="11" t="s">
        <v>819</v>
      </c>
    </row>
    <row r="3" spans="1:2" x14ac:dyDescent="0.25">
      <c r="A3" s="11" t="s">
        <v>820</v>
      </c>
      <c r="B3" s="11">
        <v>2022</v>
      </c>
    </row>
    <row r="4" spans="1:2" x14ac:dyDescent="0.25">
      <c r="A4" s="11" t="s">
        <v>168</v>
      </c>
      <c r="B4" s="48">
        <v>600</v>
      </c>
    </row>
    <row r="5" spans="1:2" x14ac:dyDescent="0.25">
      <c r="A5" s="11" t="s">
        <v>169</v>
      </c>
      <c r="B5" s="276">
        <v>300</v>
      </c>
    </row>
    <row r="6" spans="1:2" x14ac:dyDescent="0.25">
      <c r="A6" s="11" t="s">
        <v>170</v>
      </c>
      <c r="B6" s="276">
        <v>150</v>
      </c>
    </row>
    <row r="7" spans="1:2" x14ac:dyDescent="0.25">
      <c r="A7" s="11" t="s">
        <v>821</v>
      </c>
      <c r="B7" s="276">
        <v>30</v>
      </c>
    </row>
    <row r="8" spans="1:2" x14ac:dyDescent="0.25">
      <c r="A8" s="11" t="s">
        <v>142</v>
      </c>
      <c r="B8" s="120">
        <v>0.21</v>
      </c>
    </row>
    <row r="9" spans="1:2" x14ac:dyDescent="0.25">
      <c r="A9" s="11" t="s">
        <v>171</v>
      </c>
      <c r="B9" s="276">
        <v>30</v>
      </c>
    </row>
    <row r="10" spans="1:2" x14ac:dyDescent="0.25">
      <c r="A10" s="11" t="s">
        <v>822</v>
      </c>
      <c r="B10" s="276">
        <v>750</v>
      </c>
    </row>
    <row r="11" spans="1:2" x14ac:dyDescent="0.25">
      <c r="A11" s="11" t="s">
        <v>823</v>
      </c>
      <c r="B11" s="276">
        <v>500</v>
      </c>
    </row>
    <row r="12" spans="1:2" x14ac:dyDescent="0.25">
      <c r="A12" s="11" t="s">
        <v>824</v>
      </c>
      <c r="B12" s="276">
        <v>2130</v>
      </c>
    </row>
    <row r="13" spans="1:2" x14ac:dyDescent="0.25">
      <c r="A13" s="11" t="s">
        <v>825</v>
      </c>
      <c r="B13" s="276">
        <v>1620</v>
      </c>
    </row>
    <row r="14" spans="1:2" x14ac:dyDescent="0.25">
      <c r="A14" s="11" t="s">
        <v>826</v>
      </c>
      <c r="B14" s="276">
        <v>2260</v>
      </c>
    </row>
    <row r="15" spans="1:2" x14ac:dyDescent="0.25">
      <c r="A15" s="11" t="s">
        <v>827</v>
      </c>
      <c r="B15" s="276">
        <v>1710</v>
      </c>
    </row>
    <row r="17" spans="1:2" x14ac:dyDescent="0.25">
      <c r="A17" s="277" t="str">
        <f>B2</f>
        <v>Dole Cola Inc.</v>
      </c>
      <c r="B17" s="277"/>
    </row>
    <row r="18" spans="1:2" x14ac:dyDescent="0.25">
      <c r="A18" s="277" t="s">
        <v>828</v>
      </c>
      <c r="B18" s="277"/>
    </row>
    <row r="19" spans="1:2" x14ac:dyDescent="0.25">
      <c r="A19" s="277" t="str">
        <f>"For the Year Ended "&amp;B3</f>
        <v>For the Year Ended 2022</v>
      </c>
      <c r="B19" s="277"/>
    </row>
    <row r="20" spans="1:2" x14ac:dyDescent="0.25">
      <c r="A20" s="10" t="str">
        <f>A4</f>
        <v>Sales</v>
      </c>
      <c r="B20" s="20">
        <f>B4</f>
        <v>600</v>
      </c>
    </row>
    <row r="21" spans="1:2" x14ac:dyDescent="0.25">
      <c r="A21" s="10" t="str">
        <f>A5</f>
        <v>COGS</v>
      </c>
      <c r="B21" s="278">
        <f>B5</f>
        <v>300</v>
      </c>
    </row>
    <row r="22" spans="1:2" x14ac:dyDescent="0.25">
      <c r="A22" s="10" t="s">
        <v>837</v>
      </c>
      <c r="B22" s="121">
        <f>B20-B21</f>
        <v>300</v>
      </c>
    </row>
    <row r="23" spans="1:2" x14ac:dyDescent="0.25">
      <c r="A23" s="121" t="str">
        <f>A6</f>
        <v>Depreciation Expense</v>
      </c>
      <c r="B23" s="278">
        <f>B6</f>
        <v>150</v>
      </c>
    </row>
    <row r="24" spans="1:2" x14ac:dyDescent="0.25">
      <c r="A24" s="10" t="s">
        <v>829</v>
      </c>
      <c r="B24" s="121">
        <f>B22-B23</f>
        <v>150</v>
      </c>
    </row>
    <row r="25" spans="1:2" x14ac:dyDescent="0.25">
      <c r="A25" s="10" t="str">
        <f>A7</f>
        <v>Interest Paid</v>
      </c>
      <c r="B25" s="278">
        <f>B7</f>
        <v>30</v>
      </c>
    </row>
    <row r="26" spans="1:2" x14ac:dyDescent="0.25">
      <c r="A26" s="10" t="s">
        <v>137</v>
      </c>
      <c r="B26" s="121">
        <f>B24-B25</f>
        <v>120</v>
      </c>
    </row>
    <row r="27" spans="1:2" x14ac:dyDescent="0.25">
      <c r="A27" s="10" t="s">
        <v>110</v>
      </c>
      <c r="B27" s="278">
        <f>ROUND(B8*B26,0)</f>
        <v>25</v>
      </c>
    </row>
    <row r="28" spans="1:2" ht="13.8" thickBot="1" x14ac:dyDescent="0.3">
      <c r="A28" s="10" t="s">
        <v>111</v>
      </c>
      <c r="B28" s="279">
        <f>B26-B27</f>
        <v>95</v>
      </c>
    </row>
    <row r="29" spans="1:2" ht="13.8" thickTop="1" x14ac:dyDescent="0.25">
      <c r="B29" s="121"/>
    </row>
    <row r="30" spans="1:2" x14ac:dyDescent="0.25">
      <c r="A30" s="10" t="s">
        <v>171</v>
      </c>
      <c r="B30" s="121">
        <f>B9</f>
        <v>30</v>
      </c>
    </row>
    <row r="31" spans="1:2" x14ac:dyDescent="0.25">
      <c r="A31" s="10" t="s">
        <v>830</v>
      </c>
      <c r="B31" s="121">
        <f>B28-B30</f>
        <v>65</v>
      </c>
    </row>
    <row r="32" spans="1:2" x14ac:dyDescent="0.25">
      <c r="B32" s="121"/>
    </row>
    <row r="33" spans="1:11" x14ac:dyDescent="0.25">
      <c r="A33" s="280" t="s">
        <v>831</v>
      </c>
      <c r="B33" s="11" t="str">
        <f>D40&amp;" + "&amp;DOLLAR(D41,0)</f>
        <v>Operating cash flow + $275</v>
      </c>
    </row>
    <row r="34" spans="1:11" ht="52.8" x14ac:dyDescent="0.25">
      <c r="A34" s="280" t="s">
        <v>832</v>
      </c>
      <c r="B34" s="281" t="s">
        <v>838</v>
      </c>
    </row>
    <row r="35" spans="1:11" x14ac:dyDescent="0.25">
      <c r="A35" s="280" t="s">
        <v>833</v>
      </c>
      <c r="B35" s="282">
        <f>B10-B11</f>
        <v>250</v>
      </c>
    </row>
    <row r="36" spans="1:11" s="32" customFormat="1" ht="26.4" x14ac:dyDescent="0.25">
      <c r="A36" s="10"/>
      <c r="B36" s="121"/>
      <c r="D36" s="110" t="s">
        <v>151</v>
      </c>
      <c r="E36" s="32" t="s">
        <v>35</v>
      </c>
      <c r="F36" s="111" t="s">
        <v>152</v>
      </c>
      <c r="G36" s="32" t="s">
        <v>37</v>
      </c>
      <c r="H36" s="112" t="s">
        <v>153</v>
      </c>
      <c r="J36" s="32" t="str">
        <f>IF(D37=SUM(F37,H37),"True!","Off by:"&amp;DOLLAR(D37-F37-H37,2))</f>
        <v>True!</v>
      </c>
    </row>
    <row r="37" spans="1:11" x14ac:dyDescent="0.25">
      <c r="B37" s="121"/>
      <c r="C37" s="10">
        <v>6</v>
      </c>
      <c r="D37" s="122">
        <f>D39</f>
        <v>-165</v>
      </c>
      <c r="E37" s="32" t="s">
        <v>35</v>
      </c>
      <c r="F37" s="122">
        <f>D37-H37</f>
        <v>-195</v>
      </c>
      <c r="G37" s="32" t="s">
        <v>37</v>
      </c>
      <c r="H37" s="122">
        <f>D49</f>
        <v>30</v>
      </c>
      <c r="J37" s="113"/>
    </row>
    <row r="38" spans="1:11" s="32" customFormat="1" ht="26.4" x14ac:dyDescent="0.25">
      <c r="A38" s="10"/>
      <c r="B38" s="10"/>
      <c r="D38" s="283" t="s">
        <v>151</v>
      </c>
      <c r="E38" s="32" t="s">
        <v>35</v>
      </c>
      <c r="F38" s="284" t="s">
        <v>154</v>
      </c>
      <c r="G38" s="115" t="s">
        <v>155</v>
      </c>
      <c r="H38" s="285" t="s">
        <v>156</v>
      </c>
      <c r="I38" s="115" t="s">
        <v>155</v>
      </c>
      <c r="J38" s="117" t="s">
        <v>157</v>
      </c>
      <c r="K38" s="32" t="str">
        <f>IF(F39-H39-J39=D39,"True", "Not True")</f>
        <v>True</v>
      </c>
    </row>
    <row r="39" spans="1:11" x14ac:dyDescent="0.25">
      <c r="C39" s="10">
        <v>4</v>
      </c>
      <c r="D39" s="122">
        <f>F39-H39-J39</f>
        <v>-165</v>
      </c>
      <c r="E39" s="32" t="s">
        <v>35</v>
      </c>
      <c r="F39" s="122">
        <f>D41</f>
        <v>275</v>
      </c>
      <c r="G39" s="32" t="s">
        <v>155</v>
      </c>
      <c r="H39" s="122">
        <f>D43</f>
        <v>400</v>
      </c>
      <c r="I39" s="115" t="s">
        <v>155</v>
      </c>
      <c r="J39" s="122">
        <f>D45</f>
        <v>40</v>
      </c>
    </row>
    <row r="40" spans="1:11" s="32" customFormat="1" ht="26.4" x14ac:dyDescent="0.25">
      <c r="A40" s="10"/>
      <c r="B40" s="10"/>
      <c r="D40" s="284" t="s">
        <v>154</v>
      </c>
      <c r="E40" s="32" t="s">
        <v>35</v>
      </c>
      <c r="F40" s="286" t="s">
        <v>158</v>
      </c>
      <c r="G40" s="32" t="s">
        <v>37</v>
      </c>
      <c r="H40" s="286" t="s">
        <v>106</v>
      </c>
      <c r="I40" s="32" t="s">
        <v>155</v>
      </c>
      <c r="J40" s="286" t="s">
        <v>110</v>
      </c>
      <c r="K40" s="32" t="str">
        <f>IF(F41+H41-J41=D41,"True", "Not True")</f>
        <v>True</v>
      </c>
    </row>
    <row r="41" spans="1:11" x14ac:dyDescent="0.25">
      <c r="C41" s="10">
        <v>3</v>
      </c>
      <c r="D41" s="122">
        <f>F41+H41-J41</f>
        <v>275</v>
      </c>
      <c r="E41" s="32" t="s">
        <v>35</v>
      </c>
      <c r="F41" s="122">
        <f>B24</f>
        <v>150</v>
      </c>
      <c r="G41" s="32" t="s">
        <v>37</v>
      </c>
      <c r="H41" s="122">
        <f>B23</f>
        <v>150</v>
      </c>
      <c r="I41" s="32" t="s">
        <v>155</v>
      </c>
      <c r="J41" s="122">
        <f>B27</f>
        <v>25</v>
      </c>
    </row>
    <row r="42" spans="1:11" s="32" customFormat="1" x14ac:dyDescent="0.25">
      <c r="A42" s="10" t="s">
        <v>834</v>
      </c>
      <c r="B42" s="10"/>
      <c r="D42" s="285" t="s">
        <v>156</v>
      </c>
      <c r="E42" s="32" t="s">
        <v>35</v>
      </c>
      <c r="F42" s="287" t="s">
        <v>159</v>
      </c>
      <c r="G42" s="32" t="s">
        <v>155</v>
      </c>
      <c r="H42" s="287" t="s">
        <v>160</v>
      </c>
      <c r="I42" s="32" t="s">
        <v>37</v>
      </c>
      <c r="J42" s="286" t="s">
        <v>106</v>
      </c>
      <c r="K42" s="32" t="str">
        <f>IF(F43-H43+J43=D43,"True", "Not True")</f>
        <v>True</v>
      </c>
    </row>
    <row r="43" spans="1:11" x14ac:dyDescent="0.25">
      <c r="C43" s="10">
        <v>2</v>
      </c>
      <c r="D43" s="122">
        <f>F43-H43+J43</f>
        <v>400</v>
      </c>
      <c r="E43" s="32" t="s">
        <v>35</v>
      </c>
      <c r="F43" s="122">
        <f>B10</f>
        <v>750</v>
      </c>
      <c r="G43" s="32" t="s">
        <v>155</v>
      </c>
      <c r="H43" s="122">
        <f>B11</f>
        <v>500</v>
      </c>
      <c r="I43" s="32" t="s">
        <v>37</v>
      </c>
      <c r="J43" s="122">
        <f>B23</f>
        <v>150</v>
      </c>
    </row>
    <row r="44" spans="1:11" s="32" customFormat="1" x14ac:dyDescent="0.25">
      <c r="A44" s="10"/>
      <c r="B44" s="10"/>
      <c r="D44" s="288" t="s">
        <v>161</v>
      </c>
      <c r="E44" s="32" t="s">
        <v>35</v>
      </c>
      <c r="F44" s="287" t="s">
        <v>835</v>
      </c>
      <c r="G44" s="32" t="s">
        <v>155</v>
      </c>
      <c r="H44" s="287" t="s">
        <v>836</v>
      </c>
      <c r="I44" s="289" t="str">
        <f>IF(F45-H45=D45,"True", "Not True")</f>
        <v>True</v>
      </c>
      <c r="J44" s="39"/>
    </row>
    <row r="45" spans="1:11" x14ac:dyDescent="0.25">
      <c r="C45" s="10">
        <v>1</v>
      </c>
      <c r="D45" s="122">
        <f>F45-H45</f>
        <v>40</v>
      </c>
      <c r="E45" s="32" t="s">
        <v>35</v>
      </c>
      <c r="F45" s="122">
        <f>B14-B15</f>
        <v>550</v>
      </c>
      <c r="G45" s="32" t="s">
        <v>155</v>
      </c>
      <c r="H45" s="122">
        <f>B12-B13</f>
        <v>510</v>
      </c>
      <c r="J45" s="113"/>
    </row>
    <row r="46" spans="1:11" s="32" customFormat="1" ht="26.4" x14ac:dyDescent="0.25">
      <c r="A46" s="10"/>
      <c r="B46" s="10"/>
      <c r="D46" s="290" t="s">
        <v>152</v>
      </c>
      <c r="E46" s="32" t="s">
        <v>35</v>
      </c>
      <c r="F46" s="287" t="s">
        <v>108</v>
      </c>
      <c r="G46" s="32" t="s">
        <v>155</v>
      </c>
      <c r="H46" s="287" t="s">
        <v>164</v>
      </c>
      <c r="I46" s="289" t="str">
        <f>IF(F47-H47=D47,"True", "Not True")</f>
        <v>Not True</v>
      </c>
      <c r="J46" s="39"/>
    </row>
    <row r="47" spans="1:11" x14ac:dyDescent="0.25">
      <c r="C47" s="10">
        <v>7</v>
      </c>
      <c r="D47" s="122">
        <f>F37</f>
        <v>-195</v>
      </c>
      <c r="E47" s="32" t="s">
        <v>35</v>
      </c>
      <c r="F47" s="122">
        <f>B25</f>
        <v>30</v>
      </c>
      <c r="G47" s="32" t="s">
        <v>155</v>
      </c>
      <c r="H47" s="122">
        <f>D47-F47</f>
        <v>-225</v>
      </c>
      <c r="J47" s="113"/>
    </row>
    <row r="48" spans="1:11" s="32" customFormat="1" ht="39.6" x14ac:dyDescent="0.25">
      <c r="A48" s="10"/>
      <c r="B48" s="10"/>
      <c r="D48" s="291" t="s">
        <v>153</v>
      </c>
      <c r="E48" s="32" t="s">
        <v>35</v>
      </c>
      <c r="F48" s="287" t="s">
        <v>165</v>
      </c>
      <c r="G48" s="32" t="s">
        <v>155</v>
      </c>
      <c r="H48" s="287" t="s">
        <v>166</v>
      </c>
      <c r="I48" s="289" t="str">
        <f>IF(F49-H49=D49,"True", "Not True")</f>
        <v>True</v>
      </c>
      <c r="J48" s="39"/>
    </row>
    <row r="49" spans="3:10" x14ac:dyDescent="0.25">
      <c r="C49" s="10">
        <v>5</v>
      </c>
      <c r="D49" s="122">
        <f>F49-H49</f>
        <v>30</v>
      </c>
      <c r="E49" s="32" t="s">
        <v>35</v>
      </c>
      <c r="F49" s="122">
        <f>B30</f>
        <v>30</v>
      </c>
      <c r="G49" s="32" t="s">
        <v>155</v>
      </c>
      <c r="H49" s="122">
        <v>0</v>
      </c>
      <c r="J49" s="113"/>
    </row>
  </sheetData>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2519-4FB5-448D-BBDB-78719B95C289}">
  <sheetPr>
    <tabColor theme="1"/>
  </sheetPr>
  <dimension ref="A1"/>
  <sheetViews>
    <sheetView workbookViewId="0"/>
  </sheetViews>
  <sheetFormatPr defaultRowHeight="14.4" x14ac:dyDescent="0.3"/>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49FC-C829-4F93-A6EF-B89D9C6DCCC6}">
  <sheetPr>
    <tabColor rgb="FF0000FF"/>
  </sheetPr>
  <dimension ref="A1:W820"/>
  <sheetViews>
    <sheetView zoomScale="70" zoomScaleNormal="70" workbookViewId="0"/>
  </sheetViews>
  <sheetFormatPr defaultRowHeight="14.4" x14ac:dyDescent="0.3"/>
  <cols>
    <col min="1" max="1" width="72.5546875" bestFit="1" customWidth="1"/>
    <col min="8" max="8" width="16.33203125" bestFit="1" customWidth="1"/>
  </cols>
  <sheetData>
    <row r="1" spans="1:8" x14ac:dyDescent="0.3">
      <c r="A1" s="154" t="s">
        <v>228</v>
      </c>
      <c r="B1" s="154" t="s">
        <v>229</v>
      </c>
    </row>
    <row r="3" spans="1:8" x14ac:dyDescent="0.3">
      <c r="A3" s="155" t="s">
        <v>230</v>
      </c>
    </row>
    <row r="4" spans="1:8" x14ac:dyDescent="0.3">
      <c r="A4" s="155" t="s">
        <v>231</v>
      </c>
    </row>
    <row r="5" spans="1:8" x14ac:dyDescent="0.3">
      <c r="A5" s="156" t="s">
        <v>232</v>
      </c>
    </row>
    <row r="6" spans="1:8" x14ac:dyDescent="0.3">
      <c r="A6" s="156" t="s">
        <v>233</v>
      </c>
    </row>
    <row r="7" spans="1:8" x14ac:dyDescent="0.3">
      <c r="A7" s="157"/>
    </row>
    <row r="8" spans="1:8" x14ac:dyDescent="0.3">
      <c r="A8" s="158"/>
      <c r="B8" s="158"/>
      <c r="C8" s="158"/>
      <c r="D8" s="158"/>
      <c r="E8" s="158"/>
      <c r="F8" s="158"/>
      <c r="G8" s="158"/>
      <c r="H8" s="158"/>
    </row>
    <row r="9" spans="1:8" ht="15" thickBot="1" x14ac:dyDescent="0.35">
      <c r="A9" s="159" t="s">
        <v>234</v>
      </c>
      <c r="B9" s="159" t="s">
        <v>235</v>
      </c>
      <c r="C9" s="300">
        <v>2006</v>
      </c>
      <c r="D9" s="300"/>
      <c r="E9" s="159" t="s">
        <v>234</v>
      </c>
      <c r="F9" s="159" t="s">
        <v>234</v>
      </c>
      <c r="G9" s="300">
        <v>2005</v>
      </c>
      <c r="H9" s="300"/>
    </row>
    <row r="10" spans="1:8" x14ac:dyDescent="0.3">
      <c r="A10" s="160" t="s">
        <v>236</v>
      </c>
      <c r="B10" s="161" t="s">
        <v>235</v>
      </c>
      <c r="C10" s="162"/>
      <c r="D10" s="162"/>
      <c r="E10" s="162"/>
      <c r="F10" s="161" t="s">
        <v>234</v>
      </c>
      <c r="G10" s="162"/>
      <c r="H10" s="162"/>
    </row>
    <row r="11" spans="1:8" x14ac:dyDescent="0.3">
      <c r="A11" s="163" t="s">
        <v>237</v>
      </c>
      <c r="B11" s="159" t="s">
        <v>235</v>
      </c>
      <c r="C11" s="158"/>
      <c r="D11" s="158"/>
      <c r="E11" s="158"/>
      <c r="F11" s="159" t="s">
        <v>234</v>
      </c>
      <c r="G11" s="158"/>
      <c r="H11" s="158"/>
    </row>
    <row r="12" spans="1:8" x14ac:dyDescent="0.3">
      <c r="A12" s="164" t="s">
        <v>238</v>
      </c>
      <c r="B12" s="161" t="s">
        <v>235</v>
      </c>
      <c r="C12" s="165" t="s">
        <v>239</v>
      </c>
      <c r="D12" s="166">
        <v>2252</v>
      </c>
      <c r="E12" s="167" t="s">
        <v>234</v>
      </c>
      <c r="F12" s="161" t="s">
        <v>234</v>
      </c>
      <c r="G12" s="165" t="s">
        <v>239</v>
      </c>
      <c r="H12" s="166">
        <v>308524</v>
      </c>
    </row>
    <row r="13" spans="1:8" x14ac:dyDescent="0.3">
      <c r="A13" s="163" t="s">
        <v>240</v>
      </c>
      <c r="B13" s="159" t="s">
        <v>235</v>
      </c>
      <c r="C13" s="168" t="s">
        <v>234</v>
      </c>
      <c r="D13" s="169">
        <v>193847</v>
      </c>
      <c r="E13" s="156" t="s">
        <v>234</v>
      </c>
      <c r="F13" s="159" t="s">
        <v>234</v>
      </c>
      <c r="G13" s="168" t="s">
        <v>234</v>
      </c>
      <c r="H13" s="170" t="s">
        <v>241</v>
      </c>
    </row>
    <row r="14" spans="1:8" x14ac:dyDescent="0.3">
      <c r="A14" s="164" t="s">
        <v>242</v>
      </c>
      <c r="B14" s="161" t="s">
        <v>235</v>
      </c>
      <c r="C14" s="165" t="s">
        <v>234</v>
      </c>
      <c r="D14" s="166">
        <v>60065</v>
      </c>
      <c r="E14" s="167" t="s">
        <v>234</v>
      </c>
      <c r="F14" s="161" t="s">
        <v>234</v>
      </c>
      <c r="G14" s="165" t="s">
        <v>234</v>
      </c>
      <c r="H14" s="166">
        <v>36922</v>
      </c>
    </row>
    <row r="15" spans="1:8" x14ac:dyDescent="0.3">
      <c r="A15" s="163" t="s">
        <v>243</v>
      </c>
      <c r="B15" s="159" t="s">
        <v>235</v>
      </c>
      <c r="C15" s="168" t="s">
        <v>234</v>
      </c>
      <c r="D15" s="169">
        <v>82137</v>
      </c>
      <c r="E15" s="156" t="s">
        <v>234</v>
      </c>
      <c r="F15" s="159" t="s">
        <v>234</v>
      </c>
      <c r="G15" s="168" t="s">
        <v>234</v>
      </c>
      <c r="H15" s="169">
        <v>66682</v>
      </c>
    </row>
    <row r="16" spans="1:8" x14ac:dyDescent="0.3">
      <c r="A16" s="164" t="s">
        <v>244</v>
      </c>
      <c r="B16" s="161" t="s">
        <v>235</v>
      </c>
      <c r="C16" s="165" t="s">
        <v>234</v>
      </c>
      <c r="D16" s="166">
        <v>203727</v>
      </c>
      <c r="E16" s="167" t="s">
        <v>234</v>
      </c>
      <c r="F16" s="161" t="s">
        <v>234</v>
      </c>
      <c r="G16" s="165" t="s">
        <v>234</v>
      </c>
      <c r="H16" s="166">
        <v>174848</v>
      </c>
    </row>
    <row r="17" spans="1:8" x14ac:dyDescent="0.3">
      <c r="A17" s="163" t="s">
        <v>245</v>
      </c>
      <c r="B17" s="159" t="s">
        <v>235</v>
      </c>
      <c r="C17" s="168" t="s">
        <v>234</v>
      </c>
      <c r="D17" s="169">
        <v>33804</v>
      </c>
      <c r="E17" s="156" t="s">
        <v>234</v>
      </c>
      <c r="F17" s="159" t="s">
        <v>234</v>
      </c>
      <c r="G17" s="168" t="s">
        <v>234</v>
      </c>
      <c r="H17" s="169">
        <v>45965</v>
      </c>
    </row>
    <row r="18" spans="1:8" ht="15" thickBot="1" x14ac:dyDescent="0.35">
      <c r="A18" s="164" t="s">
        <v>246</v>
      </c>
      <c r="B18" s="161" t="s">
        <v>235</v>
      </c>
      <c r="C18" s="165" t="s">
        <v>234</v>
      </c>
      <c r="D18" s="166">
        <v>48149</v>
      </c>
      <c r="E18" s="167" t="s">
        <v>234</v>
      </c>
      <c r="F18" s="161" t="s">
        <v>234</v>
      </c>
      <c r="G18" s="165" t="s">
        <v>234</v>
      </c>
      <c r="H18" s="166">
        <v>39588</v>
      </c>
    </row>
    <row r="19" spans="1:8" x14ac:dyDescent="0.3">
      <c r="A19" s="171"/>
      <c r="B19" s="171" t="s">
        <v>247</v>
      </c>
      <c r="C19" s="172"/>
      <c r="D19" s="172"/>
      <c r="E19" s="171"/>
      <c r="F19" s="171"/>
      <c r="G19" s="172"/>
      <c r="H19" s="172"/>
    </row>
    <row r="20" spans="1:8" x14ac:dyDescent="0.3">
      <c r="A20" s="173" t="s">
        <v>248</v>
      </c>
      <c r="B20" s="159" t="s">
        <v>235</v>
      </c>
      <c r="C20" s="168" t="s">
        <v>234</v>
      </c>
      <c r="D20" s="169">
        <v>623981</v>
      </c>
      <c r="E20" s="156" t="s">
        <v>234</v>
      </c>
      <c r="F20" s="159" t="s">
        <v>234</v>
      </c>
      <c r="G20" s="168" t="s">
        <v>234</v>
      </c>
      <c r="H20" s="169">
        <v>672529</v>
      </c>
    </row>
    <row r="21" spans="1:8" x14ac:dyDescent="0.3">
      <c r="A21" s="164" t="s">
        <v>249</v>
      </c>
      <c r="B21" s="161" t="s">
        <v>235</v>
      </c>
      <c r="C21" s="165" t="s">
        <v>234</v>
      </c>
      <c r="D21" s="166">
        <v>1236133</v>
      </c>
      <c r="E21" s="167" t="s">
        <v>234</v>
      </c>
      <c r="F21" s="161" t="s">
        <v>234</v>
      </c>
      <c r="G21" s="165" t="s">
        <v>234</v>
      </c>
      <c r="H21" s="166">
        <v>1054605</v>
      </c>
    </row>
    <row r="22" spans="1:8" x14ac:dyDescent="0.3">
      <c r="A22" s="163" t="s">
        <v>250</v>
      </c>
      <c r="B22" s="159" t="s">
        <v>235</v>
      </c>
      <c r="C22" s="168" t="s">
        <v>234</v>
      </c>
      <c r="D22" s="169">
        <v>113494</v>
      </c>
      <c r="E22" s="156" t="s">
        <v>234</v>
      </c>
      <c r="F22" s="159" t="s">
        <v>234</v>
      </c>
      <c r="G22" s="168" t="s">
        <v>234</v>
      </c>
      <c r="H22" s="169">
        <v>112476</v>
      </c>
    </row>
    <row r="23" spans="1:8" x14ac:dyDescent="0.3">
      <c r="A23" s="164" t="s">
        <v>251</v>
      </c>
      <c r="B23" s="161" t="s">
        <v>235</v>
      </c>
      <c r="C23" s="165" t="s">
        <v>234</v>
      </c>
      <c r="D23" s="166">
        <v>34767</v>
      </c>
      <c r="E23" s="167" t="s">
        <v>234</v>
      </c>
      <c r="F23" s="161" t="s">
        <v>234</v>
      </c>
      <c r="G23" s="165" t="s">
        <v>234</v>
      </c>
      <c r="H23" s="166">
        <v>21990</v>
      </c>
    </row>
    <row r="24" spans="1:8" x14ac:dyDescent="0.3">
      <c r="A24" s="163" t="s">
        <v>246</v>
      </c>
      <c r="B24" s="159" t="s">
        <v>235</v>
      </c>
      <c r="C24" s="168" t="s">
        <v>234</v>
      </c>
      <c r="D24" s="169">
        <v>29412</v>
      </c>
      <c r="E24" s="156" t="s">
        <v>234</v>
      </c>
      <c r="F24" s="159" t="s">
        <v>234</v>
      </c>
      <c r="G24" s="168" t="s">
        <v>234</v>
      </c>
      <c r="H24" s="169">
        <v>22452</v>
      </c>
    </row>
    <row r="25" spans="1:8" ht="15" thickBot="1" x14ac:dyDescent="0.35">
      <c r="A25" s="164" t="s">
        <v>252</v>
      </c>
      <c r="B25" s="161" t="s">
        <v>235</v>
      </c>
      <c r="C25" s="165" t="s">
        <v>234</v>
      </c>
      <c r="D25" s="166">
        <v>5209</v>
      </c>
      <c r="E25" s="167" t="s">
        <v>234</v>
      </c>
      <c r="F25" s="161" t="s">
        <v>234</v>
      </c>
      <c r="G25" s="165" t="s">
        <v>234</v>
      </c>
      <c r="H25" s="166">
        <v>5244</v>
      </c>
    </row>
    <row r="26" spans="1:8" x14ac:dyDescent="0.3">
      <c r="A26" s="171"/>
      <c r="B26" s="171" t="s">
        <v>247</v>
      </c>
      <c r="C26" s="172"/>
      <c r="D26" s="172"/>
      <c r="E26" s="171"/>
      <c r="F26" s="171"/>
      <c r="G26" s="172"/>
      <c r="H26" s="172"/>
    </row>
    <row r="27" spans="1:8" ht="15" thickBot="1" x14ac:dyDescent="0.35">
      <c r="A27" s="173" t="s">
        <v>253</v>
      </c>
      <c r="B27" s="159" t="s">
        <v>235</v>
      </c>
      <c r="C27" s="168" t="s">
        <v>239</v>
      </c>
      <c r="D27" s="169">
        <v>2042996</v>
      </c>
      <c r="E27" s="156" t="s">
        <v>234</v>
      </c>
      <c r="F27" s="159" t="s">
        <v>234</v>
      </c>
      <c r="G27" s="168" t="s">
        <v>239</v>
      </c>
      <c r="H27" s="169">
        <v>1889296</v>
      </c>
    </row>
    <row r="28" spans="1:8" ht="15" thickTop="1" x14ac:dyDescent="0.3">
      <c r="A28" s="171"/>
      <c r="B28" s="171" t="s">
        <v>247</v>
      </c>
      <c r="C28" s="174"/>
      <c r="D28" s="174"/>
      <c r="E28" s="171"/>
      <c r="F28" s="171"/>
      <c r="G28" s="174"/>
      <c r="H28" s="174"/>
    </row>
    <row r="29" spans="1:8" x14ac:dyDescent="0.3">
      <c r="A29" s="158"/>
      <c r="B29" s="301"/>
      <c r="C29" s="301"/>
      <c r="D29" s="301"/>
      <c r="E29" s="301"/>
      <c r="F29" s="301"/>
      <c r="G29" s="301"/>
      <c r="H29" s="301"/>
    </row>
    <row r="30" spans="1:8" ht="15" thickBot="1" x14ac:dyDescent="0.35">
      <c r="A30" s="159" t="s">
        <v>234</v>
      </c>
      <c r="B30" s="159" t="s">
        <v>235</v>
      </c>
      <c r="C30" s="300">
        <v>2006</v>
      </c>
      <c r="D30" s="300"/>
      <c r="E30" s="159" t="s">
        <v>234</v>
      </c>
      <c r="F30" s="159" t="s">
        <v>234</v>
      </c>
      <c r="G30" s="300">
        <v>2005</v>
      </c>
      <c r="H30" s="300"/>
    </row>
    <row r="31" spans="1:8" x14ac:dyDescent="0.3">
      <c r="A31" s="175" t="s">
        <v>254</v>
      </c>
      <c r="B31" s="161" t="s">
        <v>235</v>
      </c>
      <c r="C31" s="162"/>
      <c r="D31" s="162"/>
      <c r="E31" s="162"/>
      <c r="F31" s="161" t="s">
        <v>234</v>
      </c>
      <c r="G31" s="162"/>
      <c r="H31" s="162"/>
    </row>
    <row r="32" spans="1:8" x14ac:dyDescent="0.3">
      <c r="A32" s="163" t="s">
        <v>255</v>
      </c>
      <c r="B32" s="159" t="s">
        <v>235</v>
      </c>
      <c r="C32" s="158"/>
      <c r="D32" s="158"/>
      <c r="E32" s="158"/>
      <c r="F32" s="159" t="s">
        <v>234</v>
      </c>
      <c r="G32" s="158"/>
      <c r="H32" s="158"/>
    </row>
    <row r="33" spans="1:8" x14ac:dyDescent="0.3">
      <c r="A33" s="164" t="s">
        <v>256</v>
      </c>
      <c r="B33" s="161" t="s">
        <v>235</v>
      </c>
      <c r="C33" s="165" t="s">
        <v>239</v>
      </c>
      <c r="D33" s="176">
        <v>49</v>
      </c>
      <c r="E33" s="167" t="s">
        <v>234</v>
      </c>
      <c r="F33" s="161" t="s">
        <v>234</v>
      </c>
      <c r="G33" s="165" t="s">
        <v>239</v>
      </c>
      <c r="H33" s="166">
        <v>5932</v>
      </c>
    </row>
    <row r="34" spans="1:8" x14ac:dyDescent="0.3">
      <c r="A34" s="163" t="s">
        <v>257</v>
      </c>
      <c r="B34" s="159" t="s">
        <v>235</v>
      </c>
      <c r="C34" s="168" t="s">
        <v>234</v>
      </c>
      <c r="D34" s="169">
        <v>121857</v>
      </c>
      <c r="E34" s="156" t="s">
        <v>234</v>
      </c>
      <c r="F34" s="159" t="s">
        <v>234</v>
      </c>
      <c r="G34" s="168" t="s">
        <v>234</v>
      </c>
      <c r="H34" s="169">
        <v>103348</v>
      </c>
    </row>
    <row r="35" spans="1:8" x14ac:dyDescent="0.3">
      <c r="A35" s="164" t="s">
        <v>258</v>
      </c>
      <c r="B35" s="161" t="s">
        <v>235</v>
      </c>
      <c r="C35" s="165" t="s">
        <v>234</v>
      </c>
      <c r="D35" s="166">
        <v>153014</v>
      </c>
      <c r="E35" s="167" t="s">
        <v>234</v>
      </c>
      <c r="F35" s="161" t="s">
        <v>234</v>
      </c>
      <c r="G35" s="165" t="s">
        <v>234</v>
      </c>
      <c r="H35" s="166">
        <v>126981</v>
      </c>
    </row>
    <row r="36" spans="1:8" x14ac:dyDescent="0.3">
      <c r="A36" s="163" t="s">
        <v>259</v>
      </c>
      <c r="B36" s="159" t="s">
        <v>235</v>
      </c>
      <c r="C36" s="168" t="s">
        <v>234</v>
      </c>
      <c r="D36" s="170" t="s">
        <v>241</v>
      </c>
      <c r="E36" s="156" t="s">
        <v>234</v>
      </c>
      <c r="F36" s="159" t="s">
        <v>234</v>
      </c>
      <c r="G36" s="168" t="s">
        <v>234</v>
      </c>
      <c r="H36" s="169">
        <v>17208</v>
      </c>
    </row>
    <row r="37" spans="1:8" ht="15" thickBot="1" x14ac:dyDescent="0.35">
      <c r="A37" s="164" t="s">
        <v>260</v>
      </c>
      <c r="B37" s="161" t="s">
        <v>235</v>
      </c>
      <c r="C37" s="165" t="s">
        <v>234</v>
      </c>
      <c r="D37" s="166">
        <v>234850</v>
      </c>
      <c r="E37" s="167" t="s">
        <v>234</v>
      </c>
      <c r="F37" s="161" t="s">
        <v>234</v>
      </c>
      <c r="G37" s="165" t="s">
        <v>234</v>
      </c>
      <c r="H37" s="166">
        <v>164914</v>
      </c>
    </row>
    <row r="38" spans="1:8" x14ac:dyDescent="0.3">
      <c r="A38" s="171"/>
      <c r="B38" s="171" t="s">
        <v>247</v>
      </c>
      <c r="C38" s="172"/>
      <c r="D38" s="172"/>
      <c r="E38" s="171"/>
      <c r="F38" s="171"/>
      <c r="G38" s="172"/>
      <c r="H38" s="172"/>
    </row>
    <row r="39" spans="1:8" x14ac:dyDescent="0.3">
      <c r="A39" s="173" t="s">
        <v>261</v>
      </c>
      <c r="B39" s="159" t="s">
        <v>235</v>
      </c>
      <c r="C39" s="168" t="s">
        <v>234</v>
      </c>
      <c r="D39" s="169">
        <v>509770</v>
      </c>
      <c r="E39" s="156" t="s">
        <v>234</v>
      </c>
      <c r="F39" s="159" t="s">
        <v>234</v>
      </c>
      <c r="G39" s="168" t="s">
        <v>234</v>
      </c>
      <c r="H39" s="169">
        <v>418383</v>
      </c>
    </row>
    <row r="40" spans="1:8" x14ac:dyDescent="0.3">
      <c r="A40" s="164" t="s">
        <v>262</v>
      </c>
      <c r="B40" s="161" t="s">
        <v>235</v>
      </c>
      <c r="C40" s="165" t="s">
        <v>234</v>
      </c>
      <c r="D40" s="166">
        <v>8606</v>
      </c>
      <c r="E40" s="167" t="s">
        <v>234</v>
      </c>
      <c r="F40" s="161" t="s">
        <v>234</v>
      </c>
      <c r="G40" s="165" t="s">
        <v>234</v>
      </c>
      <c r="H40" s="166">
        <v>12932</v>
      </c>
    </row>
    <row r="41" spans="1:8" x14ac:dyDescent="0.3">
      <c r="A41" s="163" t="s">
        <v>263</v>
      </c>
      <c r="B41" s="159" t="s">
        <v>235</v>
      </c>
      <c r="C41" s="168" t="s">
        <v>234</v>
      </c>
      <c r="D41" s="169">
        <v>120421</v>
      </c>
      <c r="E41" s="156" t="s">
        <v>234</v>
      </c>
      <c r="F41" s="159" t="s">
        <v>234</v>
      </c>
      <c r="G41" s="168" t="s">
        <v>234</v>
      </c>
      <c r="H41" s="169">
        <v>91775</v>
      </c>
    </row>
    <row r="42" spans="1:8" ht="15" thickBot="1" x14ac:dyDescent="0.35">
      <c r="A42" s="164" t="s">
        <v>264</v>
      </c>
      <c r="B42" s="161" t="s">
        <v>235</v>
      </c>
      <c r="C42" s="165" t="s">
        <v>234</v>
      </c>
      <c r="D42" s="176">
        <v>56</v>
      </c>
      <c r="E42" s="167" t="s">
        <v>234</v>
      </c>
      <c r="F42" s="161" t="s">
        <v>234</v>
      </c>
      <c r="G42" s="165" t="s">
        <v>234</v>
      </c>
      <c r="H42" s="176">
        <v>530</v>
      </c>
    </row>
    <row r="43" spans="1:8" x14ac:dyDescent="0.3">
      <c r="A43" s="171"/>
      <c r="B43" s="171" t="s">
        <v>247</v>
      </c>
      <c r="C43" s="172"/>
      <c r="D43" s="172"/>
      <c r="E43" s="171"/>
      <c r="F43" s="171"/>
      <c r="G43" s="172"/>
      <c r="H43" s="172"/>
    </row>
    <row r="44" spans="1:8" ht="15" thickBot="1" x14ac:dyDescent="0.35">
      <c r="A44" s="173" t="s">
        <v>265</v>
      </c>
      <c r="B44" s="159" t="s">
        <v>235</v>
      </c>
      <c r="C44" s="168" t="s">
        <v>234</v>
      </c>
      <c r="D44" s="169">
        <v>638853</v>
      </c>
      <c r="E44" s="156" t="s">
        <v>234</v>
      </c>
      <c r="F44" s="159" t="s">
        <v>234</v>
      </c>
      <c r="G44" s="168" t="s">
        <v>234</v>
      </c>
      <c r="H44" s="169">
        <v>523620</v>
      </c>
    </row>
    <row r="45" spans="1:8" x14ac:dyDescent="0.3">
      <c r="A45" s="171"/>
      <c r="B45" s="171" t="s">
        <v>247</v>
      </c>
      <c r="C45" s="172"/>
      <c r="D45" s="172"/>
      <c r="E45" s="171"/>
      <c r="F45" s="171"/>
      <c r="G45" s="172"/>
      <c r="H45" s="172"/>
    </row>
    <row r="46" spans="1:8" x14ac:dyDescent="0.3">
      <c r="A46" s="164" t="s">
        <v>266</v>
      </c>
      <c r="B46" s="161" t="s">
        <v>235</v>
      </c>
      <c r="C46" s="162"/>
      <c r="D46" s="162"/>
      <c r="E46" s="162"/>
      <c r="F46" s="161" t="s">
        <v>234</v>
      </c>
      <c r="G46" s="162"/>
      <c r="H46" s="162"/>
    </row>
    <row r="47" spans="1:8" x14ac:dyDescent="0.3">
      <c r="A47" s="163" t="s">
        <v>267</v>
      </c>
      <c r="B47" s="304" t="s">
        <v>235</v>
      </c>
      <c r="C47" s="302" t="s">
        <v>234</v>
      </c>
      <c r="D47" s="303">
        <v>1147872</v>
      </c>
      <c r="E47" s="305" t="s">
        <v>234</v>
      </c>
      <c r="F47" s="304" t="s">
        <v>234</v>
      </c>
      <c r="G47" s="302" t="s">
        <v>234</v>
      </c>
      <c r="H47" s="303">
        <v>874972</v>
      </c>
    </row>
    <row r="48" spans="1:8" x14ac:dyDescent="0.3">
      <c r="A48" s="163" t="s">
        <v>268</v>
      </c>
      <c r="B48" s="304"/>
      <c r="C48" s="302"/>
      <c r="D48" s="303"/>
      <c r="E48" s="305"/>
      <c r="F48" s="304"/>
      <c r="G48" s="302"/>
      <c r="H48" s="303"/>
    </row>
    <row r="49" spans="1:8" x14ac:dyDescent="0.3">
      <c r="A49" s="163" t="s">
        <v>269</v>
      </c>
      <c r="B49" s="304"/>
      <c r="C49" s="302"/>
      <c r="D49" s="303"/>
      <c r="E49" s="305"/>
      <c r="F49" s="304"/>
      <c r="G49" s="302"/>
      <c r="H49" s="303"/>
    </row>
    <row r="50" spans="1:8" x14ac:dyDescent="0.3">
      <c r="A50" s="164" t="s">
        <v>270</v>
      </c>
      <c r="B50" s="161" t="s">
        <v>235</v>
      </c>
      <c r="C50" s="165" t="s">
        <v>234</v>
      </c>
      <c r="D50" s="176" t="s">
        <v>271</v>
      </c>
      <c r="E50" s="167" t="s">
        <v>272</v>
      </c>
      <c r="F50" s="161" t="s">
        <v>234</v>
      </c>
      <c r="G50" s="165" t="s">
        <v>234</v>
      </c>
      <c r="H50" s="176" t="s">
        <v>241</v>
      </c>
    </row>
    <row r="51" spans="1:8" x14ac:dyDescent="0.3">
      <c r="A51" s="163" t="s">
        <v>273</v>
      </c>
      <c r="B51" s="159" t="s">
        <v>235</v>
      </c>
      <c r="C51" s="168" t="s">
        <v>234</v>
      </c>
      <c r="D51" s="169">
        <v>6975</v>
      </c>
      <c r="E51" s="156" t="s">
        <v>234</v>
      </c>
      <c r="F51" s="159" t="s">
        <v>234</v>
      </c>
      <c r="G51" s="168" t="s">
        <v>234</v>
      </c>
      <c r="H51" s="169">
        <v>4405</v>
      </c>
    </row>
    <row r="52" spans="1:8" ht="15" thickBot="1" x14ac:dyDescent="0.35">
      <c r="A52" s="164" t="s">
        <v>274</v>
      </c>
      <c r="B52" s="161" t="s">
        <v>235</v>
      </c>
      <c r="C52" s="165" t="s">
        <v>234</v>
      </c>
      <c r="D52" s="166">
        <v>349260</v>
      </c>
      <c r="E52" s="167" t="s">
        <v>234</v>
      </c>
      <c r="F52" s="161" t="s">
        <v>234</v>
      </c>
      <c r="G52" s="165" t="s">
        <v>234</v>
      </c>
      <c r="H52" s="166">
        <v>486299</v>
      </c>
    </row>
    <row r="53" spans="1:8" x14ac:dyDescent="0.3">
      <c r="A53" s="171"/>
      <c r="B53" s="171" t="s">
        <v>247</v>
      </c>
      <c r="C53" s="172"/>
      <c r="D53" s="172"/>
      <c r="E53" s="171"/>
      <c r="F53" s="171"/>
      <c r="G53" s="172"/>
      <c r="H53" s="172"/>
    </row>
    <row r="54" spans="1:8" ht="15" thickBot="1" x14ac:dyDescent="0.35">
      <c r="A54" s="163" t="s">
        <v>275</v>
      </c>
      <c r="B54" s="159" t="s">
        <v>235</v>
      </c>
      <c r="C54" s="168" t="s">
        <v>234</v>
      </c>
      <c r="D54" s="169">
        <v>1404143</v>
      </c>
      <c r="E54" s="156" t="s">
        <v>234</v>
      </c>
      <c r="F54" s="159" t="s">
        <v>234</v>
      </c>
      <c r="G54" s="168" t="s">
        <v>234</v>
      </c>
      <c r="H54" s="169">
        <v>1365676</v>
      </c>
    </row>
    <row r="55" spans="1:8" x14ac:dyDescent="0.3">
      <c r="A55" s="171"/>
      <c r="B55" s="171" t="s">
        <v>247</v>
      </c>
      <c r="C55" s="172"/>
      <c r="D55" s="172"/>
      <c r="E55" s="171"/>
      <c r="F55" s="171"/>
      <c r="G55" s="172"/>
      <c r="H55" s="172"/>
    </row>
    <row r="56" spans="1:8" ht="15" thickBot="1" x14ac:dyDescent="0.35">
      <c r="A56" s="164" t="s">
        <v>276</v>
      </c>
      <c r="B56" s="161" t="s">
        <v>235</v>
      </c>
      <c r="C56" s="162"/>
      <c r="D56" s="162"/>
      <c r="E56" s="162"/>
      <c r="F56" s="161" t="s">
        <v>234</v>
      </c>
      <c r="G56" s="162"/>
      <c r="H56" s="162"/>
    </row>
    <row r="57" spans="1:8" x14ac:dyDescent="0.3">
      <c r="A57" s="171"/>
      <c r="B57" s="171" t="s">
        <v>247</v>
      </c>
      <c r="C57" s="172"/>
      <c r="D57" s="172"/>
      <c r="E57" s="171"/>
      <c r="F57" s="171"/>
      <c r="G57" s="172"/>
      <c r="H57" s="172"/>
    </row>
    <row r="58" spans="1:8" ht="15" thickBot="1" x14ac:dyDescent="0.35">
      <c r="A58" s="173" t="s">
        <v>277</v>
      </c>
      <c r="B58" s="159" t="s">
        <v>235</v>
      </c>
      <c r="C58" s="168" t="s">
        <v>239</v>
      </c>
      <c r="D58" s="169">
        <v>2042996</v>
      </c>
      <c r="E58" s="156" t="s">
        <v>234</v>
      </c>
      <c r="F58" s="159" t="s">
        <v>234</v>
      </c>
      <c r="G58" s="168" t="s">
        <v>239</v>
      </c>
      <c r="H58" s="169">
        <v>1889296</v>
      </c>
    </row>
    <row r="59" spans="1:8" ht="15" thickTop="1" x14ac:dyDescent="0.3">
      <c r="A59" s="171"/>
      <c r="B59" s="171" t="s">
        <v>247</v>
      </c>
      <c r="C59" s="174"/>
      <c r="D59" s="174"/>
      <c r="E59" s="171"/>
      <c r="F59" s="171"/>
      <c r="G59" s="174"/>
      <c r="H59" s="174"/>
    </row>
    <row r="60" spans="1:8" x14ac:dyDescent="0.3">
      <c r="A60" s="177" t="s">
        <v>278</v>
      </c>
    </row>
    <row r="61" spans="1:8" x14ac:dyDescent="0.3">
      <c r="A61" s="178" t="s">
        <v>234</v>
      </c>
    </row>
    <row r="62" spans="1:8" x14ac:dyDescent="0.3">
      <c r="A62" s="179">
        <v>37</v>
      </c>
    </row>
    <row r="66" spans="1:13" x14ac:dyDescent="0.3">
      <c r="A66" s="180" t="s">
        <v>279</v>
      </c>
    </row>
    <row r="68" spans="1:13" x14ac:dyDescent="0.3">
      <c r="A68" s="155" t="s">
        <v>230</v>
      </c>
    </row>
    <row r="69" spans="1:13" x14ac:dyDescent="0.3">
      <c r="A69" s="155" t="s">
        <v>280</v>
      </c>
    </row>
    <row r="70" spans="1:13" x14ac:dyDescent="0.3">
      <c r="A70" s="156" t="s">
        <v>281</v>
      </c>
    </row>
    <row r="71" spans="1:13" x14ac:dyDescent="0.3">
      <c r="A71" s="156" t="s">
        <v>282</v>
      </c>
    </row>
    <row r="72" spans="1:13" x14ac:dyDescent="0.3">
      <c r="A72" s="157"/>
    </row>
    <row r="73" spans="1:13" x14ac:dyDescent="0.3">
      <c r="A73" s="158"/>
      <c r="B73" s="158"/>
      <c r="C73" s="158"/>
      <c r="D73" s="158"/>
      <c r="E73" s="158"/>
      <c r="F73" s="158"/>
      <c r="G73" s="158"/>
      <c r="H73" s="158"/>
      <c r="I73" s="158"/>
      <c r="J73" s="158"/>
      <c r="K73" s="158"/>
      <c r="L73" s="158"/>
      <c r="M73" s="158"/>
    </row>
    <row r="74" spans="1:13" ht="15" thickBot="1" x14ac:dyDescent="0.35">
      <c r="A74" s="159" t="s">
        <v>234</v>
      </c>
      <c r="B74" s="159" t="s">
        <v>235</v>
      </c>
      <c r="C74" s="300">
        <v>2006</v>
      </c>
      <c r="D74" s="300"/>
      <c r="E74" s="159" t="s">
        <v>234</v>
      </c>
      <c r="F74" s="159" t="s">
        <v>234</v>
      </c>
      <c r="G74" s="300">
        <v>2005</v>
      </c>
      <c r="H74" s="300"/>
      <c r="I74" s="159" t="s">
        <v>234</v>
      </c>
      <c r="J74" s="159" t="s">
        <v>234</v>
      </c>
      <c r="K74" s="300">
        <v>2004</v>
      </c>
      <c r="L74" s="300"/>
      <c r="M74" s="159" t="s">
        <v>234</v>
      </c>
    </row>
    <row r="75" spans="1:13" x14ac:dyDescent="0.3">
      <c r="A75" s="164" t="s">
        <v>283</v>
      </c>
      <c r="B75" s="161" t="s">
        <v>235</v>
      </c>
      <c r="C75" s="165" t="s">
        <v>239</v>
      </c>
      <c r="D75" s="166">
        <v>5607376</v>
      </c>
      <c r="E75" s="167" t="s">
        <v>234</v>
      </c>
      <c r="F75" s="161" t="s">
        <v>234</v>
      </c>
      <c r="G75" s="165" t="s">
        <v>239</v>
      </c>
      <c r="H75" s="166">
        <v>4701289</v>
      </c>
      <c r="I75" s="167" t="s">
        <v>234</v>
      </c>
      <c r="J75" s="161" t="s">
        <v>234</v>
      </c>
      <c r="K75" s="165" t="s">
        <v>239</v>
      </c>
      <c r="L75" s="166">
        <v>3864950</v>
      </c>
      <c r="M75" s="167" t="s">
        <v>234</v>
      </c>
    </row>
    <row r="76" spans="1:13" ht="15" thickBot="1" x14ac:dyDescent="0.35">
      <c r="A76" s="163" t="s">
        <v>284</v>
      </c>
      <c r="B76" s="159" t="s">
        <v>235</v>
      </c>
      <c r="C76" s="168" t="s">
        <v>234</v>
      </c>
      <c r="D76" s="169">
        <v>3647734</v>
      </c>
      <c r="E76" s="156" t="s">
        <v>234</v>
      </c>
      <c r="F76" s="159" t="s">
        <v>234</v>
      </c>
      <c r="G76" s="168" t="s">
        <v>234</v>
      </c>
      <c r="H76" s="169">
        <v>3052184</v>
      </c>
      <c r="I76" s="156" t="s">
        <v>234</v>
      </c>
      <c r="J76" s="159" t="s">
        <v>234</v>
      </c>
      <c r="K76" s="168" t="s">
        <v>234</v>
      </c>
      <c r="L76" s="169">
        <v>2523816</v>
      </c>
      <c r="M76" s="156" t="s">
        <v>234</v>
      </c>
    </row>
    <row r="77" spans="1:13" x14ac:dyDescent="0.3">
      <c r="A77" s="171"/>
      <c r="B77" s="171" t="s">
        <v>247</v>
      </c>
      <c r="C77" s="172"/>
      <c r="D77" s="172"/>
      <c r="E77" s="171"/>
      <c r="F77" s="171"/>
      <c r="G77" s="172"/>
      <c r="H77" s="172"/>
      <c r="I77" s="171"/>
      <c r="J77" s="171"/>
      <c r="K77" s="172"/>
      <c r="L77" s="172"/>
      <c r="M77" s="171"/>
    </row>
    <row r="78" spans="1:13" x14ac:dyDescent="0.3">
      <c r="A78" s="181" t="s">
        <v>285</v>
      </c>
      <c r="B78" s="161" t="s">
        <v>235</v>
      </c>
      <c r="C78" s="165" t="s">
        <v>234</v>
      </c>
      <c r="D78" s="166">
        <v>1959642</v>
      </c>
      <c r="E78" s="167" t="s">
        <v>234</v>
      </c>
      <c r="F78" s="161" t="s">
        <v>234</v>
      </c>
      <c r="G78" s="165" t="s">
        <v>234</v>
      </c>
      <c r="H78" s="166">
        <v>1649105</v>
      </c>
      <c r="I78" s="167" t="s">
        <v>234</v>
      </c>
      <c r="J78" s="161" t="s">
        <v>234</v>
      </c>
      <c r="K78" s="165" t="s">
        <v>234</v>
      </c>
      <c r="L78" s="166">
        <v>1341134</v>
      </c>
      <c r="M78" s="167" t="s">
        <v>234</v>
      </c>
    </row>
    <row r="79" spans="1:13" x14ac:dyDescent="0.3">
      <c r="A79" s="163" t="s">
        <v>286</v>
      </c>
      <c r="B79" s="159" t="s">
        <v>235</v>
      </c>
      <c r="C79" s="168" t="s">
        <v>234</v>
      </c>
      <c r="D79" s="169">
        <v>1421968</v>
      </c>
      <c r="E79" s="156" t="s">
        <v>234</v>
      </c>
      <c r="F79" s="159" t="s">
        <v>234</v>
      </c>
      <c r="G79" s="168" t="s">
        <v>234</v>
      </c>
      <c r="H79" s="169">
        <v>1223473</v>
      </c>
      <c r="I79" s="156" t="s">
        <v>234</v>
      </c>
      <c r="J79" s="159" t="s">
        <v>234</v>
      </c>
      <c r="K79" s="168" t="s">
        <v>234</v>
      </c>
      <c r="L79" s="169">
        <v>986040</v>
      </c>
      <c r="M79" s="156" t="s">
        <v>234</v>
      </c>
    </row>
    <row r="80" spans="1:13" x14ac:dyDescent="0.3">
      <c r="A80" s="164" t="s">
        <v>287</v>
      </c>
      <c r="B80" s="161" t="s">
        <v>235</v>
      </c>
      <c r="C80" s="165" t="s">
        <v>234</v>
      </c>
      <c r="D80" s="166">
        <v>181244</v>
      </c>
      <c r="E80" s="167" t="s">
        <v>234</v>
      </c>
      <c r="F80" s="161" t="s">
        <v>234</v>
      </c>
      <c r="G80" s="165" t="s">
        <v>234</v>
      </c>
      <c r="H80" s="166">
        <v>158864</v>
      </c>
      <c r="I80" s="167" t="s">
        <v>234</v>
      </c>
      <c r="J80" s="161" t="s">
        <v>234</v>
      </c>
      <c r="K80" s="165" t="s">
        <v>234</v>
      </c>
      <c r="L80" s="166">
        <v>119800</v>
      </c>
      <c r="M80" s="167" t="s">
        <v>234</v>
      </c>
    </row>
    <row r="81" spans="1:13" ht="15" thickBot="1" x14ac:dyDescent="0.35">
      <c r="A81" s="163" t="s">
        <v>288</v>
      </c>
      <c r="B81" s="159" t="s">
        <v>235</v>
      </c>
      <c r="C81" s="168" t="s">
        <v>234</v>
      </c>
      <c r="D81" s="169">
        <v>37421</v>
      </c>
      <c r="E81" s="156" t="s">
        <v>234</v>
      </c>
      <c r="F81" s="159" t="s">
        <v>234</v>
      </c>
      <c r="G81" s="168" t="s">
        <v>234</v>
      </c>
      <c r="H81" s="169">
        <v>37035</v>
      </c>
      <c r="I81" s="156" t="s">
        <v>234</v>
      </c>
      <c r="J81" s="159" t="s">
        <v>234</v>
      </c>
      <c r="K81" s="168" t="s">
        <v>234</v>
      </c>
      <c r="L81" s="169">
        <v>18648</v>
      </c>
      <c r="M81" s="156" t="s">
        <v>234</v>
      </c>
    </row>
    <row r="82" spans="1:13" x14ac:dyDescent="0.3">
      <c r="A82" s="171"/>
      <c r="B82" s="171" t="s">
        <v>247</v>
      </c>
      <c r="C82" s="172"/>
      <c r="D82" s="172"/>
      <c r="E82" s="171"/>
      <c r="F82" s="171"/>
      <c r="G82" s="172"/>
      <c r="H82" s="172"/>
      <c r="I82" s="171"/>
      <c r="J82" s="171"/>
      <c r="K82" s="172"/>
      <c r="L82" s="172"/>
      <c r="M82" s="171"/>
    </row>
    <row r="83" spans="1:13" x14ac:dyDescent="0.3">
      <c r="A83" s="181" t="s">
        <v>289</v>
      </c>
      <c r="B83" s="161" t="s">
        <v>235</v>
      </c>
      <c r="C83" s="165" t="s">
        <v>234</v>
      </c>
      <c r="D83" s="166">
        <v>319009</v>
      </c>
      <c r="E83" s="167" t="s">
        <v>234</v>
      </c>
      <c r="F83" s="161" t="s">
        <v>234</v>
      </c>
      <c r="G83" s="165" t="s">
        <v>234</v>
      </c>
      <c r="H83" s="166">
        <v>229733</v>
      </c>
      <c r="I83" s="167" t="s">
        <v>234</v>
      </c>
      <c r="J83" s="161" t="s">
        <v>234</v>
      </c>
      <c r="K83" s="165" t="s">
        <v>234</v>
      </c>
      <c r="L83" s="166">
        <v>216646</v>
      </c>
      <c r="M83" s="167" t="s">
        <v>234</v>
      </c>
    </row>
    <row r="84" spans="1:13" x14ac:dyDescent="0.3">
      <c r="A84" s="163" t="s">
        <v>290</v>
      </c>
      <c r="B84" s="159" t="s">
        <v>235</v>
      </c>
      <c r="C84" s="158"/>
      <c r="D84" s="158"/>
      <c r="E84" s="158"/>
      <c r="F84" s="159" t="s">
        <v>234</v>
      </c>
      <c r="G84" s="158"/>
      <c r="H84" s="158"/>
      <c r="I84" s="158"/>
      <c r="J84" s="159" t="s">
        <v>234</v>
      </c>
      <c r="K84" s="158"/>
      <c r="L84" s="158"/>
      <c r="M84" s="158"/>
    </row>
    <row r="85" spans="1:13" x14ac:dyDescent="0.3">
      <c r="A85" s="164" t="s">
        <v>291</v>
      </c>
      <c r="B85" s="161" t="s">
        <v>235</v>
      </c>
      <c r="C85" s="165" t="s">
        <v>234</v>
      </c>
      <c r="D85" s="176" t="s">
        <v>292</v>
      </c>
      <c r="E85" s="167" t="s">
        <v>272</v>
      </c>
      <c r="F85" s="161" t="s">
        <v>234</v>
      </c>
      <c r="G85" s="165" t="s">
        <v>234</v>
      </c>
      <c r="H85" s="176" t="s">
        <v>293</v>
      </c>
      <c r="I85" s="167" t="s">
        <v>272</v>
      </c>
      <c r="J85" s="161" t="s">
        <v>234</v>
      </c>
      <c r="K85" s="165" t="s">
        <v>234</v>
      </c>
      <c r="L85" s="176" t="s">
        <v>294</v>
      </c>
      <c r="M85" s="167" t="s">
        <v>272</v>
      </c>
    </row>
    <row r="86" spans="1:13" ht="15" thickBot="1" x14ac:dyDescent="0.35">
      <c r="A86" s="163" t="s">
        <v>295</v>
      </c>
      <c r="B86" s="159" t="s">
        <v>235</v>
      </c>
      <c r="C86" s="168" t="s">
        <v>234</v>
      </c>
      <c r="D86" s="169">
        <v>20736</v>
      </c>
      <c r="E86" s="156" t="s">
        <v>234</v>
      </c>
      <c r="F86" s="159" t="s">
        <v>234</v>
      </c>
      <c r="G86" s="168" t="s">
        <v>234</v>
      </c>
      <c r="H86" s="169">
        <v>9623</v>
      </c>
      <c r="I86" s="156" t="s">
        <v>234</v>
      </c>
      <c r="J86" s="159" t="s">
        <v>234</v>
      </c>
      <c r="K86" s="168" t="s">
        <v>234</v>
      </c>
      <c r="L86" s="169">
        <v>6456</v>
      </c>
      <c r="M86" s="156" t="s">
        <v>234</v>
      </c>
    </row>
    <row r="87" spans="1:13" x14ac:dyDescent="0.3">
      <c r="A87" s="171"/>
      <c r="B87" s="171" t="s">
        <v>247</v>
      </c>
      <c r="C87" s="172"/>
      <c r="D87" s="172"/>
      <c r="E87" s="171"/>
      <c r="F87" s="171"/>
      <c r="G87" s="172"/>
      <c r="H87" s="172"/>
      <c r="I87" s="171"/>
      <c r="J87" s="171"/>
      <c r="K87" s="172"/>
      <c r="L87" s="172"/>
      <c r="M87" s="171"/>
    </row>
    <row r="88" spans="1:13" x14ac:dyDescent="0.3">
      <c r="A88" s="181" t="s">
        <v>296</v>
      </c>
      <c r="B88" s="161" t="s">
        <v>235</v>
      </c>
      <c r="C88" s="165" t="s">
        <v>234</v>
      </c>
      <c r="D88" s="166">
        <v>339713</v>
      </c>
      <c r="E88" s="167" t="s">
        <v>234</v>
      </c>
      <c r="F88" s="161" t="s">
        <v>234</v>
      </c>
      <c r="G88" s="165" t="s">
        <v>234</v>
      </c>
      <c r="H88" s="166">
        <v>237133</v>
      </c>
      <c r="I88" s="167" t="s">
        <v>234</v>
      </c>
      <c r="J88" s="161" t="s">
        <v>234</v>
      </c>
      <c r="K88" s="165" t="s">
        <v>234</v>
      </c>
      <c r="L88" s="166">
        <v>215853</v>
      </c>
      <c r="M88" s="167" t="s">
        <v>234</v>
      </c>
    </row>
    <row r="89" spans="1:13" ht="15" thickBot="1" x14ac:dyDescent="0.35">
      <c r="A89" s="163" t="s">
        <v>297</v>
      </c>
      <c r="B89" s="159" t="s">
        <v>235</v>
      </c>
      <c r="C89" s="168" t="s">
        <v>234</v>
      </c>
      <c r="D89" s="169">
        <v>135885</v>
      </c>
      <c r="E89" s="156" t="s">
        <v>234</v>
      </c>
      <c r="F89" s="159" t="s">
        <v>234</v>
      </c>
      <c r="G89" s="168" t="s">
        <v>234</v>
      </c>
      <c r="H89" s="169">
        <v>100782</v>
      </c>
      <c r="I89" s="156" t="s">
        <v>234</v>
      </c>
      <c r="J89" s="159" t="s">
        <v>234</v>
      </c>
      <c r="K89" s="168" t="s">
        <v>234</v>
      </c>
      <c r="L89" s="169">
        <v>86341</v>
      </c>
      <c r="M89" s="156" t="s">
        <v>234</v>
      </c>
    </row>
    <row r="90" spans="1:13" x14ac:dyDescent="0.3">
      <c r="A90" s="171"/>
      <c r="B90" s="171" t="s">
        <v>247</v>
      </c>
      <c r="C90" s="172"/>
      <c r="D90" s="172"/>
      <c r="E90" s="171"/>
      <c r="F90" s="171"/>
      <c r="G90" s="172"/>
      <c r="H90" s="172"/>
      <c r="I90" s="171"/>
      <c r="J90" s="171"/>
      <c r="K90" s="172"/>
      <c r="L90" s="172"/>
      <c r="M90" s="171"/>
    </row>
    <row r="91" spans="1:13" ht="15" thickBot="1" x14ac:dyDescent="0.35">
      <c r="A91" s="181" t="s">
        <v>298</v>
      </c>
      <c r="B91" s="161" t="s">
        <v>235</v>
      </c>
      <c r="C91" s="165" t="s">
        <v>239</v>
      </c>
      <c r="D91" s="166">
        <v>203828</v>
      </c>
      <c r="E91" s="167" t="s">
        <v>234</v>
      </c>
      <c r="F91" s="161" t="s">
        <v>234</v>
      </c>
      <c r="G91" s="165" t="s">
        <v>239</v>
      </c>
      <c r="H91" s="166">
        <v>136351</v>
      </c>
      <c r="I91" s="167" t="s">
        <v>234</v>
      </c>
      <c r="J91" s="161" t="s">
        <v>234</v>
      </c>
      <c r="K91" s="165" t="s">
        <v>239</v>
      </c>
      <c r="L91" s="166">
        <v>129512</v>
      </c>
      <c r="M91" s="167" t="s">
        <v>234</v>
      </c>
    </row>
    <row r="92" spans="1:13" ht="15" thickTop="1" x14ac:dyDescent="0.3">
      <c r="A92" s="171"/>
      <c r="B92" s="171" t="s">
        <v>247</v>
      </c>
      <c r="C92" s="174"/>
      <c r="D92" s="174"/>
      <c r="E92" s="171"/>
      <c r="F92" s="171"/>
      <c r="G92" s="174"/>
      <c r="H92" s="174"/>
      <c r="I92" s="171"/>
      <c r="J92" s="171"/>
      <c r="K92" s="174"/>
      <c r="L92" s="174"/>
      <c r="M92" s="171"/>
    </row>
    <row r="93" spans="1:13" x14ac:dyDescent="0.3">
      <c r="A93" s="158"/>
      <c r="B93" s="301"/>
      <c r="C93" s="301"/>
      <c r="D93" s="301"/>
      <c r="E93" s="301"/>
      <c r="F93" s="301"/>
      <c r="G93" s="301"/>
      <c r="H93" s="301"/>
      <c r="I93" s="301"/>
      <c r="J93" s="301"/>
      <c r="K93" s="301"/>
      <c r="L93" s="301"/>
      <c r="M93" s="301"/>
    </row>
    <row r="94" spans="1:13" ht="15" thickBot="1" x14ac:dyDescent="0.35">
      <c r="A94" s="163" t="s">
        <v>299</v>
      </c>
      <c r="B94" s="159" t="s">
        <v>235</v>
      </c>
      <c r="C94" s="168" t="s">
        <v>239</v>
      </c>
      <c r="D94" s="170">
        <v>1.46</v>
      </c>
      <c r="E94" s="156" t="s">
        <v>234</v>
      </c>
      <c r="F94" s="159" t="s">
        <v>234</v>
      </c>
      <c r="G94" s="168" t="s">
        <v>239</v>
      </c>
      <c r="H94" s="170">
        <v>1.05</v>
      </c>
      <c r="I94" s="156" t="s">
        <v>234</v>
      </c>
      <c r="J94" s="159" t="s">
        <v>234</v>
      </c>
      <c r="K94" s="168" t="s">
        <v>239</v>
      </c>
      <c r="L94" s="170">
        <v>1.06</v>
      </c>
      <c r="M94" s="156" t="s">
        <v>234</v>
      </c>
    </row>
    <row r="95" spans="1:13" ht="15" thickTop="1" x14ac:dyDescent="0.3">
      <c r="A95" s="171"/>
      <c r="B95" s="171" t="s">
        <v>247</v>
      </c>
      <c r="C95" s="174"/>
      <c r="D95" s="174"/>
      <c r="E95" s="171"/>
      <c r="F95" s="171"/>
      <c r="G95" s="174"/>
      <c r="H95" s="174"/>
      <c r="I95" s="171"/>
      <c r="J95" s="171"/>
      <c r="K95" s="174"/>
      <c r="L95" s="174"/>
      <c r="M95" s="171"/>
    </row>
    <row r="96" spans="1:13" ht="15" thickBot="1" x14ac:dyDescent="0.35">
      <c r="A96" s="164" t="s">
        <v>300</v>
      </c>
      <c r="B96" s="161" t="s">
        <v>235</v>
      </c>
      <c r="C96" s="165" t="s">
        <v>234</v>
      </c>
      <c r="D96" s="166">
        <v>139328</v>
      </c>
      <c r="E96" s="167" t="s">
        <v>234</v>
      </c>
      <c r="F96" s="161" t="s">
        <v>234</v>
      </c>
      <c r="G96" s="165" t="s">
        <v>234</v>
      </c>
      <c r="H96" s="166">
        <v>130090</v>
      </c>
      <c r="I96" s="167" t="s">
        <v>234</v>
      </c>
      <c r="J96" s="161" t="s">
        <v>234</v>
      </c>
      <c r="K96" s="165" t="s">
        <v>234</v>
      </c>
      <c r="L96" s="166">
        <v>122648</v>
      </c>
      <c r="M96" s="167" t="s">
        <v>234</v>
      </c>
    </row>
    <row r="97" spans="1:13" ht="15" thickTop="1" x14ac:dyDescent="0.3">
      <c r="A97" s="171"/>
      <c r="B97" s="171" t="s">
        <v>247</v>
      </c>
      <c r="C97" s="174"/>
      <c r="D97" s="174"/>
      <c r="E97" s="171"/>
      <c r="F97" s="171"/>
      <c r="G97" s="174"/>
      <c r="H97" s="174"/>
      <c r="I97" s="171"/>
      <c r="J97" s="171"/>
      <c r="K97" s="174"/>
      <c r="L97" s="174"/>
      <c r="M97" s="171"/>
    </row>
    <row r="98" spans="1:13" ht="15" thickBot="1" x14ac:dyDescent="0.35">
      <c r="A98" s="163" t="s">
        <v>301</v>
      </c>
      <c r="B98" s="159" t="s">
        <v>235</v>
      </c>
      <c r="C98" s="168" t="s">
        <v>239</v>
      </c>
      <c r="D98" s="170">
        <v>1.41</v>
      </c>
      <c r="E98" s="156" t="s">
        <v>234</v>
      </c>
      <c r="F98" s="159" t="s">
        <v>234</v>
      </c>
      <c r="G98" s="168" t="s">
        <v>239</v>
      </c>
      <c r="H98" s="170">
        <v>0.99</v>
      </c>
      <c r="I98" s="156" t="s">
        <v>234</v>
      </c>
      <c r="J98" s="159" t="s">
        <v>234</v>
      </c>
      <c r="K98" s="168" t="s">
        <v>239</v>
      </c>
      <c r="L98" s="170">
        <v>0.99</v>
      </c>
      <c r="M98" s="156" t="s">
        <v>234</v>
      </c>
    </row>
    <row r="99" spans="1:13" ht="15" thickTop="1" x14ac:dyDescent="0.3">
      <c r="A99" s="171"/>
      <c r="B99" s="171" t="s">
        <v>247</v>
      </c>
      <c r="C99" s="174"/>
      <c r="D99" s="174"/>
      <c r="E99" s="171"/>
      <c r="F99" s="171"/>
      <c r="G99" s="174"/>
      <c r="H99" s="174"/>
      <c r="I99" s="171"/>
      <c r="J99" s="171"/>
      <c r="K99" s="174"/>
      <c r="L99" s="174"/>
      <c r="M99" s="171"/>
    </row>
    <row r="100" spans="1:13" ht="15" thickBot="1" x14ac:dyDescent="0.35">
      <c r="A100" s="164" t="s">
        <v>302</v>
      </c>
      <c r="B100" s="161" t="s">
        <v>235</v>
      </c>
      <c r="C100" s="165" t="s">
        <v>234</v>
      </c>
      <c r="D100" s="166">
        <v>145082</v>
      </c>
      <c r="E100" s="167" t="s">
        <v>234</v>
      </c>
      <c r="F100" s="161" t="s">
        <v>234</v>
      </c>
      <c r="G100" s="165" t="s">
        <v>234</v>
      </c>
      <c r="H100" s="166">
        <v>139950</v>
      </c>
      <c r="I100" s="167" t="s">
        <v>234</v>
      </c>
      <c r="J100" s="161" t="s">
        <v>234</v>
      </c>
      <c r="K100" s="165" t="s">
        <v>234</v>
      </c>
      <c r="L100" s="166">
        <v>135454</v>
      </c>
      <c r="M100" s="167" t="s">
        <v>234</v>
      </c>
    </row>
    <row r="101" spans="1:13" ht="15" thickTop="1" x14ac:dyDescent="0.3">
      <c r="A101" s="171"/>
      <c r="B101" s="171" t="s">
        <v>247</v>
      </c>
      <c r="C101" s="174"/>
      <c r="D101" s="174"/>
      <c r="E101" s="171"/>
      <c r="F101" s="171"/>
      <c r="G101" s="174"/>
      <c r="H101" s="174"/>
      <c r="I101" s="171"/>
      <c r="J101" s="171"/>
      <c r="K101" s="174"/>
      <c r="L101" s="174"/>
      <c r="M101" s="171"/>
    </row>
    <row r="102" spans="1:13" ht="15" thickBot="1" x14ac:dyDescent="0.35">
      <c r="A102" s="163" t="s">
        <v>303</v>
      </c>
      <c r="B102" s="159" t="s">
        <v>235</v>
      </c>
      <c r="C102" s="168" t="s">
        <v>239</v>
      </c>
      <c r="D102" s="170">
        <v>2.4500000000000002</v>
      </c>
      <c r="E102" s="156" t="s">
        <v>234</v>
      </c>
      <c r="F102" s="159" t="s">
        <v>234</v>
      </c>
      <c r="G102" s="168" t="s">
        <v>239</v>
      </c>
      <c r="H102" s="170">
        <v>0.47</v>
      </c>
      <c r="I102" s="156" t="s">
        <v>234</v>
      </c>
      <c r="J102" s="159" t="s">
        <v>234</v>
      </c>
      <c r="K102" s="168" t="s">
        <v>239</v>
      </c>
      <c r="L102" s="170">
        <v>0.3</v>
      </c>
      <c r="M102" s="156" t="s">
        <v>234</v>
      </c>
    </row>
    <row r="103" spans="1:13" ht="15" thickTop="1" x14ac:dyDescent="0.3">
      <c r="A103" s="171"/>
      <c r="B103" s="171" t="s">
        <v>247</v>
      </c>
      <c r="C103" s="174"/>
      <c r="D103" s="174"/>
      <c r="E103" s="171"/>
      <c r="F103" s="171"/>
      <c r="G103" s="174"/>
      <c r="H103" s="174"/>
      <c r="I103" s="171"/>
      <c r="J103" s="171"/>
      <c r="K103" s="174"/>
      <c r="L103" s="174"/>
      <c r="M103" s="171"/>
    </row>
    <row r="104" spans="1:13" x14ac:dyDescent="0.3">
      <c r="A104" s="177" t="s">
        <v>278</v>
      </c>
    </row>
    <row r="105" spans="1:13" x14ac:dyDescent="0.3">
      <c r="A105" s="178" t="s">
        <v>234</v>
      </c>
    </row>
    <row r="106" spans="1:13" x14ac:dyDescent="0.3">
      <c r="A106" s="179">
        <v>38</v>
      </c>
    </row>
    <row r="110" spans="1:13" x14ac:dyDescent="0.3">
      <c r="A110" s="180" t="s">
        <v>279</v>
      </c>
    </row>
    <row r="112" spans="1:13" x14ac:dyDescent="0.3">
      <c r="A112" s="155" t="s">
        <v>230</v>
      </c>
    </row>
    <row r="113" spans="1:23" x14ac:dyDescent="0.3">
      <c r="A113" s="155" t="s">
        <v>304</v>
      </c>
    </row>
    <row r="114" spans="1:23" x14ac:dyDescent="0.3">
      <c r="A114" s="156" t="s">
        <v>232</v>
      </c>
    </row>
    <row r="115" spans="1:23" x14ac:dyDescent="0.3">
      <c r="A115" s="156" t="s">
        <v>282</v>
      </c>
    </row>
    <row r="116" spans="1:23" x14ac:dyDescent="0.3">
      <c r="A116" s="157"/>
    </row>
    <row r="117" spans="1:23" x14ac:dyDescent="0.3">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row>
    <row r="118" spans="1:23" x14ac:dyDescent="0.3">
      <c r="A118" s="304" t="s">
        <v>234</v>
      </c>
      <c r="B118" s="304" t="s">
        <v>235</v>
      </c>
      <c r="C118" s="182" t="s">
        <v>305</v>
      </c>
      <c r="D118" s="304" t="s">
        <v>234</v>
      </c>
      <c r="E118" s="304" t="s">
        <v>234</v>
      </c>
      <c r="F118" s="306" t="s">
        <v>306</v>
      </c>
      <c r="G118" s="306"/>
      <c r="H118" s="304" t="s">
        <v>235</v>
      </c>
      <c r="I118" s="306" t="s">
        <v>306</v>
      </c>
      <c r="J118" s="306"/>
      <c r="K118" s="304" t="s">
        <v>234</v>
      </c>
      <c r="L118" s="304" t="s">
        <v>234</v>
      </c>
      <c r="M118" s="306" t="s">
        <v>307</v>
      </c>
      <c r="N118" s="306"/>
      <c r="O118" s="304" t="s">
        <v>234</v>
      </c>
      <c r="P118" s="304" t="s">
        <v>234</v>
      </c>
      <c r="Q118" s="306" t="s">
        <v>308</v>
      </c>
      <c r="R118" s="306"/>
      <c r="S118" s="304" t="s">
        <v>234</v>
      </c>
      <c r="T118" s="304" t="s">
        <v>234</v>
      </c>
      <c r="U118" s="306" t="s">
        <v>19</v>
      </c>
      <c r="V118" s="306"/>
      <c r="W118" s="304" t="s">
        <v>234</v>
      </c>
    </row>
    <row r="119" spans="1:23" x14ac:dyDescent="0.3">
      <c r="A119" s="304"/>
      <c r="B119" s="304"/>
      <c r="C119" s="182" t="s">
        <v>309</v>
      </c>
      <c r="D119" s="304"/>
      <c r="E119" s="304"/>
      <c r="F119" s="306" t="s">
        <v>310</v>
      </c>
      <c r="G119" s="306"/>
      <c r="H119" s="304"/>
      <c r="I119" s="306" t="s">
        <v>311</v>
      </c>
      <c r="J119" s="306"/>
      <c r="K119" s="304"/>
      <c r="L119" s="304"/>
      <c r="M119" s="306" t="s">
        <v>312</v>
      </c>
      <c r="N119" s="306"/>
      <c r="O119" s="304"/>
      <c r="P119" s="304"/>
      <c r="Q119" s="306" t="s">
        <v>313</v>
      </c>
      <c r="R119" s="306"/>
      <c r="S119" s="304"/>
      <c r="T119" s="304"/>
      <c r="U119" s="306" t="s">
        <v>314</v>
      </c>
      <c r="V119" s="306"/>
      <c r="W119" s="304"/>
    </row>
    <row r="120" spans="1:23" x14ac:dyDescent="0.3">
      <c r="A120" s="304"/>
      <c r="B120" s="304"/>
      <c r="C120" s="182"/>
      <c r="D120" s="304"/>
      <c r="E120" s="304"/>
      <c r="F120" s="306"/>
      <c r="G120" s="306"/>
      <c r="H120" s="304"/>
      <c r="I120" s="306" t="s">
        <v>315</v>
      </c>
      <c r="J120" s="306"/>
      <c r="K120" s="304"/>
      <c r="L120" s="304"/>
      <c r="M120" s="306" t="s">
        <v>316</v>
      </c>
      <c r="N120" s="306"/>
      <c r="O120" s="304"/>
      <c r="P120" s="304"/>
      <c r="Q120" s="306"/>
      <c r="R120" s="306"/>
      <c r="S120" s="304"/>
      <c r="T120" s="304"/>
      <c r="U120" s="306" t="s">
        <v>317</v>
      </c>
      <c r="V120" s="306"/>
      <c r="W120" s="304"/>
    </row>
    <row r="121" spans="1:23" ht="15" thickBot="1" x14ac:dyDescent="0.35">
      <c r="A121" s="304"/>
      <c r="B121" s="304"/>
      <c r="C121" s="183"/>
      <c r="D121" s="304"/>
      <c r="E121" s="304"/>
      <c r="F121" s="300"/>
      <c r="G121" s="300"/>
      <c r="H121" s="304"/>
      <c r="I121" s="300"/>
      <c r="J121" s="300"/>
      <c r="K121" s="304"/>
      <c r="L121" s="304"/>
      <c r="M121" s="300" t="s">
        <v>318</v>
      </c>
      <c r="N121" s="300"/>
      <c r="O121" s="304"/>
      <c r="P121" s="304"/>
      <c r="Q121" s="300"/>
      <c r="R121" s="300"/>
      <c r="S121" s="304"/>
      <c r="T121" s="304"/>
      <c r="U121" s="300"/>
      <c r="V121" s="300"/>
      <c r="W121" s="304"/>
    </row>
    <row r="122" spans="1:23" ht="15" thickBot="1" x14ac:dyDescent="0.35">
      <c r="A122" s="164" t="s">
        <v>319</v>
      </c>
      <c r="B122" s="161" t="s">
        <v>235</v>
      </c>
      <c r="C122" s="166">
        <v>120140</v>
      </c>
      <c r="D122" s="167" t="s">
        <v>234</v>
      </c>
      <c r="E122" s="161" t="s">
        <v>234</v>
      </c>
      <c r="F122" s="165" t="s">
        <v>239</v>
      </c>
      <c r="G122" s="166">
        <v>423297</v>
      </c>
      <c r="H122" s="161" t="s">
        <v>235</v>
      </c>
      <c r="I122" s="165" t="s">
        <v>239</v>
      </c>
      <c r="J122" s="176" t="s">
        <v>241</v>
      </c>
      <c r="K122" s="167" t="s">
        <v>234</v>
      </c>
      <c r="L122" s="161" t="s">
        <v>234</v>
      </c>
      <c r="M122" s="165" t="s">
        <v>239</v>
      </c>
      <c r="N122" s="166">
        <v>1624</v>
      </c>
      <c r="O122" s="167" t="s">
        <v>234</v>
      </c>
      <c r="P122" s="161" t="s">
        <v>234</v>
      </c>
      <c r="Q122" s="165" t="s">
        <v>239</v>
      </c>
      <c r="R122" s="166">
        <v>320055</v>
      </c>
      <c r="S122" s="167" t="s">
        <v>234</v>
      </c>
      <c r="T122" s="161" t="s">
        <v>234</v>
      </c>
      <c r="U122" s="165" t="s">
        <v>239</v>
      </c>
      <c r="V122" s="166">
        <v>744976</v>
      </c>
      <c r="W122" s="167" t="s">
        <v>234</v>
      </c>
    </row>
    <row r="123" spans="1:23" x14ac:dyDescent="0.3">
      <c r="A123" s="171"/>
      <c r="B123" s="171" t="s">
        <v>247</v>
      </c>
      <c r="C123" s="172"/>
      <c r="D123" s="171"/>
      <c r="E123" s="171"/>
      <c r="F123" s="172"/>
      <c r="G123" s="172"/>
      <c r="H123" s="171" t="s">
        <v>247</v>
      </c>
      <c r="I123" s="172"/>
      <c r="J123" s="172"/>
      <c r="K123" s="171"/>
      <c r="L123" s="171"/>
      <c r="M123" s="172"/>
      <c r="N123" s="172"/>
      <c r="O123" s="171"/>
      <c r="P123" s="171"/>
      <c r="Q123" s="172"/>
      <c r="R123" s="172"/>
      <c r="S123" s="171"/>
      <c r="T123" s="171"/>
      <c r="U123" s="172"/>
      <c r="V123" s="172"/>
      <c r="W123" s="171"/>
    </row>
    <row r="124" spans="1:23" x14ac:dyDescent="0.3">
      <c r="A124" s="163" t="s">
        <v>298</v>
      </c>
      <c r="B124" s="159" t="s">
        <v>235</v>
      </c>
      <c r="C124" s="170" t="s">
        <v>241</v>
      </c>
      <c r="D124" s="156" t="s">
        <v>234</v>
      </c>
      <c r="E124" s="159" t="s">
        <v>234</v>
      </c>
      <c r="F124" s="168" t="s">
        <v>234</v>
      </c>
      <c r="G124" s="170" t="s">
        <v>241</v>
      </c>
      <c r="H124" s="159" t="s">
        <v>235</v>
      </c>
      <c r="I124" s="168" t="s">
        <v>234</v>
      </c>
      <c r="J124" s="170" t="s">
        <v>241</v>
      </c>
      <c r="K124" s="156" t="s">
        <v>234</v>
      </c>
      <c r="L124" s="159" t="s">
        <v>234</v>
      </c>
      <c r="M124" s="168" t="s">
        <v>234</v>
      </c>
      <c r="N124" s="170" t="s">
        <v>241</v>
      </c>
      <c r="O124" s="156" t="s">
        <v>234</v>
      </c>
      <c r="P124" s="159" t="s">
        <v>234</v>
      </c>
      <c r="Q124" s="168" t="s">
        <v>234</v>
      </c>
      <c r="R124" s="169">
        <v>129512</v>
      </c>
      <c r="S124" s="156" t="s">
        <v>234</v>
      </c>
      <c r="T124" s="159" t="s">
        <v>234</v>
      </c>
      <c r="U124" s="168" t="s">
        <v>234</v>
      </c>
      <c r="V124" s="169">
        <v>129512</v>
      </c>
      <c r="W124" s="156" t="s">
        <v>234</v>
      </c>
    </row>
    <row r="125" spans="1:23" x14ac:dyDescent="0.3">
      <c r="A125" s="164" t="s">
        <v>320</v>
      </c>
      <c r="B125" s="161" t="s">
        <v>235</v>
      </c>
      <c r="C125" s="176" t="s">
        <v>241</v>
      </c>
      <c r="D125" s="167" t="s">
        <v>234</v>
      </c>
      <c r="E125" s="161" t="s">
        <v>234</v>
      </c>
      <c r="F125" s="165" t="s">
        <v>234</v>
      </c>
      <c r="G125" s="176" t="s">
        <v>241</v>
      </c>
      <c r="H125" s="161" t="s">
        <v>235</v>
      </c>
      <c r="I125" s="165" t="s">
        <v>234</v>
      </c>
      <c r="J125" s="176" t="s">
        <v>241</v>
      </c>
      <c r="K125" s="167" t="s">
        <v>234</v>
      </c>
      <c r="L125" s="161" t="s">
        <v>234</v>
      </c>
      <c r="M125" s="165" t="s">
        <v>234</v>
      </c>
      <c r="N125" s="176">
        <v>856</v>
      </c>
      <c r="O125" s="167" t="s">
        <v>234</v>
      </c>
      <c r="P125" s="161" t="s">
        <v>234</v>
      </c>
      <c r="Q125" s="165" t="s">
        <v>234</v>
      </c>
      <c r="R125" s="176" t="s">
        <v>241</v>
      </c>
      <c r="S125" s="167" t="s">
        <v>234</v>
      </c>
      <c r="T125" s="161" t="s">
        <v>234</v>
      </c>
      <c r="U125" s="165" t="s">
        <v>234</v>
      </c>
      <c r="V125" s="176">
        <v>856</v>
      </c>
      <c r="W125" s="167" t="s">
        <v>234</v>
      </c>
    </row>
    <row r="126" spans="1:23" x14ac:dyDescent="0.3">
      <c r="A126" s="163" t="s">
        <v>321</v>
      </c>
      <c r="B126" s="159" t="s">
        <v>235</v>
      </c>
      <c r="C126" s="170" t="s">
        <v>241</v>
      </c>
      <c r="D126" s="156" t="s">
        <v>234</v>
      </c>
      <c r="E126" s="159" t="s">
        <v>234</v>
      </c>
      <c r="F126" s="168" t="s">
        <v>234</v>
      </c>
      <c r="G126" s="170" t="s">
        <v>241</v>
      </c>
      <c r="H126" s="159" t="s">
        <v>235</v>
      </c>
      <c r="I126" s="168" t="s">
        <v>234</v>
      </c>
      <c r="J126" s="170" t="s">
        <v>241</v>
      </c>
      <c r="K126" s="156" t="s">
        <v>234</v>
      </c>
      <c r="L126" s="159" t="s">
        <v>234</v>
      </c>
      <c r="M126" s="168" t="s">
        <v>234</v>
      </c>
      <c r="N126" s="170">
        <v>88</v>
      </c>
      <c r="O126" s="156" t="s">
        <v>234</v>
      </c>
      <c r="P126" s="159" t="s">
        <v>234</v>
      </c>
      <c r="Q126" s="168" t="s">
        <v>234</v>
      </c>
      <c r="R126" s="170" t="s">
        <v>241</v>
      </c>
      <c r="S126" s="156" t="s">
        <v>234</v>
      </c>
      <c r="T126" s="159" t="s">
        <v>234</v>
      </c>
      <c r="U126" s="168" t="s">
        <v>234</v>
      </c>
      <c r="V126" s="170">
        <v>88</v>
      </c>
      <c r="W126" s="156" t="s">
        <v>234</v>
      </c>
    </row>
    <row r="127" spans="1:23" ht="15" thickBot="1" x14ac:dyDescent="0.35">
      <c r="A127" s="164" t="s">
        <v>322</v>
      </c>
      <c r="B127" s="161" t="s">
        <v>235</v>
      </c>
      <c r="C127" s="176" t="s">
        <v>241</v>
      </c>
      <c r="D127" s="167" t="s">
        <v>234</v>
      </c>
      <c r="E127" s="161" t="s">
        <v>234</v>
      </c>
      <c r="F127" s="165" t="s">
        <v>234</v>
      </c>
      <c r="G127" s="176" t="s">
        <v>241</v>
      </c>
      <c r="H127" s="161" t="s">
        <v>235</v>
      </c>
      <c r="I127" s="165" t="s">
        <v>234</v>
      </c>
      <c r="J127" s="176" t="s">
        <v>241</v>
      </c>
      <c r="K127" s="167" t="s">
        <v>234</v>
      </c>
      <c r="L127" s="161" t="s">
        <v>234</v>
      </c>
      <c r="M127" s="165" t="s">
        <v>234</v>
      </c>
      <c r="N127" s="176" t="s">
        <v>323</v>
      </c>
      <c r="O127" s="167" t="s">
        <v>272</v>
      </c>
      <c r="P127" s="161" t="s">
        <v>234</v>
      </c>
      <c r="Q127" s="165" t="s">
        <v>234</v>
      </c>
      <c r="R127" s="176" t="s">
        <v>241</v>
      </c>
      <c r="S127" s="167" t="s">
        <v>234</v>
      </c>
      <c r="T127" s="161" t="s">
        <v>234</v>
      </c>
      <c r="U127" s="165" t="s">
        <v>234</v>
      </c>
      <c r="V127" s="176" t="s">
        <v>323</v>
      </c>
      <c r="W127" s="167" t="s">
        <v>272</v>
      </c>
    </row>
    <row r="128" spans="1:23" x14ac:dyDescent="0.3">
      <c r="A128" s="171"/>
      <c r="B128" s="171" t="s">
        <v>247</v>
      </c>
      <c r="C128" s="172"/>
      <c r="D128" s="171"/>
      <c r="E128" s="171"/>
      <c r="F128" s="172"/>
      <c r="G128" s="172"/>
      <c r="H128" s="171" t="s">
        <v>247</v>
      </c>
      <c r="I128" s="172"/>
      <c r="J128" s="172"/>
      <c r="K128" s="171"/>
      <c r="L128" s="171"/>
      <c r="M128" s="172"/>
      <c r="N128" s="172"/>
      <c r="O128" s="171"/>
      <c r="P128" s="171"/>
      <c r="Q128" s="172"/>
      <c r="R128" s="172"/>
      <c r="S128" s="171"/>
      <c r="T128" s="171"/>
      <c r="U128" s="172"/>
      <c r="V128" s="172"/>
      <c r="W128" s="171"/>
    </row>
    <row r="129" spans="1:23" x14ac:dyDescent="0.3">
      <c r="A129" s="163" t="s">
        <v>324</v>
      </c>
      <c r="B129" s="159" t="s">
        <v>235</v>
      </c>
      <c r="C129" s="170" t="s">
        <v>241</v>
      </c>
      <c r="D129" s="156" t="s">
        <v>234</v>
      </c>
      <c r="E129" s="159" t="s">
        <v>234</v>
      </c>
      <c r="F129" s="168" t="s">
        <v>234</v>
      </c>
      <c r="G129" s="170" t="s">
        <v>241</v>
      </c>
      <c r="H129" s="159" t="s">
        <v>235</v>
      </c>
      <c r="I129" s="168" t="s">
        <v>234</v>
      </c>
      <c r="J129" s="170" t="s">
        <v>241</v>
      </c>
      <c r="K129" s="156" t="s">
        <v>234</v>
      </c>
      <c r="L129" s="159" t="s">
        <v>234</v>
      </c>
      <c r="M129" s="168" t="s">
        <v>234</v>
      </c>
      <c r="N129" s="170">
        <v>429</v>
      </c>
      <c r="O129" s="156" t="s">
        <v>234</v>
      </c>
      <c r="P129" s="159" t="s">
        <v>234</v>
      </c>
      <c r="Q129" s="168" t="s">
        <v>234</v>
      </c>
      <c r="R129" s="169">
        <v>129512</v>
      </c>
      <c r="S129" s="156" t="s">
        <v>234</v>
      </c>
      <c r="T129" s="159" t="s">
        <v>234</v>
      </c>
      <c r="U129" s="168" t="s">
        <v>234</v>
      </c>
      <c r="V129" s="169">
        <v>129941</v>
      </c>
      <c r="W129" s="156" t="s">
        <v>234</v>
      </c>
    </row>
    <row r="130" spans="1:23" x14ac:dyDescent="0.3">
      <c r="A130" s="164" t="s">
        <v>325</v>
      </c>
      <c r="B130" s="161" t="s">
        <v>235</v>
      </c>
      <c r="C130" s="176" t="s">
        <v>241</v>
      </c>
      <c r="D130" s="167" t="s">
        <v>234</v>
      </c>
      <c r="E130" s="161" t="s">
        <v>234</v>
      </c>
      <c r="F130" s="165" t="s">
        <v>234</v>
      </c>
      <c r="G130" s="176" t="s">
        <v>241</v>
      </c>
      <c r="H130" s="161" t="s">
        <v>235</v>
      </c>
      <c r="I130" s="165" t="s">
        <v>234</v>
      </c>
      <c r="J130" s="176" t="s">
        <v>241</v>
      </c>
      <c r="K130" s="167" t="s">
        <v>234</v>
      </c>
      <c r="L130" s="161" t="s">
        <v>234</v>
      </c>
      <c r="M130" s="165" t="s">
        <v>234</v>
      </c>
      <c r="N130" s="176" t="s">
        <v>241</v>
      </c>
      <c r="O130" s="167" t="s">
        <v>234</v>
      </c>
      <c r="P130" s="161" t="s">
        <v>234</v>
      </c>
      <c r="Q130" s="165" t="s">
        <v>234</v>
      </c>
      <c r="R130" s="176" t="s">
        <v>326</v>
      </c>
      <c r="S130" s="167" t="s">
        <v>272</v>
      </c>
      <c r="T130" s="161" t="s">
        <v>234</v>
      </c>
      <c r="U130" s="165" t="s">
        <v>234</v>
      </c>
      <c r="V130" s="176" t="s">
        <v>326</v>
      </c>
      <c r="W130" s="167" t="s">
        <v>272</v>
      </c>
    </row>
    <row r="131" spans="1:23" x14ac:dyDescent="0.3">
      <c r="A131" s="163" t="s">
        <v>327</v>
      </c>
      <c r="B131" s="159" t="s">
        <v>235</v>
      </c>
      <c r="C131" s="169">
        <v>4184</v>
      </c>
      <c r="D131" s="156" t="s">
        <v>234</v>
      </c>
      <c r="E131" s="159" t="s">
        <v>234</v>
      </c>
      <c r="F131" s="168" t="s">
        <v>234</v>
      </c>
      <c r="G131" s="169">
        <v>59518</v>
      </c>
      <c r="H131" s="159" t="s">
        <v>235</v>
      </c>
      <c r="I131" s="168" t="s">
        <v>234</v>
      </c>
      <c r="J131" s="170" t="s">
        <v>241</v>
      </c>
      <c r="K131" s="156" t="s">
        <v>234</v>
      </c>
      <c r="L131" s="159" t="s">
        <v>234</v>
      </c>
      <c r="M131" s="168" t="s">
        <v>234</v>
      </c>
      <c r="N131" s="170" t="s">
        <v>241</v>
      </c>
      <c r="O131" s="156" t="s">
        <v>234</v>
      </c>
      <c r="P131" s="159" t="s">
        <v>234</v>
      </c>
      <c r="Q131" s="168" t="s">
        <v>234</v>
      </c>
      <c r="R131" s="170" t="s">
        <v>241</v>
      </c>
      <c r="S131" s="156" t="s">
        <v>234</v>
      </c>
      <c r="T131" s="159" t="s">
        <v>234</v>
      </c>
      <c r="U131" s="168" t="s">
        <v>234</v>
      </c>
      <c r="V131" s="169">
        <v>59518</v>
      </c>
      <c r="W131" s="156" t="s">
        <v>234</v>
      </c>
    </row>
    <row r="132" spans="1:23" x14ac:dyDescent="0.3">
      <c r="A132" s="164" t="s">
        <v>328</v>
      </c>
      <c r="B132" s="161" t="s">
        <v>235</v>
      </c>
      <c r="C132" s="176">
        <v>478</v>
      </c>
      <c r="D132" s="167" t="s">
        <v>234</v>
      </c>
      <c r="E132" s="161" t="s">
        <v>234</v>
      </c>
      <c r="F132" s="165" t="s">
        <v>234</v>
      </c>
      <c r="G132" s="166">
        <v>16375</v>
      </c>
      <c r="H132" s="161" t="s">
        <v>235</v>
      </c>
      <c r="I132" s="165" t="s">
        <v>234</v>
      </c>
      <c r="J132" s="176" t="s">
        <v>241</v>
      </c>
      <c r="K132" s="167" t="s">
        <v>234</v>
      </c>
      <c r="L132" s="161" t="s">
        <v>234</v>
      </c>
      <c r="M132" s="165" t="s">
        <v>234</v>
      </c>
      <c r="N132" s="176" t="s">
        <v>241</v>
      </c>
      <c r="O132" s="167" t="s">
        <v>234</v>
      </c>
      <c r="P132" s="161" t="s">
        <v>234</v>
      </c>
      <c r="Q132" s="165" t="s">
        <v>234</v>
      </c>
      <c r="R132" s="176" t="s">
        <v>241</v>
      </c>
      <c r="S132" s="167" t="s">
        <v>234</v>
      </c>
      <c r="T132" s="161" t="s">
        <v>234</v>
      </c>
      <c r="U132" s="165" t="s">
        <v>234</v>
      </c>
      <c r="V132" s="166">
        <v>16375</v>
      </c>
      <c r="W132" s="167" t="s">
        <v>234</v>
      </c>
    </row>
    <row r="133" spans="1:23" x14ac:dyDescent="0.3">
      <c r="A133" s="163" t="s">
        <v>329</v>
      </c>
      <c r="B133" s="159" t="s">
        <v>235</v>
      </c>
      <c r="C133" s="170" t="s">
        <v>241</v>
      </c>
      <c r="D133" s="156" t="s">
        <v>234</v>
      </c>
      <c r="E133" s="159" t="s">
        <v>234</v>
      </c>
      <c r="F133" s="168" t="s">
        <v>234</v>
      </c>
      <c r="G133" s="169">
        <v>35583</v>
      </c>
      <c r="H133" s="159" t="s">
        <v>235</v>
      </c>
      <c r="I133" s="168" t="s">
        <v>234</v>
      </c>
      <c r="J133" s="170" t="s">
        <v>241</v>
      </c>
      <c r="K133" s="156" t="s">
        <v>234</v>
      </c>
      <c r="L133" s="159" t="s">
        <v>234</v>
      </c>
      <c r="M133" s="168" t="s">
        <v>234</v>
      </c>
      <c r="N133" s="170" t="s">
        <v>241</v>
      </c>
      <c r="O133" s="156" t="s">
        <v>234</v>
      </c>
      <c r="P133" s="159" t="s">
        <v>234</v>
      </c>
      <c r="Q133" s="168" t="s">
        <v>234</v>
      </c>
      <c r="R133" s="170" t="s">
        <v>241</v>
      </c>
      <c r="S133" s="156" t="s">
        <v>234</v>
      </c>
      <c r="T133" s="159" t="s">
        <v>234</v>
      </c>
      <c r="U133" s="168" t="s">
        <v>234</v>
      </c>
      <c r="V133" s="169">
        <v>35583</v>
      </c>
      <c r="W133" s="156" t="s">
        <v>234</v>
      </c>
    </row>
    <row r="134" spans="1:23" ht="15" thickBot="1" x14ac:dyDescent="0.35">
      <c r="A134" s="164" t="s">
        <v>312</v>
      </c>
      <c r="B134" s="161" t="s">
        <v>235</v>
      </c>
      <c r="C134" s="176">
        <v>12</v>
      </c>
      <c r="D134" s="167" t="s">
        <v>234</v>
      </c>
      <c r="E134" s="161" t="s">
        <v>234</v>
      </c>
      <c r="F134" s="165" t="s">
        <v>234</v>
      </c>
      <c r="G134" s="176">
        <v>334</v>
      </c>
      <c r="H134" s="161" t="s">
        <v>235</v>
      </c>
      <c r="I134" s="165" t="s">
        <v>234</v>
      </c>
      <c r="J134" s="176" t="s">
        <v>241</v>
      </c>
      <c r="K134" s="167" t="s">
        <v>234</v>
      </c>
      <c r="L134" s="161" t="s">
        <v>234</v>
      </c>
      <c r="M134" s="165" t="s">
        <v>234</v>
      </c>
      <c r="N134" s="176" t="s">
        <v>241</v>
      </c>
      <c r="O134" s="167" t="s">
        <v>234</v>
      </c>
      <c r="P134" s="161" t="s">
        <v>234</v>
      </c>
      <c r="Q134" s="165" t="s">
        <v>234</v>
      </c>
      <c r="R134" s="176" t="s">
        <v>241</v>
      </c>
      <c r="S134" s="167" t="s">
        <v>234</v>
      </c>
      <c r="T134" s="161" t="s">
        <v>234</v>
      </c>
      <c r="U134" s="165" t="s">
        <v>234</v>
      </c>
      <c r="V134" s="176">
        <v>334</v>
      </c>
      <c r="W134" s="167" t="s">
        <v>234</v>
      </c>
    </row>
    <row r="135" spans="1:23" x14ac:dyDescent="0.3">
      <c r="A135" s="171"/>
      <c r="B135" s="171" t="s">
        <v>247</v>
      </c>
      <c r="C135" s="172"/>
      <c r="D135" s="171"/>
      <c r="E135" s="171"/>
      <c r="F135" s="172"/>
      <c r="G135" s="172"/>
      <c r="H135" s="171" t="s">
        <v>247</v>
      </c>
      <c r="I135" s="172"/>
      <c r="J135" s="172"/>
      <c r="K135" s="171"/>
      <c r="L135" s="171"/>
      <c r="M135" s="172"/>
      <c r="N135" s="172"/>
      <c r="O135" s="171"/>
      <c r="P135" s="171"/>
      <c r="Q135" s="172"/>
      <c r="R135" s="172"/>
      <c r="S135" s="171"/>
      <c r="T135" s="171"/>
      <c r="U135" s="172"/>
      <c r="V135" s="172"/>
      <c r="W135" s="171"/>
    </row>
    <row r="136" spans="1:23" ht="15" thickBot="1" x14ac:dyDescent="0.35">
      <c r="A136" s="163" t="s">
        <v>330</v>
      </c>
      <c r="B136" s="159" t="s">
        <v>235</v>
      </c>
      <c r="C136" s="169">
        <v>124814</v>
      </c>
      <c r="D136" s="156" t="s">
        <v>234</v>
      </c>
      <c r="E136" s="159" t="s">
        <v>234</v>
      </c>
      <c r="F136" s="168" t="s">
        <v>234</v>
      </c>
      <c r="G136" s="169">
        <v>535107</v>
      </c>
      <c r="H136" s="159" t="s">
        <v>235</v>
      </c>
      <c r="I136" s="168" t="s">
        <v>234</v>
      </c>
      <c r="J136" s="170" t="s">
        <v>241</v>
      </c>
      <c r="K136" s="156" t="s">
        <v>234</v>
      </c>
      <c r="L136" s="159" t="s">
        <v>234</v>
      </c>
      <c r="M136" s="168" t="s">
        <v>234</v>
      </c>
      <c r="N136" s="169">
        <v>2053</v>
      </c>
      <c r="O136" s="156" t="s">
        <v>234</v>
      </c>
      <c r="P136" s="159" t="s">
        <v>234</v>
      </c>
      <c r="Q136" s="168" t="s">
        <v>234</v>
      </c>
      <c r="R136" s="169">
        <v>412478</v>
      </c>
      <c r="S136" s="156" t="s">
        <v>234</v>
      </c>
      <c r="T136" s="159" t="s">
        <v>234</v>
      </c>
      <c r="U136" s="168" t="s">
        <v>234</v>
      </c>
      <c r="V136" s="169">
        <v>949638</v>
      </c>
      <c r="W136" s="156" t="s">
        <v>234</v>
      </c>
    </row>
    <row r="137" spans="1:23" x14ac:dyDescent="0.3">
      <c r="A137" s="171"/>
      <c r="B137" s="171" t="s">
        <v>247</v>
      </c>
      <c r="C137" s="172"/>
      <c r="D137" s="171"/>
      <c r="E137" s="171"/>
      <c r="F137" s="172"/>
      <c r="G137" s="172"/>
      <c r="H137" s="171" t="s">
        <v>247</v>
      </c>
      <c r="I137" s="172"/>
      <c r="J137" s="172"/>
      <c r="K137" s="171"/>
      <c r="L137" s="171"/>
      <c r="M137" s="172"/>
      <c r="N137" s="172"/>
      <c r="O137" s="171"/>
      <c r="P137" s="171"/>
      <c r="Q137" s="172"/>
      <c r="R137" s="172"/>
      <c r="S137" s="171"/>
      <c r="T137" s="171"/>
      <c r="U137" s="172"/>
      <c r="V137" s="172"/>
      <c r="W137" s="171"/>
    </row>
    <row r="138" spans="1:23" x14ac:dyDescent="0.3">
      <c r="A138" s="164" t="s">
        <v>298</v>
      </c>
      <c r="B138" s="161" t="s">
        <v>235</v>
      </c>
      <c r="C138" s="176" t="s">
        <v>241</v>
      </c>
      <c r="D138" s="167" t="s">
        <v>234</v>
      </c>
      <c r="E138" s="161" t="s">
        <v>234</v>
      </c>
      <c r="F138" s="165" t="s">
        <v>234</v>
      </c>
      <c r="G138" s="176" t="s">
        <v>241</v>
      </c>
      <c r="H138" s="161" t="s">
        <v>235</v>
      </c>
      <c r="I138" s="165" t="s">
        <v>234</v>
      </c>
      <c r="J138" s="176" t="s">
        <v>241</v>
      </c>
      <c r="K138" s="167" t="s">
        <v>234</v>
      </c>
      <c r="L138" s="161" t="s">
        <v>234</v>
      </c>
      <c r="M138" s="165" t="s">
        <v>234</v>
      </c>
      <c r="N138" s="176" t="s">
        <v>241</v>
      </c>
      <c r="O138" s="167" t="s">
        <v>234</v>
      </c>
      <c r="P138" s="161" t="s">
        <v>234</v>
      </c>
      <c r="Q138" s="165" t="s">
        <v>234</v>
      </c>
      <c r="R138" s="166">
        <v>136351</v>
      </c>
      <c r="S138" s="167" t="s">
        <v>234</v>
      </c>
      <c r="T138" s="161" t="s">
        <v>234</v>
      </c>
      <c r="U138" s="165" t="s">
        <v>234</v>
      </c>
      <c r="V138" s="166">
        <v>136351</v>
      </c>
      <c r="W138" s="167" t="s">
        <v>234</v>
      </c>
    </row>
    <row r="139" spans="1:23" x14ac:dyDescent="0.3">
      <c r="A139" s="163" t="s">
        <v>320</v>
      </c>
      <c r="B139" s="159" t="s">
        <v>235</v>
      </c>
      <c r="C139" s="170" t="s">
        <v>241</v>
      </c>
      <c r="D139" s="156" t="s">
        <v>234</v>
      </c>
      <c r="E139" s="159" t="s">
        <v>234</v>
      </c>
      <c r="F139" s="168" t="s">
        <v>234</v>
      </c>
      <c r="G139" s="170" t="s">
        <v>241</v>
      </c>
      <c r="H139" s="159" t="s">
        <v>235</v>
      </c>
      <c r="I139" s="168" t="s">
        <v>234</v>
      </c>
      <c r="J139" s="170" t="s">
        <v>241</v>
      </c>
      <c r="K139" s="156" t="s">
        <v>234</v>
      </c>
      <c r="L139" s="159" t="s">
        <v>234</v>
      </c>
      <c r="M139" s="168" t="s">
        <v>234</v>
      </c>
      <c r="N139" s="169">
        <v>1893</v>
      </c>
      <c r="O139" s="156" t="s">
        <v>234</v>
      </c>
      <c r="P139" s="159" t="s">
        <v>234</v>
      </c>
      <c r="Q139" s="168" t="s">
        <v>234</v>
      </c>
      <c r="R139" s="170" t="s">
        <v>241</v>
      </c>
      <c r="S139" s="156" t="s">
        <v>234</v>
      </c>
      <c r="T139" s="159" t="s">
        <v>234</v>
      </c>
      <c r="U139" s="168" t="s">
        <v>234</v>
      </c>
      <c r="V139" s="169">
        <v>1893</v>
      </c>
      <c r="W139" s="156" t="s">
        <v>234</v>
      </c>
    </row>
    <row r="140" spans="1:23" x14ac:dyDescent="0.3">
      <c r="A140" s="164" t="s">
        <v>321</v>
      </c>
      <c r="B140" s="161" t="s">
        <v>235</v>
      </c>
      <c r="C140" s="176" t="s">
        <v>241</v>
      </c>
      <c r="D140" s="167" t="s">
        <v>234</v>
      </c>
      <c r="E140" s="161" t="s">
        <v>234</v>
      </c>
      <c r="F140" s="165" t="s">
        <v>234</v>
      </c>
      <c r="G140" s="176" t="s">
        <v>241</v>
      </c>
      <c r="H140" s="161" t="s">
        <v>235</v>
      </c>
      <c r="I140" s="165" t="s">
        <v>234</v>
      </c>
      <c r="J140" s="176" t="s">
        <v>241</v>
      </c>
      <c r="K140" s="167" t="s">
        <v>234</v>
      </c>
      <c r="L140" s="161" t="s">
        <v>234</v>
      </c>
      <c r="M140" s="165" t="s">
        <v>234</v>
      </c>
      <c r="N140" s="166">
        <v>1063</v>
      </c>
      <c r="O140" s="167" t="s">
        <v>234</v>
      </c>
      <c r="P140" s="161" t="s">
        <v>234</v>
      </c>
      <c r="Q140" s="165" t="s">
        <v>234</v>
      </c>
      <c r="R140" s="176" t="s">
        <v>241</v>
      </c>
      <c r="S140" s="167" t="s">
        <v>234</v>
      </c>
      <c r="T140" s="161" t="s">
        <v>234</v>
      </c>
      <c r="U140" s="165" t="s">
        <v>234</v>
      </c>
      <c r="V140" s="166">
        <v>1063</v>
      </c>
      <c r="W140" s="167" t="s">
        <v>234</v>
      </c>
    </row>
    <row r="141" spans="1:23" ht="15" thickBot="1" x14ac:dyDescent="0.35">
      <c r="A141" s="163" t="s">
        <v>322</v>
      </c>
      <c r="B141" s="159" t="s">
        <v>235</v>
      </c>
      <c r="C141" s="170" t="s">
        <v>241</v>
      </c>
      <c r="D141" s="156" t="s">
        <v>234</v>
      </c>
      <c r="E141" s="159" t="s">
        <v>234</v>
      </c>
      <c r="F141" s="168" t="s">
        <v>234</v>
      </c>
      <c r="G141" s="170" t="s">
        <v>241</v>
      </c>
      <c r="H141" s="159" t="s">
        <v>235</v>
      </c>
      <c r="I141" s="168" t="s">
        <v>234</v>
      </c>
      <c r="J141" s="170" t="s">
        <v>241</v>
      </c>
      <c r="K141" s="156" t="s">
        <v>234</v>
      </c>
      <c r="L141" s="159" t="s">
        <v>234</v>
      </c>
      <c r="M141" s="168" t="s">
        <v>234</v>
      </c>
      <c r="N141" s="170" t="s">
        <v>331</v>
      </c>
      <c r="O141" s="156" t="s">
        <v>272</v>
      </c>
      <c r="P141" s="159" t="s">
        <v>234</v>
      </c>
      <c r="Q141" s="168" t="s">
        <v>234</v>
      </c>
      <c r="R141" s="170" t="s">
        <v>241</v>
      </c>
      <c r="S141" s="156" t="s">
        <v>234</v>
      </c>
      <c r="T141" s="159" t="s">
        <v>234</v>
      </c>
      <c r="U141" s="168" t="s">
        <v>234</v>
      </c>
      <c r="V141" s="170" t="s">
        <v>331</v>
      </c>
      <c r="W141" s="156" t="s">
        <v>272</v>
      </c>
    </row>
    <row r="142" spans="1:23" x14ac:dyDescent="0.3">
      <c r="A142" s="171"/>
      <c r="B142" s="171" t="s">
        <v>247</v>
      </c>
      <c r="C142" s="172"/>
      <c r="D142" s="171"/>
      <c r="E142" s="171"/>
      <c r="F142" s="172"/>
      <c r="G142" s="172"/>
      <c r="H142" s="171" t="s">
        <v>247</v>
      </c>
      <c r="I142" s="172"/>
      <c r="J142" s="172"/>
      <c r="K142" s="171"/>
      <c r="L142" s="171"/>
      <c r="M142" s="172"/>
      <c r="N142" s="172"/>
      <c r="O142" s="171"/>
      <c r="P142" s="171"/>
      <c r="Q142" s="172"/>
      <c r="R142" s="172"/>
      <c r="S142" s="171"/>
      <c r="T142" s="171"/>
      <c r="U142" s="172"/>
      <c r="V142" s="172"/>
      <c r="W142" s="171"/>
    </row>
    <row r="143" spans="1:23" x14ac:dyDescent="0.3">
      <c r="A143" s="164" t="s">
        <v>324</v>
      </c>
      <c r="B143" s="161" t="s">
        <v>235</v>
      </c>
      <c r="C143" s="176" t="s">
        <v>241</v>
      </c>
      <c r="D143" s="167" t="s">
        <v>234</v>
      </c>
      <c r="E143" s="161" t="s">
        <v>234</v>
      </c>
      <c r="F143" s="165" t="s">
        <v>234</v>
      </c>
      <c r="G143" s="176" t="s">
        <v>241</v>
      </c>
      <c r="H143" s="161" t="s">
        <v>235</v>
      </c>
      <c r="I143" s="165" t="s">
        <v>234</v>
      </c>
      <c r="J143" s="176" t="s">
        <v>241</v>
      </c>
      <c r="K143" s="167" t="s">
        <v>234</v>
      </c>
      <c r="L143" s="161" t="s">
        <v>234</v>
      </c>
      <c r="M143" s="165" t="s">
        <v>234</v>
      </c>
      <c r="N143" s="166">
        <v>2352</v>
      </c>
      <c r="O143" s="167" t="s">
        <v>234</v>
      </c>
      <c r="P143" s="161" t="s">
        <v>234</v>
      </c>
      <c r="Q143" s="165" t="s">
        <v>234</v>
      </c>
      <c r="R143" s="166">
        <v>136351</v>
      </c>
      <c r="S143" s="167" t="s">
        <v>234</v>
      </c>
      <c r="T143" s="161" t="s">
        <v>234</v>
      </c>
      <c r="U143" s="165" t="s">
        <v>234</v>
      </c>
      <c r="V143" s="166">
        <v>138703</v>
      </c>
      <c r="W143" s="167" t="s">
        <v>234</v>
      </c>
    </row>
    <row r="144" spans="1:23" x14ac:dyDescent="0.3">
      <c r="A144" s="163" t="s">
        <v>332</v>
      </c>
      <c r="B144" s="159" t="s">
        <v>235</v>
      </c>
      <c r="C144" s="170" t="s">
        <v>241</v>
      </c>
      <c r="D144" s="156" t="s">
        <v>234</v>
      </c>
      <c r="E144" s="159" t="s">
        <v>234</v>
      </c>
      <c r="F144" s="168" t="s">
        <v>234</v>
      </c>
      <c r="G144" s="170" t="s">
        <v>241</v>
      </c>
      <c r="H144" s="159" t="s">
        <v>235</v>
      </c>
      <c r="I144" s="168" t="s">
        <v>234</v>
      </c>
      <c r="J144" s="170" t="s">
        <v>241</v>
      </c>
      <c r="K144" s="156" t="s">
        <v>234</v>
      </c>
      <c r="L144" s="159" t="s">
        <v>234</v>
      </c>
      <c r="M144" s="168" t="s">
        <v>234</v>
      </c>
      <c r="N144" s="170" t="s">
        <v>241</v>
      </c>
      <c r="O144" s="156" t="s">
        <v>234</v>
      </c>
      <c r="P144" s="159" t="s">
        <v>234</v>
      </c>
      <c r="Q144" s="168" t="s">
        <v>234</v>
      </c>
      <c r="R144" s="170" t="s">
        <v>333</v>
      </c>
      <c r="S144" s="156" t="s">
        <v>272</v>
      </c>
      <c r="T144" s="159" t="s">
        <v>234</v>
      </c>
      <c r="U144" s="168" t="s">
        <v>234</v>
      </c>
      <c r="V144" s="170" t="s">
        <v>333</v>
      </c>
      <c r="W144" s="156" t="s">
        <v>272</v>
      </c>
    </row>
    <row r="145" spans="1:23" x14ac:dyDescent="0.3">
      <c r="A145" s="164" t="s">
        <v>327</v>
      </c>
      <c r="B145" s="161" t="s">
        <v>235</v>
      </c>
      <c r="C145" s="166">
        <v>5042</v>
      </c>
      <c r="D145" s="167" t="s">
        <v>234</v>
      </c>
      <c r="E145" s="161" t="s">
        <v>234</v>
      </c>
      <c r="F145" s="165" t="s">
        <v>234</v>
      </c>
      <c r="G145" s="166">
        <v>110293</v>
      </c>
      <c r="H145" s="161" t="s">
        <v>235</v>
      </c>
      <c r="I145" s="165" t="s">
        <v>234</v>
      </c>
      <c r="J145" s="176" t="s">
        <v>241</v>
      </c>
      <c r="K145" s="167" t="s">
        <v>234</v>
      </c>
      <c r="L145" s="161" t="s">
        <v>234</v>
      </c>
      <c r="M145" s="165" t="s">
        <v>234</v>
      </c>
      <c r="N145" s="176" t="s">
        <v>241</v>
      </c>
      <c r="O145" s="167" t="s">
        <v>234</v>
      </c>
      <c r="P145" s="161" t="s">
        <v>234</v>
      </c>
      <c r="Q145" s="165" t="s">
        <v>234</v>
      </c>
      <c r="R145" s="176" t="s">
        <v>241</v>
      </c>
      <c r="S145" s="167" t="s">
        <v>234</v>
      </c>
      <c r="T145" s="161" t="s">
        <v>234</v>
      </c>
      <c r="U145" s="165" t="s">
        <v>234</v>
      </c>
      <c r="V145" s="166">
        <v>110293</v>
      </c>
      <c r="W145" s="167" t="s">
        <v>234</v>
      </c>
    </row>
    <row r="146" spans="1:23" x14ac:dyDescent="0.3">
      <c r="A146" s="163" t="s">
        <v>329</v>
      </c>
      <c r="B146" s="159" t="s">
        <v>235</v>
      </c>
      <c r="C146" s="170" t="s">
        <v>241</v>
      </c>
      <c r="D146" s="156" t="s">
        <v>234</v>
      </c>
      <c r="E146" s="159" t="s">
        <v>234</v>
      </c>
      <c r="F146" s="168" t="s">
        <v>234</v>
      </c>
      <c r="G146" s="169">
        <v>62643</v>
      </c>
      <c r="H146" s="159" t="s">
        <v>235</v>
      </c>
      <c r="I146" s="168" t="s">
        <v>234</v>
      </c>
      <c r="J146" s="170" t="s">
        <v>241</v>
      </c>
      <c r="K146" s="156" t="s">
        <v>234</v>
      </c>
      <c r="L146" s="159" t="s">
        <v>234</v>
      </c>
      <c r="M146" s="168" t="s">
        <v>234</v>
      </c>
      <c r="N146" s="170" t="s">
        <v>241</v>
      </c>
      <c r="O146" s="156" t="s">
        <v>234</v>
      </c>
      <c r="P146" s="159" t="s">
        <v>234</v>
      </c>
      <c r="Q146" s="168" t="s">
        <v>234</v>
      </c>
      <c r="R146" s="170" t="s">
        <v>241</v>
      </c>
      <c r="S146" s="156" t="s">
        <v>234</v>
      </c>
      <c r="T146" s="159" t="s">
        <v>234</v>
      </c>
      <c r="U146" s="168" t="s">
        <v>234</v>
      </c>
      <c r="V146" s="169">
        <v>62643</v>
      </c>
      <c r="W146" s="156" t="s">
        <v>234</v>
      </c>
    </row>
    <row r="147" spans="1:23" x14ac:dyDescent="0.3">
      <c r="A147" s="164" t="s">
        <v>334</v>
      </c>
      <c r="B147" s="161" t="s">
        <v>235</v>
      </c>
      <c r="C147" s="176" t="s">
        <v>241</v>
      </c>
      <c r="D147" s="167" t="s">
        <v>234</v>
      </c>
      <c r="E147" s="161" t="s">
        <v>234</v>
      </c>
      <c r="F147" s="165" t="s">
        <v>234</v>
      </c>
      <c r="G147" s="166">
        <v>19135</v>
      </c>
      <c r="H147" s="161" t="s">
        <v>235</v>
      </c>
      <c r="I147" s="165" t="s">
        <v>234</v>
      </c>
      <c r="J147" s="176" t="s">
        <v>241</v>
      </c>
      <c r="K147" s="167" t="s">
        <v>234</v>
      </c>
      <c r="L147" s="161" t="s">
        <v>234</v>
      </c>
      <c r="M147" s="165" t="s">
        <v>234</v>
      </c>
      <c r="N147" s="176" t="s">
        <v>241</v>
      </c>
      <c r="O147" s="167" t="s">
        <v>234</v>
      </c>
      <c r="P147" s="161" t="s">
        <v>234</v>
      </c>
      <c r="Q147" s="165" t="s">
        <v>234</v>
      </c>
      <c r="R147" s="176" t="s">
        <v>241</v>
      </c>
      <c r="S147" s="167" t="s">
        <v>234</v>
      </c>
      <c r="T147" s="161" t="s">
        <v>234</v>
      </c>
      <c r="U147" s="165" t="s">
        <v>234</v>
      </c>
      <c r="V147" s="166">
        <v>19135</v>
      </c>
      <c r="W147" s="167" t="s">
        <v>234</v>
      </c>
    </row>
    <row r="148" spans="1:23" ht="15" thickBot="1" x14ac:dyDescent="0.35">
      <c r="A148" s="163" t="s">
        <v>335</v>
      </c>
      <c r="B148" s="159" t="s">
        <v>235</v>
      </c>
      <c r="C148" s="169">
        <v>6052</v>
      </c>
      <c r="D148" s="156" t="s">
        <v>234</v>
      </c>
      <c r="E148" s="159" t="s">
        <v>234</v>
      </c>
      <c r="F148" s="168" t="s">
        <v>234</v>
      </c>
      <c r="G148" s="169">
        <v>147794</v>
      </c>
      <c r="H148" s="159" t="s">
        <v>235</v>
      </c>
      <c r="I148" s="168" t="s">
        <v>234</v>
      </c>
      <c r="J148" s="170" t="s">
        <v>241</v>
      </c>
      <c r="K148" s="156" t="s">
        <v>234</v>
      </c>
      <c r="L148" s="159" t="s">
        <v>234</v>
      </c>
      <c r="M148" s="168" t="s">
        <v>234</v>
      </c>
      <c r="N148" s="170" t="s">
        <v>241</v>
      </c>
      <c r="O148" s="156" t="s">
        <v>234</v>
      </c>
      <c r="P148" s="159" t="s">
        <v>234</v>
      </c>
      <c r="Q148" s="168" t="s">
        <v>234</v>
      </c>
      <c r="R148" s="170" t="s">
        <v>241</v>
      </c>
      <c r="S148" s="156" t="s">
        <v>234</v>
      </c>
      <c r="T148" s="159" t="s">
        <v>234</v>
      </c>
      <c r="U148" s="168" t="s">
        <v>234</v>
      </c>
      <c r="V148" s="169">
        <v>147794</v>
      </c>
      <c r="W148" s="156" t="s">
        <v>234</v>
      </c>
    </row>
    <row r="149" spans="1:23" x14ac:dyDescent="0.3">
      <c r="A149" s="171"/>
      <c r="B149" s="171" t="s">
        <v>247</v>
      </c>
      <c r="C149" s="172"/>
      <c r="D149" s="171"/>
      <c r="E149" s="171"/>
      <c r="F149" s="172"/>
      <c r="G149" s="172"/>
      <c r="H149" s="171" t="s">
        <v>247</v>
      </c>
      <c r="I149" s="172"/>
      <c r="J149" s="172"/>
      <c r="K149" s="171"/>
      <c r="L149" s="171"/>
      <c r="M149" s="172"/>
      <c r="N149" s="172"/>
      <c r="O149" s="171"/>
      <c r="P149" s="171"/>
      <c r="Q149" s="172"/>
      <c r="R149" s="172"/>
      <c r="S149" s="171"/>
      <c r="T149" s="171"/>
      <c r="U149" s="172"/>
      <c r="V149" s="172"/>
      <c r="W149" s="171"/>
    </row>
    <row r="150" spans="1:23" ht="15" thickBot="1" x14ac:dyDescent="0.35">
      <c r="A150" s="164" t="s">
        <v>336</v>
      </c>
      <c r="B150" s="161" t="s">
        <v>235</v>
      </c>
      <c r="C150" s="166">
        <v>135908</v>
      </c>
      <c r="D150" s="167" t="s">
        <v>234</v>
      </c>
      <c r="E150" s="161" t="s">
        <v>234</v>
      </c>
      <c r="F150" s="165" t="s">
        <v>234</v>
      </c>
      <c r="G150" s="166">
        <v>874972</v>
      </c>
      <c r="H150" s="161" t="s">
        <v>235</v>
      </c>
      <c r="I150" s="165" t="s">
        <v>234</v>
      </c>
      <c r="J150" s="176" t="s">
        <v>241</v>
      </c>
      <c r="K150" s="167" t="s">
        <v>234</v>
      </c>
      <c r="L150" s="161" t="s">
        <v>234</v>
      </c>
      <c r="M150" s="165" t="s">
        <v>234</v>
      </c>
      <c r="N150" s="166">
        <v>4405</v>
      </c>
      <c r="O150" s="167" t="s">
        <v>234</v>
      </c>
      <c r="P150" s="161" t="s">
        <v>234</v>
      </c>
      <c r="Q150" s="165" t="s">
        <v>234</v>
      </c>
      <c r="R150" s="166">
        <v>486299</v>
      </c>
      <c r="S150" s="167" t="s">
        <v>234</v>
      </c>
      <c r="T150" s="161" t="s">
        <v>234</v>
      </c>
      <c r="U150" s="165" t="s">
        <v>234</v>
      </c>
      <c r="V150" s="166">
        <v>1365676</v>
      </c>
      <c r="W150" s="167" t="s">
        <v>234</v>
      </c>
    </row>
    <row r="151" spans="1:23" x14ac:dyDescent="0.3">
      <c r="A151" s="171"/>
      <c r="B151" s="171" t="s">
        <v>247</v>
      </c>
      <c r="C151" s="172"/>
      <c r="D151" s="171"/>
      <c r="E151" s="171"/>
      <c r="F151" s="172"/>
      <c r="G151" s="172"/>
      <c r="H151" s="171" t="s">
        <v>247</v>
      </c>
      <c r="I151" s="172"/>
      <c r="J151" s="172"/>
      <c r="K151" s="171"/>
      <c r="L151" s="171"/>
      <c r="M151" s="172"/>
      <c r="N151" s="172"/>
      <c r="O151" s="171"/>
      <c r="P151" s="171"/>
      <c r="Q151" s="172"/>
      <c r="R151" s="172"/>
      <c r="S151" s="171"/>
      <c r="T151" s="171"/>
      <c r="U151" s="172"/>
      <c r="V151" s="172"/>
      <c r="W151" s="171"/>
    </row>
    <row r="152" spans="1:23" x14ac:dyDescent="0.3">
      <c r="A152" s="163" t="s">
        <v>298</v>
      </c>
      <c r="B152" s="159" t="s">
        <v>235</v>
      </c>
      <c r="C152" s="170" t="s">
        <v>241</v>
      </c>
      <c r="D152" s="156" t="s">
        <v>234</v>
      </c>
      <c r="E152" s="159" t="s">
        <v>234</v>
      </c>
      <c r="F152" s="168" t="s">
        <v>234</v>
      </c>
      <c r="G152" s="170" t="s">
        <v>241</v>
      </c>
      <c r="H152" s="159" t="s">
        <v>235</v>
      </c>
      <c r="I152" s="168" t="s">
        <v>234</v>
      </c>
      <c r="J152" s="170" t="s">
        <v>241</v>
      </c>
      <c r="K152" s="156" t="s">
        <v>234</v>
      </c>
      <c r="L152" s="159" t="s">
        <v>234</v>
      </c>
      <c r="M152" s="168" t="s">
        <v>234</v>
      </c>
      <c r="N152" s="170" t="s">
        <v>241</v>
      </c>
      <c r="O152" s="156" t="s">
        <v>234</v>
      </c>
      <c r="P152" s="159" t="s">
        <v>234</v>
      </c>
      <c r="Q152" s="168" t="s">
        <v>234</v>
      </c>
      <c r="R152" s="169">
        <v>203828</v>
      </c>
      <c r="S152" s="156" t="s">
        <v>234</v>
      </c>
      <c r="T152" s="159" t="s">
        <v>234</v>
      </c>
      <c r="U152" s="168" t="s">
        <v>234</v>
      </c>
      <c r="V152" s="169">
        <v>203828</v>
      </c>
      <c r="W152" s="156" t="s">
        <v>234</v>
      </c>
    </row>
    <row r="153" spans="1:23" x14ac:dyDescent="0.3">
      <c r="A153" s="164" t="s">
        <v>320</v>
      </c>
      <c r="B153" s="161" t="s">
        <v>235</v>
      </c>
      <c r="C153" s="176" t="s">
        <v>241</v>
      </c>
      <c r="D153" s="167" t="s">
        <v>234</v>
      </c>
      <c r="E153" s="161" t="s">
        <v>234</v>
      </c>
      <c r="F153" s="165" t="s">
        <v>234</v>
      </c>
      <c r="G153" s="176" t="s">
        <v>241</v>
      </c>
      <c r="H153" s="161" t="s">
        <v>235</v>
      </c>
      <c r="I153" s="165" t="s">
        <v>234</v>
      </c>
      <c r="J153" s="176" t="s">
        <v>241</v>
      </c>
      <c r="K153" s="167" t="s">
        <v>234</v>
      </c>
      <c r="L153" s="161" t="s">
        <v>234</v>
      </c>
      <c r="M153" s="165" t="s">
        <v>234</v>
      </c>
      <c r="N153" s="166">
        <v>2494</v>
      </c>
      <c r="O153" s="167" t="s">
        <v>234</v>
      </c>
      <c r="P153" s="161" t="s">
        <v>234</v>
      </c>
      <c r="Q153" s="165" t="s">
        <v>234</v>
      </c>
      <c r="R153" s="176" t="s">
        <v>241</v>
      </c>
      <c r="S153" s="167" t="s">
        <v>234</v>
      </c>
      <c r="T153" s="161" t="s">
        <v>234</v>
      </c>
      <c r="U153" s="165" t="s">
        <v>234</v>
      </c>
      <c r="V153" s="166">
        <v>2494</v>
      </c>
      <c r="W153" s="167" t="s">
        <v>234</v>
      </c>
    </row>
    <row r="154" spans="1:23" ht="15" thickBot="1" x14ac:dyDescent="0.35">
      <c r="A154" s="163" t="s">
        <v>322</v>
      </c>
      <c r="B154" s="159" t="s">
        <v>235</v>
      </c>
      <c r="C154" s="170" t="s">
        <v>241</v>
      </c>
      <c r="D154" s="156" t="s">
        <v>234</v>
      </c>
      <c r="E154" s="159" t="s">
        <v>234</v>
      </c>
      <c r="F154" s="168" t="s">
        <v>234</v>
      </c>
      <c r="G154" s="170" t="s">
        <v>241</v>
      </c>
      <c r="H154" s="159" t="s">
        <v>235</v>
      </c>
      <c r="I154" s="168" t="s">
        <v>234</v>
      </c>
      <c r="J154" s="170" t="s">
        <v>241</v>
      </c>
      <c r="K154" s="156" t="s">
        <v>234</v>
      </c>
      <c r="L154" s="159" t="s">
        <v>234</v>
      </c>
      <c r="M154" s="168" t="s">
        <v>234</v>
      </c>
      <c r="N154" s="170">
        <v>76</v>
      </c>
      <c r="O154" s="156" t="s">
        <v>234</v>
      </c>
      <c r="P154" s="159" t="s">
        <v>234</v>
      </c>
      <c r="Q154" s="168" t="s">
        <v>234</v>
      </c>
      <c r="R154" s="170" t="s">
        <v>241</v>
      </c>
      <c r="S154" s="156" t="s">
        <v>234</v>
      </c>
      <c r="T154" s="159" t="s">
        <v>234</v>
      </c>
      <c r="U154" s="168" t="s">
        <v>234</v>
      </c>
      <c r="V154" s="170">
        <v>76</v>
      </c>
      <c r="W154" s="156" t="s">
        <v>234</v>
      </c>
    </row>
    <row r="155" spans="1:23" x14ac:dyDescent="0.3">
      <c r="A155" s="171"/>
      <c r="B155" s="171" t="s">
        <v>247</v>
      </c>
      <c r="C155" s="172"/>
      <c r="D155" s="171"/>
      <c r="E155" s="171"/>
      <c r="F155" s="172"/>
      <c r="G155" s="172"/>
      <c r="H155" s="171" t="s">
        <v>247</v>
      </c>
      <c r="I155" s="172"/>
      <c r="J155" s="172"/>
      <c r="K155" s="171"/>
      <c r="L155" s="171"/>
      <c r="M155" s="172"/>
      <c r="N155" s="172"/>
      <c r="O155" s="171"/>
      <c r="P155" s="171"/>
      <c r="Q155" s="172"/>
      <c r="R155" s="172"/>
      <c r="S155" s="171"/>
      <c r="T155" s="171"/>
      <c r="U155" s="172"/>
      <c r="V155" s="172"/>
      <c r="W155" s="171"/>
    </row>
    <row r="156" spans="1:23" x14ac:dyDescent="0.3">
      <c r="A156" s="164" t="s">
        <v>324</v>
      </c>
      <c r="B156" s="161" t="s">
        <v>235</v>
      </c>
      <c r="C156" s="176" t="s">
        <v>241</v>
      </c>
      <c r="D156" s="167" t="s">
        <v>234</v>
      </c>
      <c r="E156" s="161" t="s">
        <v>234</v>
      </c>
      <c r="F156" s="165" t="s">
        <v>234</v>
      </c>
      <c r="G156" s="176" t="s">
        <v>241</v>
      </c>
      <c r="H156" s="161" t="s">
        <v>235</v>
      </c>
      <c r="I156" s="165" t="s">
        <v>234</v>
      </c>
      <c r="J156" s="176" t="s">
        <v>241</v>
      </c>
      <c r="K156" s="167" t="s">
        <v>234</v>
      </c>
      <c r="L156" s="161" t="s">
        <v>234</v>
      </c>
      <c r="M156" s="165" t="s">
        <v>234</v>
      </c>
      <c r="N156" s="166">
        <v>2570</v>
      </c>
      <c r="O156" s="167" t="s">
        <v>234</v>
      </c>
      <c r="P156" s="161" t="s">
        <v>234</v>
      </c>
      <c r="Q156" s="165" t="s">
        <v>234</v>
      </c>
      <c r="R156" s="166">
        <v>203828</v>
      </c>
      <c r="S156" s="167" t="s">
        <v>234</v>
      </c>
      <c r="T156" s="161" t="s">
        <v>234</v>
      </c>
      <c r="U156" s="165" t="s">
        <v>234</v>
      </c>
      <c r="V156" s="166">
        <v>206398</v>
      </c>
      <c r="W156" s="167" t="s">
        <v>234</v>
      </c>
    </row>
    <row r="157" spans="1:23" x14ac:dyDescent="0.3">
      <c r="A157" s="163" t="s">
        <v>337</v>
      </c>
      <c r="B157" s="159" t="s">
        <v>235</v>
      </c>
      <c r="C157" s="170" t="s">
        <v>241</v>
      </c>
      <c r="D157" s="156" t="s">
        <v>234</v>
      </c>
      <c r="E157" s="159" t="s">
        <v>234</v>
      </c>
      <c r="F157" s="168" t="s">
        <v>234</v>
      </c>
      <c r="G157" s="170" t="s">
        <v>241</v>
      </c>
      <c r="H157" s="159" t="s">
        <v>235</v>
      </c>
      <c r="I157" s="168" t="s">
        <v>234</v>
      </c>
      <c r="J157" s="170" t="s">
        <v>241</v>
      </c>
      <c r="K157" s="156" t="s">
        <v>234</v>
      </c>
      <c r="L157" s="159" t="s">
        <v>234</v>
      </c>
      <c r="M157" s="168" t="s">
        <v>234</v>
      </c>
      <c r="N157" s="170" t="s">
        <v>241</v>
      </c>
      <c r="O157" s="156" t="s">
        <v>234</v>
      </c>
      <c r="P157" s="159" t="s">
        <v>234</v>
      </c>
      <c r="Q157" s="168" t="s">
        <v>234</v>
      </c>
      <c r="R157" s="170" t="s">
        <v>338</v>
      </c>
      <c r="S157" s="156" t="s">
        <v>272</v>
      </c>
      <c r="T157" s="159" t="s">
        <v>234</v>
      </c>
      <c r="U157" s="168" t="s">
        <v>234</v>
      </c>
      <c r="V157" s="170" t="s">
        <v>338</v>
      </c>
      <c r="W157" s="156" t="s">
        <v>272</v>
      </c>
    </row>
    <row r="158" spans="1:23" x14ac:dyDescent="0.3">
      <c r="A158" s="164" t="s">
        <v>327</v>
      </c>
      <c r="B158" s="161" t="s">
        <v>235</v>
      </c>
      <c r="C158" s="166">
        <v>5510</v>
      </c>
      <c r="D158" s="167" t="s">
        <v>234</v>
      </c>
      <c r="E158" s="161" t="s">
        <v>234</v>
      </c>
      <c r="F158" s="165" t="s">
        <v>234</v>
      </c>
      <c r="G158" s="166">
        <v>199450</v>
      </c>
      <c r="H158" s="161" t="s">
        <v>235</v>
      </c>
      <c r="I158" s="165" t="s">
        <v>234</v>
      </c>
      <c r="J158" s="176" t="s">
        <v>241</v>
      </c>
      <c r="K158" s="167" t="s">
        <v>234</v>
      </c>
      <c r="L158" s="161" t="s">
        <v>234</v>
      </c>
      <c r="M158" s="165" t="s">
        <v>234</v>
      </c>
      <c r="N158" s="176" t="s">
        <v>241</v>
      </c>
      <c r="O158" s="167" t="s">
        <v>234</v>
      </c>
      <c r="P158" s="161" t="s">
        <v>234</v>
      </c>
      <c r="Q158" s="165" t="s">
        <v>234</v>
      </c>
      <c r="R158" s="176" t="s">
        <v>241</v>
      </c>
      <c r="S158" s="167" t="s">
        <v>234</v>
      </c>
      <c r="T158" s="161" t="s">
        <v>234</v>
      </c>
      <c r="U158" s="165" t="s">
        <v>234</v>
      </c>
      <c r="V158" s="166">
        <v>199450</v>
      </c>
      <c r="W158" s="167" t="s">
        <v>234</v>
      </c>
    </row>
    <row r="159" spans="1:23" x14ac:dyDescent="0.3">
      <c r="A159" s="163" t="s">
        <v>339</v>
      </c>
      <c r="B159" s="159" t="s">
        <v>235</v>
      </c>
      <c r="C159" s="170" t="s">
        <v>340</v>
      </c>
      <c r="D159" s="156" t="s">
        <v>272</v>
      </c>
      <c r="E159" s="159" t="s">
        <v>234</v>
      </c>
      <c r="F159" s="168" t="s">
        <v>234</v>
      </c>
      <c r="G159" s="170" t="s">
        <v>241</v>
      </c>
      <c r="H159" s="159" t="s">
        <v>235</v>
      </c>
      <c r="I159" s="168" t="s">
        <v>234</v>
      </c>
      <c r="J159" s="170" t="s">
        <v>271</v>
      </c>
      <c r="K159" s="156" t="s">
        <v>272</v>
      </c>
      <c r="L159" s="159" t="s">
        <v>234</v>
      </c>
      <c r="M159" s="168" t="s">
        <v>234</v>
      </c>
      <c r="N159" s="170" t="s">
        <v>241</v>
      </c>
      <c r="O159" s="156" t="s">
        <v>234</v>
      </c>
      <c r="P159" s="159" t="s">
        <v>234</v>
      </c>
      <c r="Q159" s="168" t="s">
        <v>234</v>
      </c>
      <c r="R159" s="170" t="s">
        <v>241</v>
      </c>
      <c r="S159" s="156" t="s">
        <v>234</v>
      </c>
      <c r="T159" s="159" t="s">
        <v>234</v>
      </c>
      <c r="U159" s="168" t="s">
        <v>234</v>
      </c>
      <c r="V159" s="170" t="s">
        <v>271</v>
      </c>
      <c r="W159" s="156" t="s">
        <v>272</v>
      </c>
    </row>
    <row r="160" spans="1:23" x14ac:dyDescent="0.3">
      <c r="A160" s="164" t="s">
        <v>341</v>
      </c>
      <c r="B160" s="161" t="s">
        <v>235</v>
      </c>
      <c r="C160" s="176" t="s">
        <v>241</v>
      </c>
      <c r="D160" s="167" t="s">
        <v>234</v>
      </c>
      <c r="E160" s="161" t="s">
        <v>234</v>
      </c>
      <c r="F160" s="165" t="s">
        <v>234</v>
      </c>
      <c r="G160" s="166">
        <v>59096</v>
      </c>
      <c r="H160" s="161" t="s">
        <v>235</v>
      </c>
      <c r="I160" s="165" t="s">
        <v>234</v>
      </c>
      <c r="J160" s="176" t="s">
        <v>241</v>
      </c>
      <c r="K160" s="167" t="s">
        <v>234</v>
      </c>
      <c r="L160" s="161" t="s">
        <v>234</v>
      </c>
      <c r="M160" s="165" t="s">
        <v>234</v>
      </c>
      <c r="N160" s="176" t="s">
        <v>241</v>
      </c>
      <c r="O160" s="167" t="s">
        <v>234</v>
      </c>
      <c r="P160" s="161" t="s">
        <v>234</v>
      </c>
      <c r="Q160" s="165" t="s">
        <v>234</v>
      </c>
      <c r="R160" s="176" t="s">
        <v>241</v>
      </c>
      <c r="S160" s="167" t="s">
        <v>234</v>
      </c>
      <c r="T160" s="161" t="s">
        <v>234</v>
      </c>
      <c r="U160" s="165" t="s">
        <v>234</v>
      </c>
      <c r="V160" s="166">
        <v>59096</v>
      </c>
      <c r="W160" s="167" t="s">
        <v>234</v>
      </c>
    </row>
    <row r="161" spans="1:23" x14ac:dyDescent="0.3">
      <c r="A161" s="163" t="s">
        <v>334</v>
      </c>
      <c r="B161" s="159" t="s">
        <v>235</v>
      </c>
      <c r="C161" s="170" t="s">
        <v>241</v>
      </c>
      <c r="D161" s="156" t="s">
        <v>234</v>
      </c>
      <c r="E161" s="159" t="s">
        <v>234</v>
      </c>
      <c r="F161" s="168" t="s">
        <v>234</v>
      </c>
      <c r="G161" s="169">
        <v>9432</v>
      </c>
      <c r="H161" s="159" t="s">
        <v>235</v>
      </c>
      <c r="I161" s="168" t="s">
        <v>234</v>
      </c>
      <c r="J161" s="170" t="s">
        <v>241</v>
      </c>
      <c r="K161" s="156" t="s">
        <v>234</v>
      </c>
      <c r="L161" s="159" t="s">
        <v>234</v>
      </c>
      <c r="M161" s="168" t="s">
        <v>234</v>
      </c>
      <c r="N161" s="170" t="s">
        <v>241</v>
      </c>
      <c r="O161" s="156" t="s">
        <v>234</v>
      </c>
      <c r="P161" s="159" t="s">
        <v>234</v>
      </c>
      <c r="Q161" s="168" t="s">
        <v>234</v>
      </c>
      <c r="R161" s="170" t="s">
        <v>241</v>
      </c>
      <c r="S161" s="156" t="s">
        <v>234</v>
      </c>
      <c r="T161" s="159" t="s">
        <v>234</v>
      </c>
      <c r="U161" s="168" t="s">
        <v>234</v>
      </c>
      <c r="V161" s="169">
        <v>9432</v>
      </c>
      <c r="W161" s="156" t="s">
        <v>234</v>
      </c>
    </row>
    <row r="162" spans="1:23" ht="15" thickBot="1" x14ac:dyDescent="0.35">
      <c r="A162" s="164" t="s">
        <v>335</v>
      </c>
      <c r="B162" s="161" t="s">
        <v>235</v>
      </c>
      <c r="C162" s="176">
        <v>194</v>
      </c>
      <c r="D162" s="167" t="s">
        <v>234</v>
      </c>
      <c r="E162" s="161" t="s">
        <v>234</v>
      </c>
      <c r="F162" s="165" t="s">
        <v>234</v>
      </c>
      <c r="G162" s="166">
        <v>4922</v>
      </c>
      <c r="H162" s="161" t="s">
        <v>235</v>
      </c>
      <c r="I162" s="165" t="s">
        <v>234</v>
      </c>
      <c r="J162" s="176" t="s">
        <v>241</v>
      </c>
      <c r="K162" s="167" t="s">
        <v>234</v>
      </c>
      <c r="L162" s="161" t="s">
        <v>234</v>
      </c>
      <c r="M162" s="165" t="s">
        <v>234</v>
      </c>
      <c r="N162" s="176" t="s">
        <v>241</v>
      </c>
      <c r="O162" s="167" t="s">
        <v>234</v>
      </c>
      <c r="P162" s="161" t="s">
        <v>234</v>
      </c>
      <c r="Q162" s="165" t="s">
        <v>234</v>
      </c>
      <c r="R162" s="176" t="s">
        <v>241</v>
      </c>
      <c r="S162" s="167" t="s">
        <v>234</v>
      </c>
      <c r="T162" s="161" t="s">
        <v>234</v>
      </c>
      <c r="U162" s="165" t="s">
        <v>234</v>
      </c>
      <c r="V162" s="166">
        <v>4922</v>
      </c>
      <c r="W162" s="167" t="s">
        <v>234</v>
      </c>
    </row>
    <row r="163" spans="1:23" x14ac:dyDescent="0.3">
      <c r="A163" s="171"/>
      <c r="B163" s="171" t="s">
        <v>247</v>
      </c>
      <c r="C163" s="172"/>
      <c r="D163" s="171"/>
      <c r="E163" s="171"/>
      <c r="F163" s="172"/>
      <c r="G163" s="172"/>
      <c r="H163" s="171" t="s">
        <v>247</v>
      </c>
      <c r="I163" s="172"/>
      <c r="J163" s="172"/>
      <c r="K163" s="171"/>
      <c r="L163" s="171"/>
      <c r="M163" s="172"/>
      <c r="N163" s="172"/>
      <c r="O163" s="171"/>
      <c r="P163" s="171"/>
      <c r="Q163" s="172"/>
      <c r="R163" s="172"/>
      <c r="S163" s="171"/>
      <c r="T163" s="171"/>
      <c r="U163" s="172"/>
      <c r="V163" s="172"/>
      <c r="W163" s="171"/>
    </row>
    <row r="164" spans="1:23" ht="15" thickBot="1" x14ac:dyDescent="0.35">
      <c r="A164" s="163" t="s">
        <v>342</v>
      </c>
      <c r="B164" s="159" t="s">
        <v>235</v>
      </c>
      <c r="C164" s="169">
        <v>139607</v>
      </c>
      <c r="D164" s="156" t="s">
        <v>234</v>
      </c>
      <c r="E164" s="159" t="s">
        <v>234</v>
      </c>
      <c r="F164" s="168" t="s">
        <v>239</v>
      </c>
      <c r="G164" s="169">
        <v>1147872</v>
      </c>
      <c r="H164" s="159" t="s">
        <v>235</v>
      </c>
      <c r="I164" s="168" t="s">
        <v>239</v>
      </c>
      <c r="J164" s="170" t="s">
        <v>271</v>
      </c>
      <c r="K164" s="156" t="s">
        <v>272</v>
      </c>
      <c r="L164" s="159" t="s">
        <v>234</v>
      </c>
      <c r="M164" s="168" t="s">
        <v>239</v>
      </c>
      <c r="N164" s="169">
        <v>6975</v>
      </c>
      <c r="O164" s="156" t="s">
        <v>234</v>
      </c>
      <c r="P164" s="159" t="s">
        <v>234</v>
      </c>
      <c r="Q164" s="168" t="s">
        <v>239</v>
      </c>
      <c r="R164" s="169">
        <v>349260</v>
      </c>
      <c r="S164" s="156" t="s">
        <v>234</v>
      </c>
      <c r="T164" s="159" t="s">
        <v>234</v>
      </c>
      <c r="U164" s="168" t="s">
        <v>239</v>
      </c>
      <c r="V164" s="169">
        <v>1404143</v>
      </c>
      <c r="W164" s="156" t="s">
        <v>234</v>
      </c>
    </row>
    <row r="165" spans="1:23" x14ac:dyDescent="0.3">
      <c r="A165" s="171"/>
      <c r="B165" s="171" t="s">
        <v>247</v>
      </c>
      <c r="C165" s="172"/>
      <c r="D165" s="171"/>
      <c r="E165" s="171"/>
      <c r="F165" s="172"/>
      <c r="G165" s="172"/>
      <c r="H165" s="171" t="s">
        <v>247</v>
      </c>
      <c r="I165" s="172"/>
      <c r="J165" s="172"/>
      <c r="K165" s="171"/>
      <c r="L165" s="171"/>
      <c r="M165" s="172"/>
      <c r="N165" s="172"/>
      <c r="O165" s="171"/>
      <c r="P165" s="171"/>
      <c r="Q165" s="172"/>
      <c r="R165" s="172"/>
      <c r="S165" s="171"/>
      <c r="T165" s="171"/>
      <c r="U165" s="172"/>
      <c r="V165" s="172"/>
      <c r="W165" s="171"/>
    </row>
    <row r="166" spans="1:23" x14ac:dyDescent="0.3">
      <c r="A166" s="177" t="s">
        <v>278</v>
      </c>
    </row>
    <row r="167" spans="1:23" x14ac:dyDescent="0.3">
      <c r="A167" s="178" t="s">
        <v>234</v>
      </c>
    </row>
    <row r="168" spans="1:23" x14ac:dyDescent="0.3">
      <c r="A168" s="179">
        <v>39</v>
      </c>
    </row>
    <row r="172" spans="1:23" x14ac:dyDescent="0.3">
      <c r="A172" s="180" t="s">
        <v>279</v>
      </c>
    </row>
    <row r="174" spans="1:23" x14ac:dyDescent="0.3">
      <c r="A174" s="155" t="s">
        <v>230</v>
      </c>
    </row>
    <row r="175" spans="1:23" x14ac:dyDescent="0.3">
      <c r="A175" s="155" t="s">
        <v>343</v>
      </c>
    </row>
    <row r="176" spans="1:23" x14ac:dyDescent="0.3">
      <c r="A176" s="156" t="s">
        <v>232</v>
      </c>
    </row>
    <row r="177" spans="1:13" x14ac:dyDescent="0.3">
      <c r="A177" s="156" t="s">
        <v>282</v>
      </c>
    </row>
    <row r="178" spans="1:13" x14ac:dyDescent="0.3">
      <c r="A178" s="157"/>
    </row>
    <row r="179" spans="1:13" x14ac:dyDescent="0.3">
      <c r="A179" s="158"/>
      <c r="B179" s="158"/>
      <c r="C179" s="158"/>
      <c r="D179" s="158"/>
      <c r="E179" s="158"/>
      <c r="F179" s="158"/>
      <c r="G179" s="158"/>
      <c r="H179" s="158"/>
      <c r="I179" s="158"/>
      <c r="J179" s="158"/>
      <c r="K179" s="158"/>
      <c r="L179" s="158"/>
      <c r="M179" s="158"/>
    </row>
    <row r="180" spans="1:13" ht="15" thickBot="1" x14ac:dyDescent="0.35">
      <c r="A180" s="159" t="s">
        <v>234</v>
      </c>
      <c r="B180" s="159" t="s">
        <v>235</v>
      </c>
      <c r="C180" s="300">
        <v>2006</v>
      </c>
      <c r="D180" s="300"/>
      <c r="E180" s="159" t="s">
        <v>234</v>
      </c>
      <c r="F180" s="159" t="s">
        <v>234</v>
      </c>
      <c r="G180" s="300">
        <v>2005</v>
      </c>
      <c r="H180" s="300"/>
      <c r="I180" s="159" t="s">
        <v>234</v>
      </c>
      <c r="J180" s="159" t="s">
        <v>234</v>
      </c>
      <c r="K180" s="300">
        <v>2004</v>
      </c>
      <c r="L180" s="300"/>
      <c r="M180" s="159" t="s">
        <v>234</v>
      </c>
    </row>
    <row r="181" spans="1:13" x14ac:dyDescent="0.3">
      <c r="A181" s="160" t="s">
        <v>344</v>
      </c>
      <c r="B181" s="161" t="s">
        <v>235</v>
      </c>
      <c r="C181" s="162"/>
      <c r="D181" s="162"/>
      <c r="E181" s="162"/>
      <c r="F181" s="161" t="s">
        <v>234</v>
      </c>
      <c r="G181" s="162"/>
      <c r="H181" s="162"/>
      <c r="I181" s="162"/>
      <c r="J181" s="161" t="s">
        <v>234</v>
      </c>
      <c r="K181" s="162"/>
      <c r="L181" s="162"/>
      <c r="M181" s="162"/>
    </row>
    <row r="182" spans="1:13" x14ac:dyDescent="0.3">
      <c r="A182" s="163" t="s">
        <v>298</v>
      </c>
      <c r="B182" s="159" t="s">
        <v>235</v>
      </c>
      <c r="C182" s="168" t="s">
        <v>239</v>
      </c>
      <c r="D182" s="169">
        <v>203828</v>
      </c>
      <c r="E182" s="156" t="s">
        <v>234</v>
      </c>
      <c r="F182" s="159" t="s">
        <v>234</v>
      </c>
      <c r="G182" s="168" t="s">
        <v>239</v>
      </c>
      <c r="H182" s="169">
        <v>136351</v>
      </c>
      <c r="I182" s="156" t="s">
        <v>234</v>
      </c>
      <c r="J182" s="159" t="s">
        <v>234</v>
      </c>
      <c r="K182" s="168" t="s">
        <v>239</v>
      </c>
      <c r="L182" s="169">
        <v>129512</v>
      </c>
      <c r="M182" s="156" t="s">
        <v>234</v>
      </c>
    </row>
    <row r="183" spans="1:13" x14ac:dyDescent="0.3">
      <c r="A183" s="164" t="s">
        <v>345</v>
      </c>
      <c r="B183" s="161" t="s">
        <v>235</v>
      </c>
      <c r="C183" s="162"/>
      <c r="D183" s="162"/>
      <c r="E183" s="162"/>
      <c r="F183" s="161" t="s">
        <v>234</v>
      </c>
      <c r="G183" s="162"/>
      <c r="H183" s="162"/>
      <c r="I183" s="162"/>
      <c r="J183" s="161" t="s">
        <v>234</v>
      </c>
      <c r="K183" s="162"/>
      <c r="L183" s="162"/>
      <c r="M183" s="162"/>
    </row>
    <row r="184" spans="1:13" x14ac:dyDescent="0.3">
      <c r="A184" s="173" t="s">
        <v>346</v>
      </c>
      <c r="B184" s="159" t="s">
        <v>235</v>
      </c>
      <c r="C184" s="168" t="s">
        <v>234</v>
      </c>
      <c r="D184" s="169">
        <v>156223</v>
      </c>
      <c r="E184" s="156" t="s">
        <v>234</v>
      </c>
      <c r="F184" s="159" t="s">
        <v>234</v>
      </c>
      <c r="G184" s="168" t="s">
        <v>234</v>
      </c>
      <c r="H184" s="169">
        <v>133759</v>
      </c>
      <c r="I184" s="156" t="s">
        <v>234</v>
      </c>
      <c r="J184" s="159" t="s">
        <v>234</v>
      </c>
      <c r="K184" s="168" t="s">
        <v>234</v>
      </c>
      <c r="L184" s="169">
        <v>115157</v>
      </c>
      <c r="M184" s="156" t="s">
        <v>234</v>
      </c>
    </row>
    <row r="185" spans="1:13" x14ac:dyDescent="0.3">
      <c r="A185" s="181" t="s">
        <v>347</v>
      </c>
      <c r="B185" s="161" t="s">
        <v>235</v>
      </c>
      <c r="C185" s="165" t="s">
        <v>234</v>
      </c>
      <c r="D185" s="166">
        <v>6291</v>
      </c>
      <c r="E185" s="167" t="s">
        <v>234</v>
      </c>
      <c r="F185" s="161" t="s">
        <v>234</v>
      </c>
      <c r="G185" s="165" t="s">
        <v>234</v>
      </c>
      <c r="H185" s="166">
        <v>15886</v>
      </c>
      <c r="I185" s="167" t="s">
        <v>234</v>
      </c>
      <c r="J185" s="161" t="s">
        <v>234</v>
      </c>
      <c r="K185" s="165" t="s">
        <v>234</v>
      </c>
      <c r="L185" s="166">
        <v>5769</v>
      </c>
      <c r="M185" s="167" t="s">
        <v>234</v>
      </c>
    </row>
    <row r="186" spans="1:13" x14ac:dyDescent="0.3">
      <c r="A186" s="173" t="s">
        <v>334</v>
      </c>
      <c r="B186" s="159" t="s">
        <v>235</v>
      </c>
      <c r="C186" s="168" t="s">
        <v>234</v>
      </c>
      <c r="D186" s="169">
        <v>9432</v>
      </c>
      <c r="E186" s="156" t="s">
        <v>234</v>
      </c>
      <c r="F186" s="159" t="s">
        <v>234</v>
      </c>
      <c r="G186" s="168" t="s">
        <v>234</v>
      </c>
      <c r="H186" s="169">
        <v>19135</v>
      </c>
      <c r="I186" s="156" t="s">
        <v>234</v>
      </c>
      <c r="J186" s="159" t="s">
        <v>234</v>
      </c>
      <c r="K186" s="168" t="s">
        <v>234</v>
      </c>
      <c r="L186" s="170" t="s">
        <v>241</v>
      </c>
      <c r="M186" s="156" t="s">
        <v>234</v>
      </c>
    </row>
    <row r="187" spans="1:13" x14ac:dyDescent="0.3">
      <c r="A187" s="181" t="s">
        <v>348</v>
      </c>
      <c r="B187" s="161" t="s">
        <v>235</v>
      </c>
      <c r="C187" s="165" t="s">
        <v>234</v>
      </c>
      <c r="D187" s="176" t="s">
        <v>349</v>
      </c>
      <c r="E187" s="167" t="s">
        <v>272</v>
      </c>
      <c r="F187" s="161" t="s">
        <v>234</v>
      </c>
      <c r="G187" s="165" t="s">
        <v>234</v>
      </c>
      <c r="H187" s="176" t="s">
        <v>350</v>
      </c>
      <c r="I187" s="167" t="s">
        <v>272</v>
      </c>
      <c r="J187" s="161" t="s">
        <v>234</v>
      </c>
      <c r="K187" s="165" t="s">
        <v>234</v>
      </c>
      <c r="L187" s="176" t="s">
        <v>351</v>
      </c>
      <c r="M187" s="167" t="s">
        <v>272</v>
      </c>
    </row>
    <row r="188" spans="1:13" x14ac:dyDescent="0.3">
      <c r="A188" s="173" t="s">
        <v>329</v>
      </c>
      <c r="B188" s="159" t="s">
        <v>235</v>
      </c>
      <c r="C188" s="168" t="s">
        <v>234</v>
      </c>
      <c r="D188" s="170" t="s">
        <v>241</v>
      </c>
      <c r="E188" s="156" t="s">
        <v>234</v>
      </c>
      <c r="F188" s="159" t="s">
        <v>234</v>
      </c>
      <c r="G188" s="168" t="s">
        <v>234</v>
      </c>
      <c r="H188" s="169">
        <v>62643</v>
      </c>
      <c r="I188" s="156" t="s">
        <v>234</v>
      </c>
      <c r="J188" s="159" t="s">
        <v>234</v>
      </c>
      <c r="K188" s="168" t="s">
        <v>234</v>
      </c>
      <c r="L188" s="169">
        <v>35583</v>
      </c>
      <c r="M188" s="156" t="s">
        <v>234</v>
      </c>
    </row>
    <row r="189" spans="1:13" x14ac:dyDescent="0.3">
      <c r="A189" s="181" t="s">
        <v>341</v>
      </c>
      <c r="B189" s="161" t="s">
        <v>235</v>
      </c>
      <c r="C189" s="165" t="s">
        <v>234</v>
      </c>
      <c r="D189" s="176" t="s">
        <v>352</v>
      </c>
      <c r="E189" s="167" t="s">
        <v>272</v>
      </c>
      <c r="F189" s="161" t="s">
        <v>234</v>
      </c>
      <c r="G189" s="165" t="s">
        <v>234</v>
      </c>
      <c r="H189" s="176" t="s">
        <v>241</v>
      </c>
      <c r="I189" s="167" t="s">
        <v>234</v>
      </c>
      <c r="J189" s="161" t="s">
        <v>234</v>
      </c>
      <c r="K189" s="165" t="s">
        <v>234</v>
      </c>
      <c r="L189" s="176" t="s">
        <v>241</v>
      </c>
      <c r="M189" s="167" t="s">
        <v>234</v>
      </c>
    </row>
    <row r="190" spans="1:13" x14ac:dyDescent="0.3">
      <c r="A190" s="173" t="s">
        <v>353</v>
      </c>
      <c r="B190" s="159" t="s">
        <v>235</v>
      </c>
      <c r="C190" s="168" t="s">
        <v>234</v>
      </c>
      <c r="D190" s="170">
        <v>460</v>
      </c>
      <c r="E190" s="156" t="s">
        <v>234</v>
      </c>
      <c r="F190" s="159" t="s">
        <v>234</v>
      </c>
      <c r="G190" s="168" t="s">
        <v>234</v>
      </c>
      <c r="H190" s="169">
        <v>4120</v>
      </c>
      <c r="I190" s="156" t="s">
        <v>234</v>
      </c>
      <c r="J190" s="159" t="s">
        <v>234</v>
      </c>
      <c r="K190" s="168" t="s">
        <v>234</v>
      </c>
      <c r="L190" s="169">
        <v>7551</v>
      </c>
      <c r="M190" s="156" t="s">
        <v>234</v>
      </c>
    </row>
    <row r="191" spans="1:13" x14ac:dyDescent="0.3">
      <c r="A191" s="181" t="s">
        <v>354</v>
      </c>
      <c r="B191" s="161" t="s">
        <v>235</v>
      </c>
      <c r="C191" s="165" t="s">
        <v>234</v>
      </c>
      <c r="D191" s="166">
        <v>26607</v>
      </c>
      <c r="E191" s="167" t="s">
        <v>234</v>
      </c>
      <c r="F191" s="161" t="s">
        <v>234</v>
      </c>
      <c r="G191" s="165" t="s">
        <v>234</v>
      </c>
      <c r="H191" s="166">
        <v>16080</v>
      </c>
      <c r="I191" s="167" t="s">
        <v>234</v>
      </c>
      <c r="J191" s="161" t="s">
        <v>234</v>
      </c>
      <c r="K191" s="165" t="s">
        <v>234</v>
      </c>
      <c r="L191" s="166">
        <v>11109</v>
      </c>
      <c r="M191" s="167" t="s">
        <v>234</v>
      </c>
    </row>
    <row r="192" spans="1:13" x14ac:dyDescent="0.3">
      <c r="A192" s="173" t="s">
        <v>312</v>
      </c>
      <c r="B192" s="159" t="s">
        <v>235</v>
      </c>
      <c r="C192" s="168" t="s">
        <v>234</v>
      </c>
      <c r="D192" s="170">
        <v>693</v>
      </c>
      <c r="E192" s="156" t="s">
        <v>234</v>
      </c>
      <c r="F192" s="159" t="s">
        <v>234</v>
      </c>
      <c r="G192" s="168" t="s">
        <v>234</v>
      </c>
      <c r="H192" s="169">
        <v>1317</v>
      </c>
      <c r="I192" s="156" t="s">
        <v>234</v>
      </c>
      <c r="J192" s="159" t="s">
        <v>234</v>
      </c>
      <c r="K192" s="168" t="s">
        <v>234</v>
      </c>
      <c r="L192" s="170" t="s">
        <v>355</v>
      </c>
      <c r="M192" s="156" t="s">
        <v>272</v>
      </c>
    </row>
    <row r="193" spans="1:13" x14ac:dyDescent="0.3">
      <c r="A193" s="181" t="s">
        <v>356</v>
      </c>
      <c r="B193" s="161" t="s">
        <v>235</v>
      </c>
      <c r="C193" s="162"/>
      <c r="D193" s="162"/>
      <c r="E193" s="162"/>
      <c r="F193" s="161" t="s">
        <v>234</v>
      </c>
      <c r="G193" s="162"/>
      <c r="H193" s="162"/>
      <c r="I193" s="162"/>
      <c r="J193" s="161" t="s">
        <v>234</v>
      </c>
      <c r="K193" s="162"/>
      <c r="L193" s="162"/>
      <c r="M193" s="162"/>
    </row>
    <row r="194" spans="1:13" x14ac:dyDescent="0.3">
      <c r="A194" s="184" t="s">
        <v>243</v>
      </c>
      <c r="B194" s="159" t="s">
        <v>235</v>
      </c>
      <c r="C194" s="168" t="s">
        <v>234</v>
      </c>
      <c r="D194" s="170" t="s">
        <v>357</v>
      </c>
      <c r="E194" s="156" t="s">
        <v>272</v>
      </c>
      <c r="F194" s="159" t="s">
        <v>234</v>
      </c>
      <c r="G194" s="168" t="s">
        <v>234</v>
      </c>
      <c r="H194" s="170" t="s">
        <v>358</v>
      </c>
      <c r="I194" s="156" t="s">
        <v>272</v>
      </c>
      <c r="J194" s="159" t="s">
        <v>234</v>
      </c>
      <c r="K194" s="168" t="s">
        <v>234</v>
      </c>
      <c r="L194" s="170" t="s">
        <v>359</v>
      </c>
      <c r="M194" s="156" t="s">
        <v>272</v>
      </c>
    </row>
    <row r="195" spans="1:13" x14ac:dyDescent="0.3">
      <c r="A195" s="185" t="s">
        <v>244</v>
      </c>
      <c r="B195" s="161" t="s">
        <v>235</v>
      </c>
      <c r="C195" s="165" t="s">
        <v>234</v>
      </c>
      <c r="D195" s="176" t="s">
        <v>360</v>
      </c>
      <c r="E195" s="167" t="s">
        <v>272</v>
      </c>
      <c r="F195" s="161" t="s">
        <v>234</v>
      </c>
      <c r="G195" s="165" t="s">
        <v>234</v>
      </c>
      <c r="H195" s="176" t="s">
        <v>361</v>
      </c>
      <c r="I195" s="167" t="s">
        <v>272</v>
      </c>
      <c r="J195" s="161" t="s">
        <v>234</v>
      </c>
      <c r="K195" s="165" t="s">
        <v>234</v>
      </c>
      <c r="L195" s="176" t="s">
        <v>362</v>
      </c>
      <c r="M195" s="167" t="s">
        <v>272</v>
      </c>
    </row>
    <row r="196" spans="1:13" x14ac:dyDescent="0.3">
      <c r="A196" s="184" t="s">
        <v>245</v>
      </c>
      <c r="B196" s="159" t="s">
        <v>235</v>
      </c>
      <c r="C196" s="168" t="s">
        <v>234</v>
      </c>
      <c r="D196" s="170" t="s">
        <v>363</v>
      </c>
      <c r="E196" s="156" t="s">
        <v>272</v>
      </c>
      <c r="F196" s="159" t="s">
        <v>234</v>
      </c>
      <c r="G196" s="168" t="s">
        <v>234</v>
      </c>
      <c r="H196" s="170" t="s">
        <v>364</v>
      </c>
      <c r="I196" s="156" t="s">
        <v>272</v>
      </c>
      <c r="J196" s="159" t="s">
        <v>234</v>
      </c>
      <c r="K196" s="168" t="s">
        <v>234</v>
      </c>
      <c r="L196" s="170" t="s">
        <v>365</v>
      </c>
      <c r="M196" s="156" t="s">
        <v>272</v>
      </c>
    </row>
    <row r="197" spans="1:13" x14ac:dyDescent="0.3">
      <c r="A197" s="185" t="s">
        <v>257</v>
      </c>
      <c r="B197" s="161" t="s">
        <v>235</v>
      </c>
      <c r="C197" s="165" t="s">
        <v>234</v>
      </c>
      <c r="D197" s="166">
        <v>18509</v>
      </c>
      <c r="E197" s="167" t="s">
        <v>234</v>
      </c>
      <c r="F197" s="161" t="s">
        <v>234</v>
      </c>
      <c r="G197" s="165" t="s">
        <v>234</v>
      </c>
      <c r="H197" s="166">
        <v>12597</v>
      </c>
      <c r="I197" s="167" t="s">
        <v>234</v>
      </c>
      <c r="J197" s="161" t="s">
        <v>234</v>
      </c>
      <c r="K197" s="165" t="s">
        <v>234</v>
      </c>
      <c r="L197" s="166">
        <v>12515</v>
      </c>
      <c r="M197" s="167" t="s">
        <v>234</v>
      </c>
    </row>
    <row r="198" spans="1:13" x14ac:dyDescent="0.3">
      <c r="A198" s="184" t="s">
        <v>366</v>
      </c>
      <c r="B198" s="159" t="s">
        <v>235</v>
      </c>
      <c r="C198" s="168" t="s">
        <v>234</v>
      </c>
      <c r="D198" s="169">
        <v>26033</v>
      </c>
      <c r="E198" s="156" t="s">
        <v>234</v>
      </c>
      <c r="F198" s="159" t="s">
        <v>234</v>
      </c>
      <c r="G198" s="168" t="s">
        <v>234</v>
      </c>
      <c r="H198" s="169">
        <v>26445</v>
      </c>
      <c r="I198" s="156" t="s">
        <v>234</v>
      </c>
      <c r="J198" s="159" t="s">
        <v>234</v>
      </c>
      <c r="K198" s="168" t="s">
        <v>234</v>
      </c>
      <c r="L198" s="169">
        <v>29646</v>
      </c>
      <c r="M198" s="156" t="s">
        <v>234</v>
      </c>
    </row>
    <row r="199" spans="1:13" ht="15" thickBot="1" x14ac:dyDescent="0.35">
      <c r="A199" s="185" t="s">
        <v>367</v>
      </c>
      <c r="B199" s="161" t="s">
        <v>235</v>
      </c>
      <c r="C199" s="165" t="s">
        <v>234</v>
      </c>
      <c r="D199" s="166">
        <v>129886</v>
      </c>
      <c r="E199" s="167" t="s">
        <v>234</v>
      </c>
      <c r="F199" s="161" t="s">
        <v>234</v>
      </c>
      <c r="G199" s="165" t="s">
        <v>234</v>
      </c>
      <c r="H199" s="166">
        <v>38023</v>
      </c>
      <c r="I199" s="167" t="s">
        <v>234</v>
      </c>
      <c r="J199" s="161" t="s">
        <v>234</v>
      </c>
      <c r="K199" s="165" t="s">
        <v>234</v>
      </c>
      <c r="L199" s="166">
        <v>35279</v>
      </c>
      <c r="M199" s="167" t="s">
        <v>234</v>
      </c>
    </row>
    <row r="200" spans="1:13" x14ac:dyDescent="0.3">
      <c r="A200" s="171"/>
      <c r="B200" s="171" t="s">
        <v>247</v>
      </c>
      <c r="C200" s="172"/>
      <c r="D200" s="172"/>
      <c r="E200" s="171"/>
      <c r="F200" s="171"/>
      <c r="G200" s="172"/>
      <c r="H200" s="172"/>
      <c r="I200" s="171"/>
      <c r="J200" s="171"/>
      <c r="K200" s="172"/>
      <c r="L200" s="172"/>
      <c r="M200" s="171"/>
    </row>
    <row r="201" spans="1:13" ht="15" thickBot="1" x14ac:dyDescent="0.35">
      <c r="A201" s="173" t="s">
        <v>368</v>
      </c>
      <c r="B201" s="159" t="s">
        <v>235</v>
      </c>
      <c r="C201" s="168" t="s">
        <v>234</v>
      </c>
      <c r="D201" s="169">
        <v>452664</v>
      </c>
      <c r="E201" s="156" t="s">
        <v>234</v>
      </c>
      <c r="F201" s="159" t="s">
        <v>234</v>
      </c>
      <c r="G201" s="168" t="s">
        <v>234</v>
      </c>
      <c r="H201" s="169">
        <v>410819</v>
      </c>
      <c r="I201" s="156" t="s">
        <v>234</v>
      </c>
      <c r="J201" s="159" t="s">
        <v>234</v>
      </c>
      <c r="K201" s="168" t="s">
        <v>234</v>
      </c>
      <c r="L201" s="169">
        <v>330340</v>
      </c>
      <c r="M201" s="156" t="s">
        <v>234</v>
      </c>
    </row>
    <row r="202" spans="1:13" x14ac:dyDescent="0.3">
      <c r="A202" s="171"/>
      <c r="B202" s="171" t="s">
        <v>247</v>
      </c>
      <c r="C202" s="172"/>
      <c r="D202" s="172"/>
      <c r="E202" s="171"/>
      <c r="F202" s="171"/>
      <c r="G202" s="172"/>
      <c r="H202" s="172"/>
      <c r="I202" s="171"/>
      <c r="J202" s="171"/>
      <c r="K202" s="172"/>
      <c r="L202" s="172"/>
      <c r="M202" s="171"/>
    </row>
    <row r="203" spans="1:13" x14ac:dyDescent="0.3">
      <c r="A203" s="175" t="s">
        <v>369</v>
      </c>
      <c r="B203" s="161" t="s">
        <v>235</v>
      </c>
      <c r="C203" s="162"/>
      <c r="D203" s="162"/>
      <c r="E203" s="162"/>
      <c r="F203" s="161" t="s">
        <v>234</v>
      </c>
      <c r="G203" s="162"/>
      <c r="H203" s="162"/>
      <c r="I203" s="162"/>
      <c r="J203" s="161" t="s">
        <v>234</v>
      </c>
      <c r="K203" s="162"/>
      <c r="L203" s="162"/>
      <c r="M203" s="162"/>
    </row>
    <row r="204" spans="1:13" x14ac:dyDescent="0.3">
      <c r="A204" s="163" t="s">
        <v>370</v>
      </c>
      <c r="B204" s="159" t="s">
        <v>235</v>
      </c>
      <c r="C204" s="168" t="s">
        <v>234</v>
      </c>
      <c r="D204" s="170" t="s">
        <v>371</v>
      </c>
      <c r="E204" s="156" t="s">
        <v>272</v>
      </c>
      <c r="F204" s="159" t="s">
        <v>234</v>
      </c>
      <c r="G204" s="168" t="s">
        <v>234</v>
      </c>
      <c r="H204" s="170" t="s">
        <v>372</v>
      </c>
      <c r="I204" s="156" t="s">
        <v>272</v>
      </c>
      <c r="J204" s="159" t="s">
        <v>234</v>
      </c>
      <c r="K204" s="168" t="s">
        <v>234</v>
      </c>
      <c r="L204" s="170" t="s">
        <v>373</v>
      </c>
      <c r="M204" s="156" t="s">
        <v>272</v>
      </c>
    </row>
    <row r="205" spans="1:13" x14ac:dyDescent="0.3">
      <c r="A205" s="164" t="s">
        <v>374</v>
      </c>
      <c r="B205" s="161" t="s">
        <v>235</v>
      </c>
      <c r="C205" s="165" t="s">
        <v>234</v>
      </c>
      <c r="D205" s="176" t="s">
        <v>375</v>
      </c>
      <c r="E205" s="167" t="s">
        <v>272</v>
      </c>
      <c r="F205" s="161" t="s">
        <v>234</v>
      </c>
      <c r="G205" s="165" t="s">
        <v>234</v>
      </c>
      <c r="H205" s="176" t="s">
        <v>376</v>
      </c>
      <c r="I205" s="167" t="s">
        <v>272</v>
      </c>
      <c r="J205" s="161" t="s">
        <v>234</v>
      </c>
      <c r="K205" s="165" t="s">
        <v>234</v>
      </c>
      <c r="L205" s="176" t="s">
        <v>377</v>
      </c>
      <c r="M205" s="167" t="s">
        <v>272</v>
      </c>
    </row>
    <row r="206" spans="1:13" x14ac:dyDescent="0.3">
      <c r="A206" s="163" t="s">
        <v>378</v>
      </c>
      <c r="B206" s="159" t="s">
        <v>235</v>
      </c>
      <c r="C206" s="168" t="s">
        <v>234</v>
      </c>
      <c r="D206" s="169">
        <v>3308</v>
      </c>
      <c r="E206" s="156" t="s">
        <v>234</v>
      </c>
      <c r="F206" s="159" t="s">
        <v>234</v>
      </c>
      <c r="G206" s="168" t="s">
        <v>234</v>
      </c>
      <c r="H206" s="170" t="s">
        <v>241</v>
      </c>
      <c r="I206" s="156" t="s">
        <v>234</v>
      </c>
      <c r="J206" s="159" t="s">
        <v>234</v>
      </c>
      <c r="K206" s="168" t="s">
        <v>234</v>
      </c>
      <c r="L206" s="170" t="s">
        <v>241</v>
      </c>
      <c r="M206" s="156" t="s">
        <v>234</v>
      </c>
    </row>
    <row r="207" spans="1:13" x14ac:dyDescent="0.3">
      <c r="A207" s="164" t="s">
        <v>379</v>
      </c>
      <c r="B207" s="161" t="s">
        <v>235</v>
      </c>
      <c r="C207" s="165" t="s">
        <v>234</v>
      </c>
      <c r="D207" s="176" t="s">
        <v>380</v>
      </c>
      <c r="E207" s="167" t="s">
        <v>272</v>
      </c>
      <c r="F207" s="161" t="s">
        <v>234</v>
      </c>
      <c r="G207" s="165" t="s">
        <v>234</v>
      </c>
      <c r="H207" s="176" t="s">
        <v>381</v>
      </c>
      <c r="I207" s="167" t="s">
        <v>272</v>
      </c>
      <c r="J207" s="161" t="s">
        <v>234</v>
      </c>
      <c r="K207" s="165" t="s">
        <v>234</v>
      </c>
      <c r="L207" s="176" t="s">
        <v>241</v>
      </c>
      <c r="M207" s="167" t="s">
        <v>234</v>
      </c>
    </row>
    <row r="208" spans="1:13" x14ac:dyDescent="0.3">
      <c r="A208" s="163" t="s">
        <v>382</v>
      </c>
      <c r="B208" s="159" t="s">
        <v>235</v>
      </c>
      <c r="C208" s="168" t="s">
        <v>234</v>
      </c>
      <c r="D208" s="170" t="s">
        <v>241</v>
      </c>
      <c r="E208" s="156" t="s">
        <v>234</v>
      </c>
      <c r="F208" s="159" t="s">
        <v>234</v>
      </c>
      <c r="G208" s="168" t="s">
        <v>234</v>
      </c>
      <c r="H208" s="169">
        <v>13500</v>
      </c>
      <c r="I208" s="156" t="s">
        <v>234</v>
      </c>
      <c r="J208" s="159" t="s">
        <v>234</v>
      </c>
      <c r="K208" s="168" t="s">
        <v>234</v>
      </c>
      <c r="L208" s="170" t="s">
        <v>383</v>
      </c>
      <c r="M208" s="156" t="s">
        <v>272</v>
      </c>
    </row>
    <row r="209" spans="1:13" x14ac:dyDescent="0.3">
      <c r="A209" s="164" t="s">
        <v>384</v>
      </c>
      <c r="B209" s="161" t="s">
        <v>235</v>
      </c>
      <c r="C209" s="165" t="s">
        <v>234</v>
      </c>
      <c r="D209" s="176" t="s">
        <v>385</v>
      </c>
      <c r="E209" s="167" t="s">
        <v>272</v>
      </c>
      <c r="F209" s="161" t="s">
        <v>234</v>
      </c>
      <c r="G209" s="165" t="s">
        <v>234</v>
      </c>
      <c r="H209" s="176" t="s">
        <v>241</v>
      </c>
      <c r="I209" s="167" t="s">
        <v>234</v>
      </c>
      <c r="J209" s="161" t="s">
        <v>234</v>
      </c>
      <c r="K209" s="165" t="s">
        <v>234</v>
      </c>
      <c r="L209" s="176" t="s">
        <v>241</v>
      </c>
      <c r="M209" s="167" t="s">
        <v>234</v>
      </c>
    </row>
    <row r="210" spans="1:13" x14ac:dyDescent="0.3">
      <c r="A210" s="163" t="s">
        <v>386</v>
      </c>
      <c r="B210" s="159" t="s">
        <v>235</v>
      </c>
      <c r="C210" s="168" t="s">
        <v>234</v>
      </c>
      <c r="D210" s="169">
        <v>362209</v>
      </c>
      <c r="E210" s="156" t="s">
        <v>234</v>
      </c>
      <c r="F210" s="159" t="s">
        <v>234</v>
      </c>
      <c r="G210" s="168" t="s">
        <v>234</v>
      </c>
      <c r="H210" s="170" t="s">
        <v>241</v>
      </c>
      <c r="I210" s="156" t="s">
        <v>234</v>
      </c>
      <c r="J210" s="159" t="s">
        <v>234</v>
      </c>
      <c r="K210" s="168" t="s">
        <v>234</v>
      </c>
      <c r="L210" s="170" t="s">
        <v>241</v>
      </c>
      <c r="M210" s="156" t="s">
        <v>234</v>
      </c>
    </row>
    <row r="211" spans="1:13" x14ac:dyDescent="0.3">
      <c r="A211" s="164" t="s">
        <v>387</v>
      </c>
      <c r="B211" s="161" t="s">
        <v>235</v>
      </c>
      <c r="C211" s="165" t="s">
        <v>234</v>
      </c>
      <c r="D211" s="176" t="s">
        <v>388</v>
      </c>
      <c r="E211" s="167" t="s">
        <v>272</v>
      </c>
      <c r="F211" s="161" t="s">
        <v>234</v>
      </c>
      <c r="G211" s="165" t="s">
        <v>234</v>
      </c>
      <c r="H211" s="176" t="s">
        <v>389</v>
      </c>
      <c r="I211" s="167" t="s">
        <v>272</v>
      </c>
      <c r="J211" s="161" t="s">
        <v>234</v>
      </c>
      <c r="K211" s="165" t="s">
        <v>234</v>
      </c>
      <c r="L211" s="176" t="s">
        <v>390</v>
      </c>
      <c r="M211" s="167" t="s">
        <v>272</v>
      </c>
    </row>
    <row r="212" spans="1:13" x14ac:dyDescent="0.3">
      <c r="A212" s="163" t="s">
        <v>391</v>
      </c>
      <c r="B212" s="159" t="s">
        <v>235</v>
      </c>
      <c r="C212" s="168" t="s">
        <v>234</v>
      </c>
      <c r="D212" s="170" t="s">
        <v>241</v>
      </c>
      <c r="E212" s="156" t="s">
        <v>234</v>
      </c>
      <c r="F212" s="159" t="s">
        <v>234</v>
      </c>
      <c r="G212" s="168" t="s">
        <v>234</v>
      </c>
      <c r="H212" s="170" t="s">
        <v>241</v>
      </c>
      <c r="I212" s="156" t="s">
        <v>234</v>
      </c>
      <c r="J212" s="159" t="s">
        <v>234</v>
      </c>
      <c r="K212" s="168" t="s">
        <v>234</v>
      </c>
      <c r="L212" s="170" t="s">
        <v>392</v>
      </c>
      <c r="M212" s="156" t="s">
        <v>272</v>
      </c>
    </row>
    <row r="213" spans="1:13" ht="15" thickBot="1" x14ac:dyDescent="0.35">
      <c r="A213" s="164" t="s">
        <v>393</v>
      </c>
      <c r="B213" s="161" t="s">
        <v>235</v>
      </c>
      <c r="C213" s="165" t="s">
        <v>234</v>
      </c>
      <c r="D213" s="176" t="s">
        <v>241</v>
      </c>
      <c r="E213" s="167" t="s">
        <v>234</v>
      </c>
      <c r="F213" s="161" t="s">
        <v>234</v>
      </c>
      <c r="G213" s="165" t="s">
        <v>234</v>
      </c>
      <c r="H213" s="176" t="s">
        <v>241</v>
      </c>
      <c r="I213" s="167" t="s">
        <v>234</v>
      </c>
      <c r="J213" s="161" t="s">
        <v>234</v>
      </c>
      <c r="K213" s="165" t="s">
        <v>234</v>
      </c>
      <c r="L213" s="166">
        <v>1332</v>
      </c>
      <c r="M213" s="167" t="s">
        <v>234</v>
      </c>
    </row>
    <row r="214" spans="1:13" x14ac:dyDescent="0.3">
      <c r="A214" s="171"/>
      <c r="B214" s="171" t="s">
        <v>247</v>
      </c>
      <c r="C214" s="172"/>
      <c r="D214" s="172"/>
      <c r="E214" s="171"/>
      <c r="F214" s="171"/>
      <c r="G214" s="172"/>
      <c r="H214" s="172"/>
      <c r="I214" s="171"/>
      <c r="J214" s="171"/>
      <c r="K214" s="172"/>
      <c r="L214" s="172"/>
      <c r="M214" s="171"/>
    </row>
    <row r="215" spans="1:13" ht="15" thickBot="1" x14ac:dyDescent="0.35">
      <c r="A215" s="173" t="s">
        <v>394</v>
      </c>
      <c r="B215" s="159" t="s">
        <v>235</v>
      </c>
      <c r="C215" s="168" t="s">
        <v>234</v>
      </c>
      <c r="D215" s="170" t="s">
        <v>395</v>
      </c>
      <c r="E215" s="156" t="s">
        <v>272</v>
      </c>
      <c r="F215" s="159" t="s">
        <v>234</v>
      </c>
      <c r="G215" s="168" t="s">
        <v>234</v>
      </c>
      <c r="H215" s="170" t="s">
        <v>396</v>
      </c>
      <c r="I215" s="156" t="s">
        <v>272</v>
      </c>
      <c r="J215" s="159" t="s">
        <v>234</v>
      </c>
      <c r="K215" s="168" t="s">
        <v>234</v>
      </c>
      <c r="L215" s="170" t="s">
        <v>397</v>
      </c>
      <c r="M215" s="156" t="s">
        <v>272</v>
      </c>
    </row>
    <row r="216" spans="1:13" x14ac:dyDescent="0.3">
      <c r="A216" s="171"/>
      <c r="B216" s="171" t="s">
        <v>247</v>
      </c>
      <c r="C216" s="172"/>
      <c r="D216" s="172"/>
      <c r="E216" s="171"/>
      <c r="F216" s="171"/>
      <c r="G216" s="172"/>
      <c r="H216" s="172"/>
      <c r="I216" s="171"/>
      <c r="J216" s="171"/>
      <c r="K216" s="172"/>
      <c r="L216" s="172"/>
      <c r="M216" s="171"/>
    </row>
    <row r="217" spans="1:13" x14ac:dyDescent="0.3">
      <c r="A217" s="175" t="s">
        <v>398</v>
      </c>
      <c r="B217" s="161" t="s">
        <v>235</v>
      </c>
      <c r="C217" s="162"/>
      <c r="D217" s="162"/>
      <c r="E217" s="162"/>
      <c r="F217" s="161" t="s">
        <v>234</v>
      </c>
      <c r="G217" s="162"/>
      <c r="H217" s="162"/>
      <c r="I217" s="162"/>
      <c r="J217" s="161" t="s">
        <v>234</v>
      </c>
      <c r="K217" s="162"/>
      <c r="L217" s="162"/>
      <c r="M217" s="162"/>
    </row>
    <row r="218" spans="1:13" x14ac:dyDescent="0.3">
      <c r="A218" s="163" t="s">
        <v>399</v>
      </c>
      <c r="B218" s="159" t="s">
        <v>235</v>
      </c>
      <c r="C218" s="168" t="s">
        <v>234</v>
      </c>
      <c r="D218" s="170" t="s">
        <v>400</v>
      </c>
      <c r="E218" s="156" t="s">
        <v>272</v>
      </c>
      <c r="F218" s="159" t="s">
        <v>234</v>
      </c>
      <c r="G218" s="168" t="s">
        <v>234</v>
      </c>
      <c r="H218" s="170" t="s">
        <v>401</v>
      </c>
      <c r="I218" s="156" t="s">
        <v>272</v>
      </c>
      <c r="J218" s="159" t="s">
        <v>234</v>
      </c>
      <c r="K218" s="168" t="s">
        <v>234</v>
      </c>
      <c r="L218" s="170" t="s">
        <v>402</v>
      </c>
      <c r="M218" s="156" t="s">
        <v>272</v>
      </c>
    </row>
    <row r="219" spans="1:13" x14ac:dyDescent="0.3">
      <c r="A219" s="164" t="s">
        <v>403</v>
      </c>
      <c r="B219" s="161" t="s">
        <v>235</v>
      </c>
      <c r="C219" s="165" t="s">
        <v>234</v>
      </c>
      <c r="D219" s="166">
        <v>222030</v>
      </c>
      <c r="E219" s="167" t="s">
        <v>234</v>
      </c>
      <c r="F219" s="161" t="s">
        <v>234</v>
      </c>
      <c r="G219" s="165" t="s">
        <v>234</v>
      </c>
      <c r="H219" s="166">
        <v>85816</v>
      </c>
      <c r="I219" s="167" t="s">
        <v>234</v>
      </c>
      <c r="J219" s="161" t="s">
        <v>234</v>
      </c>
      <c r="K219" s="165" t="s">
        <v>234</v>
      </c>
      <c r="L219" s="166">
        <v>59518</v>
      </c>
      <c r="M219" s="167" t="s">
        <v>234</v>
      </c>
    </row>
    <row r="220" spans="1:13" x14ac:dyDescent="0.3">
      <c r="A220" s="163" t="s">
        <v>339</v>
      </c>
      <c r="B220" s="159" t="s">
        <v>235</v>
      </c>
      <c r="C220" s="168" t="s">
        <v>234</v>
      </c>
      <c r="D220" s="170" t="s">
        <v>271</v>
      </c>
      <c r="E220" s="156" t="s">
        <v>272</v>
      </c>
      <c r="F220" s="159" t="s">
        <v>234</v>
      </c>
      <c r="G220" s="168" t="s">
        <v>234</v>
      </c>
      <c r="H220" s="170" t="s">
        <v>241</v>
      </c>
      <c r="I220" s="156" t="s">
        <v>234</v>
      </c>
      <c r="J220" s="159" t="s">
        <v>234</v>
      </c>
      <c r="K220" s="168" t="s">
        <v>234</v>
      </c>
      <c r="L220" s="170" t="s">
        <v>241</v>
      </c>
      <c r="M220" s="156" t="s">
        <v>234</v>
      </c>
    </row>
    <row r="221" spans="1:13" x14ac:dyDescent="0.3">
      <c r="A221" s="164" t="s">
        <v>341</v>
      </c>
      <c r="B221" s="161" t="s">
        <v>235</v>
      </c>
      <c r="C221" s="165" t="s">
        <v>234</v>
      </c>
      <c r="D221" s="166">
        <v>52008</v>
      </c>
      <c r="E221" s="167" t="s">
        <v>234</v>
      </c>
      <c r="F221" s="161" t="s">
        <v>234</v>
      </c>
      <c r="G221" s="165" t="s">
        <v>234</v>
      </c>
      <c r="H221" s="176" t="s">
        <v>241</v>
      </c>
      <c r="I221" s="167" t="s">
        <v>234</v>
      </c>
      <c r="J221" s="161" t="s">
        <v>234</v>
      </c>
      <c r="K221" s="165" t="s">
        <v>234</v>
      </c>
      <c r="L221" s="176" t="s">
        <v>241</v>
      </c>
      <c r="M221" s="167" t="s">
        <v>234</v>
      </c>
    </row>
    <row r="222" spans="1:13" ht="15" thickBot="1" x14ac:dyDescent="0.35">
      <c r="A222" s="163" t="s">
        <v>404</v>
      </c>
      <c r="B222" s="159" t="s">
        <v>235</v>
      </c>
      <c r="C222" s="168" t="s">
        <v>234</v>
      </c>
      <c r="D222" s="170" t="s">
        <v>405</v>
      </c>
      <c r="E222" s="156" t="s">
        <v>272</v>
      </c>
      <c r="F222" s="159" t="s">
        <v>234</v>
      </c>
      <c r="G222" s="168" t="s">
        <v>234</v>
      </c>
      <c r="H222" s="170" t="s">
        <v>406</v>
      </c>
      <c r="I222" s="156" t="s">
        <v>272</v>
      </c>
      <c r="J222" s="159" t="s">
        <v>234</v>
      </c>
      <c r="K222" s="168" t="s">
        <v>234</v>
      </c>
      <c r="L222" s="170" t="s">
        <v>407</v>
      </c>
      <c r="M222" s="156" t="s">
        <v>272</v>
      </c>
    </row>
    <row r="223" spans="1:13" x14ac:dyDescent="0.3">
      <c r="A223" s="171"/>
      <c r="B223" s="171" t="s">
        <v>247</v>
      </c>
      <c r="C223" s="172"/>
      <c r="D223" s="172"/>
      <c r="E223" s="171"/>
      <c r="F223" s="171"/>
      <c r="G223" s="172"/>
      <c r="H223" s="172"/>
      <c r="I223" s="171"/>
      <c r="J223" s="171"/>
      <c r="K223" s="172"/>
      <c r="L223" s="172"/>
      <c r="M223" s="171"/>
    </row>
    <row r="224" spans="1:13" ht="15" thickBot="1" x14ac:dyDescent="0.35">
      <c r="A224" s="181" t="s">
        <v>408</v>
      </c>
      <c r="B224" s="161" t="s">
        <v>235</v>
      </c>
      <c r="C224" s="165" t="s">
        <v>234</v>
      </c>
      <c r="D224" s="176" t="s">
        <v>409</v>
      </c>
      <c r="E224" s="167" t="s">
        <v>272</v>
      </c>
      <c r="F224" s="161" t="s">
        <v>234</v>
      </c>
      <c r="G224" s="165" t="s">
        <v>234</v>
      </c>
      <c r="H224" s="166">
        <v>25200</v>
      </c>
      <c r="I224" s="167" t="s">
        <v>234</v>
      </c>
      <c r="J224" s="161" t="s">
        <v>234</v>
      </c>
      <c r="K224" s="165" t="s">
        <v>234</v>
      </c>
      <c r="L224" s="166">
        <v>22926</v>
      </c>
      <c r="M224" s="167" t="s">
        <v>234</v>
      </c>
    </row>
    <row r="225" spans="1:13" x14ac:dyDescent="0.3">
      <c r="A225" s="171"/>
      <c r="B225" s="171" t="s">
        <v>247</v>
      </c>
      <c r="C225" s="172"/>
      <c r="D225" s="172"/>
      <c r="E225" s="171"/>
      <c r="F225" s="171"/>
      <c r="G225" s="172"/>
      <c r="H225" s="172"/>
      <c r="I225" s="171"/>
      <c r="J225" s="171"/>
      <c r="K225" s="172"/>
      <c r="L225" s="172"/>
      <c r="M225" s="171"/>
    </row>
    <row r="226" spans="1:13" x14ac:dyDescent="0.3">
      <c r="A226" s="163" t="s">
        <v>410</v>
      </c>
      <c r="B226" s="159" t="s">
        <v>235</v>
      </c>
      <c r="C226" s="168" t="s">
        <v>234</v>
      </c>
      <c r="D226" s="170" t="s">
        <v>411</v>
      </c>
      <c r="E226" s="156" t="s">
        <v>272</v>
      </c>
      <c r="F226" s="159" t="s">
        <v>234</v>
      </c>
      <c r="G226" s="168" t="s">
        <v>234</v>
      </c>
      <c r="H226" s="169">
        <v>113777</v>
      </c>
      <c r="I226" s="156" t="s">
        <v>234</v>
      </c>
      <c r="J226" s="159" t="s">
        <v>234</v>
      </c>
      <c r="K226" s="168" t="s">
        <v>234</v>
      </c>
      <c r="L226" s="169">
        <v>28968</v>
      </c>
      <c r="M226" s="156" t="s">
        <v>234</v>
      </c>
    </row>
    <row r="227" spans="1:13" ht="15" thickBot="1" x14ac:dyDescent="0.35">
      <c r="A227" s="164" t="s">
        <v>412</v>
      </c>
      <c r="B227" s="161" t="s">
        <v>235</v>
      </c>
      <c r="C227" s="165" t="s">
        <v>234</v>
      </c>
      <c r="D227" s="166">
        <v>308524</v>
      </c>
      <c r="E227" s="167" t="s">
        <v>234</v>
      </c>
      <c r="F227" s="161" t="s">
        <v>234</v>
      </c>
      <c r="G227" s="165" t="s">
        <v>234</v>
      </c>
      <c r="H227" s="166">
        <v>194747</v>
      </c>
      <c r="I227" s="167" t="s">
        <v>234</v>
      </c>
      <c r="J227" s="161" t="s">
        <v>234</v>
      </c>
      <c r="K227" s="165" t="s">
        <v>234</v>
      </c>
      <c r="L227" s="166">
        <v>165779</v>
      </c>
      <c r="M227" s="167" t="s">
        <v>234</v>
      </c>
    </row>
    <row r="228" spans="1:13" x14ac:dyDescent="0.3">
      <c r="A228" s="171"/>
      <c r="B228" s="171" t="s">
        <v>247</v>
      </c>
      <c r="C228" s="172"/>
      <c r="D228" s="172"/>
      <c r="E228" s="171"/>
      <c r="F228" s="171"/>
      <c r="G228" s="172"/>
      <c r="H228" s="172"/>
      <c r="I228" s="171"/>
      <c r="J228" s="171"/>
      <c r="K228" s="172"/>
      <c r="L228" s="172"/>
      <c r="M228" s="171"/>
    </row>
    <row r="229" spans="1:13" ht="15" thickBot="1" x14ac:dyDescent="0.35">
      <c r="A229" s="163" t="s">
        <v>413</v>
      </c>
      <c r="B229" s="159" t="s">
        <v>235</v>
      </c>
      <c r="C229" s="168" t="s">
        <v>239</v>
      </c>
      <c r="D229" s="169">
        <v>2252</v>
      </c>
      <c r="E229" s="156" t="s">
        <v>234</v>
      </c>
      <c r="F229" s="159" t="s">
        <v>234</v>
      </c>
      <c r="G229" s="168" t="s">
        <v>239</v>
      </c>
      <c r="H229" s="169">
        <v>308524</v>
      </c>
      <c r="I229" s="156" t="s">
        <v>234</v>
      </c>
      <c r="J229" s="159" t="s">
        <v>234</v>
      </c>
      <c r="K229" s="168" t="s">
        <v>239</v>
      </c>
      <c r="L229" s="169">
        <v>194747</v>
      </c>
      <c r="M229" s="156" t="s">
        <v>234</v>
      </c>
    </row>
    <row r="230" spans="1:13" ht="15" thickTop="1" x14ac:dyDescent="0.3">
      <c r="A230" s="171"/>
      <c r="B230" s="171" t="s">
        <v>247</v>
      </c>
      <c r="C230" s="174"/>
      <c r="D230" s="174"/>
      <c r="E230" s="171"/>
      <c r="F230" s="171"/>
      <c r="G230" s="174"/>
      <c r="H230" s="174"/>
      <c r="I230" s="171"/>
      <c r="J230" s="171"/>
      <c r="K230" s="174"/>
      <c r="L230" s="174"/>
      <c r="M230" s="171"/>
    </row>
    <row r="231" spans="1:13" x14ac:dyDescent="0.3">
      <c r="A231" s="164" t="s">
        <v>414</v>
      </c>
      <c r="B231" s="161" t="s">
        <v>235</v>
      </c>
      <c r="C231" s="162"/>
      <c r="D231" s="162"/>
      <c r="E231" s="162"/>
      <c r="F231" s="161" t="s">
        <v>234</v>
      </c>
      <c r="G231" s="162"/>
      <c r="H231" s="162"/>
      <c r="I231" s="162"/>
      <c r="J231" s="161" t="s">
        <v>234</v>
      </c>
      <c r="K231" s="162"/>
      <c r="L231" s="162"/>
      <c r="M231" s="162"/>
    </row>
    <row r="232" spans="1:13" x14ac:dyDescent="0.3">
      <c r="A232" s="173" t="s">
        <v>415</v>
      </c>
      <c r="B232" s="159" t="s">
        <v>235</v>
      </c>
      <c r="C232" s="168" t="s">
        <v>239</v>
      </c>
      <c r="D232" s="170">
        <v>607</v>
      </c>
      <c r="E232" s="156" t="s">
        <v>234</v>
      </c>
      <c r="F232" s="159" t="s">
        <v>234</v>
      </c>
      <c r="G232" s="168" t="s">
        <v>239</v>
      </c>
      <c r="H232" s="169">
        <v>1063</v>
      </c>
      <c r="I232" s="156" t="s">
        <v>234</v>
      </c>
      <c r="J232" s="159" t="s">
        <v>234</v>
      </c>
      <c r="K232" s="168" t="s">
        <v>239</v>
      </c>
      <c r="L232" s="169">
        <v>2127</v>
      </c>
      <c r="M232" s="156" t="s">
        <v>234</v>
      </c>
    </row>
    <row r="233" spans="1:13" x14ac:dyDescent="0.3">
      <c r="A233" s="181" t="s">
        <v>416</v>
      </c>
      <c r="B233" s="161" t="s">
        <v>235</v>
      </c>
      <c r="C233" s="165" t="s">
        <v>239</v>
      </c>
      <c r="D233" s="166">
        <v>70220</v>
      </c>
      <c r="E233" s="167" t="s">
        <v>234</v>
      </c>
      <c r="F233" s="161" t="s">
        <v>234</v>
      </c>
      <c r="G233" s="165" t="s">
        <v>239</v>
      </c>
      <c r="H233" s="166">
        <v>74706</v>
      </c>
      <c r="I233" s="167" t="s">
        <v>234</v>
      </c>
      <c r="J233" s="161" t="s">
        <v>234</v>
      </c>
      <c r="K233" s="165" t="s">
        <v>239</v>
      </c>
      <c r="L233" s="166">
        <v>60372</v>
      </c>
      <c r="M233" s="167" t="s">
        <v>234</v>
      </c>
    </row>
    <row r="234" spans="1:13" x14ac:dyDescent="0.3">
      <c r="A234" s="163" t="s">
        <v>417</v>
      </c>
      <c r="B234" s="159" t="s">
        <v>235</v>
      </c>
      <c r="C234" s="158"/>
      <c r="D234" s="158"/>
      <c r="E234" s="158"/>
      <c r="F234" s="159" t="s">
        <v>234</v>
      </c>
      <c r="G234" s="158"/>
      <c r="H234" s="158"/>
      <c r="I234" s="158"/>
      <c r="J234" s="159" t="s">
        <v>234</v>
      </c>
      <c r="K234" s="158"/>
      <c r="L234" s="158"/>
      <c r="M234" s="158"/>
    </row>
    <row r="235" spans="1:13" x14ac:dyDescent="0.3">
      <c r="A235" s="181" t="s">
        <v>418</v>
      </c>
      <c r="B235" s="161" t="s">
        <v>235</v>
      </c>
      <c r="C235" s="165" t="s">
        <v>239</v>
      </c>
      <c r="D235" s="176" t="s">
        <v>241</v>
      </c>
      <c r="E235" s="167" t="s">
        <v>234</v>
      </c>
      <c r="F235" s="161" t="s">
        <v>234</v>
      </c>
      <c r="G235" s="165" t="s">
        <v>239</v>
      </c>
      <c r="H235" s="176" t="s">
        <v>241</v>
      </c>
      <c r="I235" s="167" t="s">
        <v>234</v>
      </c>
      <c r="J235" s="161" t="s">
        <v>234</v>
      </c>
      <c r="K235" s="165" t="s">
        <v>239</v>
      </c>
      <c r="L235" s="166">
        <v>16375</v>
      </c>
      <c r="M235" s="167" t="s">
        <v>234</v>
      </c>
    </row>
    <row r="236" spans="1:13" x14ac:dyDescent="0.3">
      <c r="A236" s="173" t="s">
        <v>419</v>
      </c>
      <c r="B236" s="159" t="s">
        <v>235</v>
      </c>
      <c r="C236" s="168" t="s">
        <v>239</v>
      </c>
      <c r="D236" s="169">
        <v>4922</v>
      </c>
      <c r="E236" s="156" t="s">
        <v>234</v>
      </c>
      <c r="F236" s="159" t="s">
        <v>234</v>
      </c>
      <c r="G236" s="168" t="s">
        <v>239</v>
      </c>
      <c r="H236" s="169">
        <v>147794</v>
      </c>
      <c r="I236" s="156" t="s">
        <v>234</v>
      </c>
      <c r="J236" s="159" t="s">
        <v>234</v>
      </c>
      <c r="K236" s="168" t="s">
        <v>239</v>
      </c>
      <c r="L236" s="170">
        <v>293</v>
      </c>
      <c r="M236" s="156" t="s">
        <v>234</v>
      </c>
    </row>
    <row r="239" spans="1:13" x14ac:dyDescent="0.3">
      <c r="A239" s="155" t="s">
        <v>230</v>
      </c>
    </row>
    <row r="240" spans="1:13" x14ac:dyDescent="0.3">
      <c r="A240" s="155" t="s">
        <v>420</v>
      </c>
    </row>
    <row r="241" spans="1:1" x14ac:dyDescent="0.3">
      <c r="A241" s="156" t="s">
        <v>282</v>
      </c>
    </row>
    <row r="242" spans="1:1" x14ac:dyDescent="0.3">
      <c r="A242" s="155" t="s">
        <v>421</v>
      </c>
    </row>
    <row r="243" spans="1:1" x14ac:dyDescent="0.3">
      <c r="A243" s="156" t="s">
        <v>422</v>
      </c>
    </row>
    <row r="244" spans="1:1" x14ac:dyDescent="0.3">
      <c r="A244" s="155" t="s">
        <v>423</v>
      </c>
    </row>
    <row r="245" spans="1:1" x14ac:dyDescent="0.3">
      <c r="A245" s="177" t="s">
        <v>424</v>
      </c>
    </row>
    <row r="246" spans="1:1" x14ac:dyDescent="0.3">
      <c r="A246" s="156" t="s">
        <v>425</v>
      </c>
    </row>
    <row r="247" spans="1:1" x14ac:dyDescent="0.3">
      <c r="A247" s="177" t="s">
        <v>426</v>
      </c>
    </row>
    <row r="248" spans="1:1" x14ac:dyDescent="0.3">
      <c r="A248" s="156" t="s">
        <v>427</v>
      </c>
    </row>
    <row r="249" spans="1:1" x14ac:dyDescent="0.3">
      <c r="A249" s="177" t="s">
        <v>428</v>
      </c>
    </row>
    <row r="250" spans="1:1" x14ac:dyDescent="0.3">
      <c r="A250" s="156" t="s">
        <v>429</v>
      </c>
    </row>
    <row r="251" spans="1:1" x14ac:dyDescent="0.3">
      <c r="A251" s="177" t="s">
        <v>430</v>
      </c>
    </row>
    <row r="252" spans="1:1" x14ac:dyDescent="0.3">
      <c r="A252" s="156" t="s">
        <v>431</v>
      </c>
    </row>
    <row r="253" spans="1:1" x14ac:dyDescent="0.3">
      <c r="A253" s="177" t="s">
        <v>432</v>
      </c>
    </row>
    <row r="254" spans="1:1" x14ac:dyDescent="0.3">
      <c r="A254" s="156" t="s">
        <v>433</v>
      </c>
    </row>
    <row r="255" spans="1:1" x14ac:dyDescent="0.3">
      <c r="A255" s="177" t="s">
        <v>434</v>
      </c>
    </row>
    <row r="256" spans="1:1" x14ac:dyDescent="0.3">
      <c r="A256" s="156" t="s">
        <v>435</v>
      </c>
    </row>
    <row r="257" spans="1:1" x14ac:dyDescent="0.3">
      <c r="A257" s="156" t="s">
        <v>436</v>
      </c>
    </row>
    <row r="258" spans="1:1" x14ac:dyDescent="0.3">
      <c r="A258" s="178" t="s">
        <v>234</v>
      </c>
    </row>
    <row r="259" spans="1:1" x14ac:dyDescent="0.3">
      <c r="A259" s="179">
        <v>41</v>
      </c>
    </row>
    <row r="263" spans="1:1" x14ac:dyDescent="0.3">
      <c r="A263" s="180" t="s">
        <v>279</v>
      </c>
    </row>
    <row r="265" spans="1:1" x14ac:dyDescent="0.3">
      <c r="A265" s="156" t="s">
        <v>437</v>
      </c>
    </row>
    <row r="266" spans="1:1" x14ac:dyDescent="0.3">
      <c r="A266" s="177" t="s">
        <v>438</v>
      </c>
    </row>
    <row r="267" spans="1:1" x14ac:dyDescent="0.3">
      <c r="A267" s="156" t="s">
        <v>439</v>
      </c>
    </row>
    <row r="268" spans="1:1" x14ac:dyDescent="0.3">
      <c r="A268" s="177" t="s">
        <v>440</v>
      </c>
    </row>
    <row r="269" spans="1:1" x14ac:dyDescent="0.3">
      <c r="A269" s="156" t="s">
        <v>441</v>
      </c>
    </row>
    <row r="270" spans="1:1" x14ac:dyDescent="0.3">
      <c r="A270" s="177" t="s">
        <v>250</v>
      </c>
    </row>
    <row r="271" spans="1:1" x14ac:dyDescent="0.3">
      <c r="A271" s="156" t="s">
        <v>442</v>
      </c>
    </row>
    <row r="272" spans="1:1" x14ac:dyDescent="0.3">
      <c r="A272" s="177" t="s">
        <v>443</v>
      </c>
    </row>
    <row r="273" spans="1:13" x14ac:dyDescent="0.3">
      <c r="A273" s="156" t="s">
        <v>444</v>
      </c>
    </row>
    <row r="274" spans="1:13" x14ac:dyDescent="0.3">
      <c r="A274" s="177" t="s">
        <v>445</v>
      </c>
    </row>
    <row r="275" spans="1:13" x14ac:dyDescent="0.3">
      <c r="A275" s="156" t="s">
        <v>446</v>
      </c>
    </row>
    <row r="276" spans="1:13" x14ac:dyDescent="0.3">
      <c r="A276" s="177" t="s">
        <v>447</v>
      </c>
    </row>
    <row r="277" spans="1:13" x14ac:dyDescent="0.3">
      <c r="A277" s="156" t="s">
        <v>448</v>
      </c>
    </row>
    <row r="278" spans="1:13" x14ac:dyDescent="0.3">
      <c r="A278" s="178" t="s">
        <v>234</v>
      </c>
    </row>
    <row r="279" spans="1:13" x14ac:dyDescent="0.3">
      <c r="A279" s="179">
        <v>42</v>
      </c>
    </row>
    <row r="283" spans="1:13" x14ac:dyDescent="0.3">
      <c r="A283" s="180" t="s">
        <v>279</v>
      </c>
    </row>
    <row r="285" spans="1:13" x14ac:dyDescent="0.3">
      <c r="A285" s="156" t="s">
        <v>449</v>
      </c>
    </row>
    <row r="286" spans="1:13" x14ac:dyDescent="0.3">
      <c r="A286" s="157"/>
    </row>
    <row r="287" spans="1:13" x14ac:dyDescent="0.3">
      <c r="A287" s="158"/>
      <c r="B287" s="158"/>
      <c r="C287" s="158"/>
      <c r="D287" s="158"/>
      <c r="E287" s="158"/>
      <c r="F287" s="158"/>
      <c r="G287" s="158"/>
      <c r="H287" s="158"/>
      <c r="I287" s="158"/>
      <c r="J287" s="158"/>
      <c r="K287" s="158"/>
      <c r="L287" s="158"/>
      <c r="M287" s="158"/>
    </row>
    <row r="288" spans="1:13" ht="15" thickBot="1" x14ac:dyDescent="0.35">
      <c r="A288" s="159" t="s">
        <v>234</v>
      </c>
      <c r="B288" s="159" t="s">
        <v>235</v>
      </c>
      <c r="C288" s="300">
        <v>2006</v>
      </c>
      <c r="D288" s="300"/>
      <c r="E288" s="300"/>
      <c r="F288" s="300"/>
      <c r="G288" s="300"/>
      <c r="H288" s="159" t="s">
        <v>235</v>
      </c>
      <c r="I288" s="300">
        <v>2005</v>
      </c>
      <c r="J288" s="300"/>
      <c r="K288" s="300"/>
      <c r="L288" s="300"/>
      <c r="M288" s="300"/>
    </row>
    <row r="289" spans="1:13" x14ac:dyDescent="0.3">
      <c r="A289" s="304" t="s">
        <v>234</v>
      </c>
      <c r="B289" s="304" t="s">
        <v>235</v>
      </c>
      <c r="C289" s="307" t="s">
        <v>450</v>
      </c>
      <c r="D289" s="307"/>
      <c r="E289" s="308" t="s">
        <v>235</v>
      </c>
      <c r="F289" s="307" t="s">
        <v>451</v>
      </c>
      <c r="G289" s="307"/>
      <c r="H289" s="304" t="s">
        <v>235</v>
      </c>
      <c r="I289" s="307" t="s">
        <v>450</v>
      </c>
      <c r="J289" s="307"/>
      <c r="K289" s="308" t="s">
        <v>235</v>
      </c>
      <c r="L289" s="307" t="s">
        <v>451</v>
      </c>
      <c r="M289" s="307"/>
    </row>
    <row r="290" spans="1:13" ht="15" thickBot="1" x14ac:dyDescent="0.35">
      <c r="A290" s="304"/>
      <c r="B290" s="304"/>
      <c r="C290" s="300" t="s">
        <v>452</v>
      </c>
      <c r="D290" s="300"/>
      <c r="E290" s="304"/>
      <c r="F290" s="300" t="s">
        <v>453</v>
      </c>
      <c r="G290" s="300"/>
      <c r="H290" s="304"/>
      <c r="I290" s="300" t="s">
        <v>452</v>
      </c>
      <c r="J290" s="300"/>
      <c r="K290" s="304"/>
      <c r="L290" s="300" t="s">
        <v>453</v>
      </c>
      <c r="M290" s="300"/>
    </row>
    <row r="291" spans="1:13" x14ac:dyDescent="0.3">
      <c r="A291" s="164" t="s">
        <v>454</v>
      </c>
      <c r="B291" s="161" t="s">
        <v>235</v>
      </c>
      <c r="C291" s="165" t="s">
        <v>239</v>
      </c>
      <c r="D291" s="166">
        <v>8320</v>
      </c>
      <c r="E291" s="161" t="s">
        <v>235</v>
      </c>
      <c r="F291" s="165" t="s">
        <v>239</v>
      </c>
      <c r="G291" s="166">
        <v>19298</v>
      </c>
      <c r="H291" s="161" t="s">
        <v>235</v>
      </c>
      <c r="I291" s="165" t="s">
        <v>239</v>
      </c>
      <c r="J291" s="166">
        <v>12850</v>
      </c>
      <c r="K291" s="161" t="s">
        <v>235</v>
      </c>
      <c r="L291" s="165" t="s">
        <v>239</v>
      </c>
      <c r="M291" s="166">
        <v>34635</v>
      </c>
    </row>
    <row r="292" spans="1:13" x14ac:dyDescent="0.3">
      <c r="A292" s="163" t="s">
        <v>455</v>
      </c>
      <c r="B292" s="159" t="s">
        <v>235</v>
      </c>
      <c r="C292" s="168" t="s">
        <v>234</v>
      </c>
      <c r="D292" s="170" t="s">
        <v>241</v>
      </c>
      <c r="E292" s="159" t="s">
        <v>235</v>
      </c>
      <c r="F292" s="168" t="s">
        <v>234</v>
      </c>
      <c r="G292" s="170" t="s">
        <v>241</v>
      </c>
      <c r="H292" s="159" t="s">
        <v>235</v>
      </c>
      <c r="I292" s="168" t="s">
        <v>234</v>
      </c>
      <c r="J292" s="169">
        <v>5714</v>
      </c>
      <c r="K292" s="159" t="s">
        <v>235</v>
      </c>
      <c r="L292" s="168" t="s">
        <v>234</v>
      </c>
      <c r="M292" s="169">
        <v>5828</v>
      </c>
    </row>
    <row r="293" spans="1:13" x14ac:dyDescent="0.3">
      <c r="A293" s="177" t="s">
        <v>456</v>
      </c>
    </row>
    <row r="294" spans="1:13" x14ac:dyDescent="0.3">
      <c r="A294" s="156" t="s">
        <v>457</v>
      </c>
    </row>
    <row r="295" spans="1:13" x14ac:dyDescent="0.3">
      <c r="A295" s="177" t="s">
        <v>458</v>
      </c>
    </row>
    <row r="296" spans="1:13" x14ac:dyDescent="0.3">
      <c r="A296" s="156" t="s">
        <v>459</v>
      </c>
    </row>
    <row r="297" spans="1:13" x14ac:dyDescent="0.3">
      <c r="A297" s="177" t="s">
        <v>460</v>
      </c>
    </row>
    <row r="298" spans="1:13" x14ac:dyDescent="0.3">
      <c r="A298" s="156" t="s">
        <v>461</v>
      </c>
    </row>
    <row r="299" spans="1:13" x14ac:dyDescent="0.3">
      <c r="A299" s="177" t="s">
        <v>462</v>
      </c>
    </row>
    <row r="300" spans="1:13" x14ac:dyDescent="0.3">
      <c r="A300" s="156" t="s">
        <v>463</v>
      </c>
    </row>
    <row r="301" spans="1:13" x14ac:dyDescent="0.3">
      <c r="A301" s="177" t="s">
        <v>464</v>
      </c>
    </row>
    <row r="302" spans="1:13" x14ac:dyDescent="0.3">
      <c r="A302" s="156" t="s">
        <v>465</v>
      </c>
    </row>
    <row r="303" spans="1:13" x14ac:dyDescent="0.3">
      <c r="A303" s="177" t="s">
        <v>466</v>
      </c>
    </row>
    <row r="304" spans="1:13" x14ac:dyDescent="0.3">
      <c r="A304" s="156" t="s">
        <v>467</v>
      </c>
    </row>
    <row r="305" spans="1:1" x14ac:dyDescent="0.3">
      <c r="A305" s="178" t="s">
        <v>234</v>
      </c>
    </row>
    <row r="306" spans="1:1" x14ac:dyDescent="0.3">
      <c r="A306" s="179">
        <v>43</v>
      </c>
    </row>
    <row r="310" spans="1:1" x14ac:dyDescent="0.3">
      <c r="A310" s="180" t="s">
        <v>279</v>
      </c>
    </row>
    <row r="312" spans="1:1" x14ac:dyDescent="0.3">
      <c r="A312" s="156" t="s">
        <v>468</v>
      </c>
    </row>
    <row r="313" spans="1:1" x14ac:dyDescent="0.3">
      <c r="A313" s="156" t="s">
        <v>469</v>
      </c>
    </row>
    <row r="314" spans="1:1" x14ac:dyDescent="0.3">
      <c r="A314" s="156" t="s">
        <v>470</v>
      </c>
    </row>
    <row r="315" spans="1:1" x14ac:dyDescent="0.3">
      <c r="A315" s="156" t="s">
        <v>471</v>
      </c>
    </row>
    <row r="316" spans="1:1" x14ac:dyDescent="0.3">
      <c r="A316" s="156" t="s">
        <v>472</v>
      </c>
    </row>
    <row r="317" spans="1:1" x14ac:dyDescent="0.3">
      <c r="A317" s="156" t="s">
        <v>473</v>
      </c>
    </row>
    <row r="318" spans="1:1" x14ac:dyDescent="0.3">
      <c r="A318" s="177" t="s">
        <v>474</v>
      </c>
    </row>
    <row r="319" spans="1:1" x14ac:dyDescent="0.3">
      <c r="A319" s="156" t="s">
        <v>475</v>
      </c>
    </row>
    <row r="320" spans="1:1" x14ac:dyDescent="0.3">
      <c r="A320" s="177" t="s">
        <v>476</v>
      </c>
    </row>
    <row r="321" spans="1:1" x14ac:dyDescent="0.3">
      <c r="A321" s="156" t="s">
        <v>477</v>
      </c>
    </row>
    <row r="322" spans="1:1" x14ac:dyDescent="0.3">
      <c r="A322" s="178" t="s">
        <v>234</v>
      </c>
    </row>
    <row r="323" spans="1:1" x14ac:dyDescent="0.3">
      <c r="A323" s="179">
        <v>44</v>
      </c>
    </row>
    <row r="327" spans="1:1" x14ac:dyDescent="0.3">
      <c r="A327" s="180" t="s">
        <v>279</v>
      </c>
    </row>
    <row r="329" spans="1:1" x14ac:dyDescent="0.3">
      <c r="A329" s="177" t="s">
        <v>478</v>
      </c>
    </row>
    <row r="330" spans="1:1" x14ac:dyDescent="0.3">
      <c r="A330" s="156" t="s">
        <v>479</v>
      </c>
    </row>
    <row r="331" spans="1:1" x14ac:dyDescent="0.3">
      <c r="A331" s="177" t="s">
        <v>480</v>
      </c>
    </row>
    <row r="332" spans="1:1" x14ac:dyDescent="0.3">
      <c r="A332" s="156" t="s">
        <v>481</v>
      </c>
    </row>
    <row r="333" spans="1:1" x14ac:dyDescent="0.3">
      <c r="A333" s="177" t="s">
        <v>482</v>
      </c>
    </row>
    <row r="334" spans="1:1" x14ac:dyDescent="0.3">
      <c r="A334" s="156" t="s">
        <v>483</v>
      </c>
    </row>
    <row r="335" spans="1:1" x14ac:dyDescent="0.3">
      <c r="A335" s="177" t="s">
        <v>484</v>
      </c>
    </row>
    <row r="336" spans="1:1" x14ac:dyDescent="0.3">
      <c r="A336" s="156" t="s">
        <v>485</v>
      </c>
    </row>
    <row r="337" spans="1:1" x14ac:dyDescent="0.3">
      <c r="A337" s="177" t="s">
        <v>486</v>
      </c>
    </row>
    <row r="338" spans="1:1" x14ac:dyDescent="0.3">
      <c r="A338" s="156" t="s">
        <v>487</v>
      </c>
    </row>
    <row r="339" spans="1:1" x14ac:dyDescent="0.3">
      <c r="A339" s="177" t="s">
        <v>488</v>
      </c>
    </row>
    <row r="340" spans="1:1" x14ac:dyDescent="0.3">
      <c r="A340" s="156" t="s">
        <v>489</v>
      </c>
    </row>
    <row r="341" spans="1:1" x14ac:dyDescent="0.3">
      <c r="A341" s="156" t="s">
        <v>490</v>
      </c>
    </row>
    <row r="342" spans="1:1" x14ac:dyDescent="0.3">
      <c r="A342" s="156" t="s">
        <v>491</v>
      </c>
    </row>
    <row r="343" spans="1:1" x14ac:dyDescent="0.3">
      <c r="A343" s="178" t="s">
        <v>234</v>
      </c>
    </row>
    <row r="344" spans="1:1" x14ac:dyDescent="0.3">
      <c r="A344" s="179">
        <v>45</v>
      </c>
    </row>
    <row r="348" spans="1:1" x14ac:dyDescent="0.3">
      <c r="A348" s="180" t="s">
        <v>279</v>
      </c>
    </row>
    <row r="350" spans="1:1" x14ac:dyDescent="0.3">
      <c r="A350" s="156" t="s">
        <v>492</v>
      </c>
    </row>
    <row r="351" spans="1:1" x14ac:dyDescent="0.3">
      <c r="A351" s="156" t="s">
        <v>493</v>
      </c>
    </row>
    <row r="352" spans="1:1" x14ac:dyDescent="0.3">
      <c r="A352" s="155" t="s">
        <v>494</v>
      </c>
    </row>
    <row r="353" spans="1:7" x14ac:dyDescent="0.3">
      <c r="A353" s="156" t="s">
        <v>495</v>
      </c>
    </row>
    <row r="354" spans="1:7" x14ac:dyDescent="0.3">
      <c r="A354" s="155" t="s">
        <v>496</v>
      </c>
    </row>
    <row r="355" spans="1:7" x14ac:dyDescent="0.3">
      <c r="A355" s="156" t="s">
        <v>497</v>
      </c>
    </row>
    <row r="356" spans="1:7" x14ac:dyDescent="0.3">
      <c r="A356" s="157"/>
    </row>
    <row r="357" spans="1:7" x14ac:dyDescent="0.3">
      <c r="A357" s="158"/>
      <c r="B357" s="158"/>
      <c r="C357" s="158"/>
      <c r="D357" s="158"/>
      <c r="E357" s="158"/>
      <c r="F357" s="158"/>
      <c r="G357" s="158"/>
    </row>
    <row r="358" spans="1:7" ht="15" thickBot="1" x14ac:dyDescent="0.35">
      <c r="A358" s="159" t="s">
        <v>234</v>
      </c>
      <c r="B358" s="159" t="s">
        <v>235</v>
      </c>
      <c r="C358" s="300">
        <v>2006</v>
      </c>
      <c r="D358" s="300"/>
      <c r="E358" s="159" t="s">
        <v>235</v>
      </c>
      <c r="F358" s="300">
        <v>2005</v>
      </c>
      <c r="G358" s="300"/>
    </row>
    <row r="359" spans="1:7" x14ac:dyDescent="0.3">
      <c r="A359" s="164" t="s">
        <v>498</v>
      </c>
      <c r="B359" s="161" t="s">
        <v>235</v>
      </c>
      <c r="C359" s="165" t="s">
        <v>239</v>
      </c>
      <c r="D359" s="166">
        <v>39993</v>
      </c>
      <c r="E359" s="161" t="s">
        <v>235</v>
      </c>
      <c r="F359" s="165" t="s">
        <v>239</v>
      </c>
      <c r="G359" s="166">
        <v>34396</v>
      </c>
    </row>
    <row r="360" spans="1:7" x14ac:dyDescent="0.3">
      <c r="A360" s="163" t="s">
        <v>499</v>
      </c>
      <c r="B360" s="159" t="s">
        <v>235</v>
      </c>
      <c r="C360" s="168" t="s">
        <v>234</v>
      </c>
      <c r="D360" s="169">
        <v>955130</v>
      </c>
      <c r="E360" s="159" t="s">
        <v>235</v>
      </c>
      <c r="F360" s="168" t="s">
        <v>234</v>
      </c>
      <c r="G360" s="169">
        <v>784000</v>
      </c>
    </row>
    <row r="361" spans="1:7" x14ac:dyDescent="0.3">
      <c r="A361" s="164" t="s">
        <v>500</v>
      </c>
      <c r="B361" s="161" t="s">
        <v>235</v>
      </c>
      <c r="C361" s="165" t="s">
        <v>234</v>
      </c>
      <c r="D361" s="166">
        <v>779050</v>
      </c>
      <c r="E361" s="161" t="s">
        <v>235</v>
      </c>
      <c r="F361" s="165" t="s">
        <v>234</v>
      </c>
      <c r="G361" s="166">
        <v>692403</v>
      </c>
    </row>
    <row r="362" spans="1:7" ht="15" thickBot="1" x14ac:dyDescent="0.35">
      <c r="A362" s="163" t="s">
        <v>501</v>
      </c>
      <c r="B362" s="159" t="s">
        <v>235</v>
      </c>
      <c r="C362" s="168" t="s">
        <v>234</v>
      </c>
      <c r="D362" s="169">
        <v>168105</v>
      </c>
      <c r="E362" s="159" t="s">
        <v>235</v>
      </c>
      <c r="F362" s="168" t="s">
        <v>234</v>
      </c>
      <c r="G362" s="169">
        <v>133061</v>
      </c>
    </row>
    <row r="363" spans="1:7" x14ac:dyDescent="0.3">
      <c r="A363" s="171"/>
      <c r="B363" s="171" t="s">
        <v>247</v>
      </c>
      <c r="C363" s="172"/>
      <c r="D363" s="172"/>
      <c r="E363" s="171" t="s">
        <v>247</v>
      </c>
      <c r="F363" s="172"/>
      <c r="G363" s="172"/>
    </row>
    <row r="364" spans="1:7" x14ac:dyDescent="0.3">
      <c r="A364" s="186"/>
      <c r="B364" s="161" t="s">
        <v>235</v>
      </c>
      <c r="C364" s="165" t="s">
        <v>234</v>
      </c>
      <c r="D364" s="166">
        <v>1942278</v>
      </c>
      <c r="E364" s="161" t="s">
        <v>235</v>
      </c>
      <c r="F364" s="165" t="s">
        <v>234</v>
      </c>
      <c r="G364" s="166">
        <v>1643860</v>
      </c>
    </row>
    <row r="365" spans="1:7" ht="15" thickBot="1" x14ac:dyDescent="0.35">
      <c r="A365" s="163" t="s">
        <v>502</v>
      </c>
      <c r="B365" s="159" t="s">
        <v>235</v>
      </c>
      <c r="C365" s="168" t="s">
        <v>234</v>
      </c>
      <c r="D365" s="169">
        <v>706145</v>
      </c>
      <c r="E365" s="159" t="s">
        <v>235</v>
      </c>
      <c r="F365" s="168" t="s">
        <v>234</v>
      </c>
      <c r="G365" s="169">
        <v>589255</v>
      </c>
    </row>
    <row r="366" spans="1:7" x14ac:dyDescent="0.3">
      <c r="A366" s="171"/>
      <c r="B366" s="171" t="s">
        <v>247</v>
      </c>
      <c r="C366" s="172"/>
      <c r="D366" s="172"/>
      <c r="E366" s="171" t="s">
        <v>247</v>
      </c>
      <c r="F366" s="172"/>
      <c r="G366" s="172"/>
    </row>
    <row r="367" spans="1:7" ht="15" thickBot="1" x14ac:dyDescent="0.35">
      <c r="A367" s="186"/>
      <c r="B367" s="161" t="s">
        <v>235</v>
      </c>
      <c r="C367" s="165" t="s">
        <v>239</v>
      </c>
      <c r="D367" s="166">
        <v>1236133</v>
      </c>
      <c r="E367" s="161" t="s">
        <v>235</v>
      </c>
      <c r="F367" s="165" t="s">
        <v>239</v>
      </c>
      <c r="G367" s="166">
        <v>1054605</v>
      </c>
    </row>
    <row r="368" spans="1:7" ht="15" thickTop="1" x14ac:dyDescent="0.3">
      <c r="A368" s="171"/>
      <c r="B368" s="171" t="s">
        <v>247</v>
      </c>
      <c r="C368" s="174"/>
      <c r="D368" s="174"/>
      <c r="E368" s="171" t="s">
        <v>247</v>
      </c>
      <c r="F368" s="174"/>
      <c r="G368" s="174"/>
    </row>
    <row r="369" spans="1:2" x14ac:dyDescent="0.3">
      <c r="A369" s="156" t="s">
        <v>503</v>
      </c>
    </row>
    <row r="370" spans="1:2" x14ac:dyDescent="0.3">
      <c r="A370" s="178" t="s">
        <v>234</v>
      </c>
    </row>
    <row r="371" spans="1:2" x14ac:dyDescent="0.3">
      <c r="A371" s="179">
        <v>46</v>
      </c>
    </row>
    <row r="375" spans="1:2" x14ac:dyDescent="0.3">
      <c r="A375" s="180" t="s">
        <v>279</v>
      </c>
    </row>
    <row r="377" spans="1:2" x14ac:dyDescent="0.3">
      <c r="A377" s="156" t="s">
        <v>504</v>
      </c>
    </row>
    <row r="378" spans="1:2" x14ac:dyDescent="0.3">
      <c r="A378" s="155" t="s">
        <v>505</v>
      </c>
    </row>
    <row r="379" spans="1:2" x14ac:dyDescent="0.3">
      <c r="A379" s="177" t="s">
        <v>506</v>
      </c>
    </row>
    <row r="380" spans="1:2" x14ac:dyDescent="0.3">
      <c r="A380" s="156" t="s">
        <v>507</v>
      </c>
    </row>
    <row r="381" spans="1:2" x14ac:dyDescent="0.3">
      <c r="A381" s="177" t="s">
        <v>508</v>
      </c>
    </row>
    <row r="382" spans="1:2" x14ac:dyDescent="0.3">
      <c r="A382" s="156" t="s">
        <v>509</v>
      </c>
    </row>
    <row r="383" spans="1:2" ht="18" x14ac:dyDescent="0.35">
      <c r="A383" s="187"/>
    </row>
    <row r="384" spans="1:2" ht="66" x14ac:dyDescent="0.3">
      <c r="A384" s="188">
        <v>-6</v>
      </c>
      <c r="B384" s="188" t="s">
        <v>510</v>
      </c>
    </row>
    <row r="385" spans="1:15" x14ac:dyDescent="0.3">
      <c r="A385" s="156" t="s">
        <v>511</v>
      </c>
    </row>
    <row r="386" spans="1:15" x14ac:dyDescent="0.3">
      <c r="A386" s="156" t="s">
        <v>512</v>
      </c>
    </row>
    <row r="387" spans="1:15" x14ac:dyDescent="0.3">
      <c r="A387" s="157"/>
    </row>
    <row r="388" spans="1:15" x14ac:dyDescent="0.3">
      <c r="A388" s="158"/>
      <c r="B388" s="158"/>
      <c r="C388" s="158"/>
      <c r="D388" s="158"/>
      <c r="E388" s="158"/>
      <c r="F388" s="158"/>
      <c r="G388" s="158"/>
      <c r="H388" s="158"/>
      <c r="I388" s="158"/>
      <c r="J388" s="158"/>
      <c r="K388" s="158"/>
      <c r="L388" s="158"/>
      <c r="M388" s="158"/>
      <c r="N388" s="158"/>
      <c r="O388" s="158"/>
    </row>
    <row r="389" spans="1:15" ht="15" thickBot="1" x14ac:dyDescent="0.35">
      <c r="A389" s="159" t="s">
        <v>234</v>
      </c>
      <c r="B389" s="159" t="s">
        <v>235</v>
      </c>
      <c r="C389" s="300">
        <v>2006</v>
      </c>
      <c r="D389" s="300"/>
      <c r="E389" s="300"/>
      <c r="F389" s="300"/>
      <c r="G389" s="300"/>
      <c r="H389" s="159" t="s">
        <v>234</v>
      </c>
      <c r="I389" s="159" t="s">
        <v>234</v>
      </c>
      <c r="J389" s="300">
        <v>2005</v>
      </c>
      <c r="K389" s="300"/>
      <c r="L389" s="300"/>
      <c r="M389" s="300"/>
      <c r="N389" s="300"/>
      <c r="O389" s="159" t="s">
        <v>234</v>
      </c>
    </row>
    <row r="390" spans="1:15" x14ac:dyDescent="0.3">
      <c r="A390" s="304" t="s">
        <v>234</v>
      </c>
      <c r="B390" s="304" t="s">
        <v>235</v>
      </c>
      <c r="C390" s="307" t="s">
        <v>513</v>
      </c>
      <c r="D390" s="307"/>
      <c r="E390" s="308" t="s">
        <v>235</v>
      </c>
      <c r="F390" s="307" t="s">
        <v>514</v>
      </c>
      <c r="G390" s="307"/>
      <c r="H390" s="304" t="s">
        <v>234</v>
      </c>
      <c r="I390" s="304" t="s">
        <v>234</v>
      </c>
      <c r="J390" s="307" t="s">
        <v>513</v>
      </c>
      <c r="K390" s="307"/>
      <c r="L390" s="308" t="s">
        <v>235</v>
      </c>
      <c r="M390" s="307" t="s">
        <v>514</v>
      </c>
      <c r="N390" s="307"/>
      <c r="O390" s="304" t="s">
        <v>234</v>
      </c>
    </row>
    <row r="391" spans="1:15" ht="15" thickBot="1" x14ac:dyDescent="0.35">
      <c r="A391" s="304"/>
      <c r="B391" s="304"/>
      <c r="C391" s="300" t="s">
        <v>515</v>
      </c>
      <c r="D391" s="300"/>
      <c r="E391" s="304"/>
      <c r="F391" s="300" t="s">
        <v>516</v>
      </c>
      <c r="G391" s="300"/>
      <c r="H391" s="304"/>
      <c r="I391" s="304"/>
      <c r="J391" s="300" t="s">
        <v>515</v>
      </c>
      <c r="K391" s="300"/>
      <c r="L391" s="304"/>
      <c r="M391" s="300" t="s">
        <v>516</v>
      </c>
      <c r="N391" s="300"/>
      <c r="O391" s="304"/>
    </row>
    <row r="392" spans="1:15" x14ac:dyDescent="0.3">
      <c r="A392" s="164" t="s">
        <v>517</v>
      </c>
      <c r="B392" s="161" t="s">
        <v>235</v>
      </c>
      <c r="C392" s="165" t="s">
        <v>239</v>
      </c>
      <c r="D392" s="176">
        <v>774</v>
      </c>
      <c r="E392" s="161" t="s">
        <v>235</v>
      </c>
      <c r="F392" s="165" t="s">
        <v>239</v>
      </c>
      <c r="G392" s="176" t="s">
        <v>241</v>
      </c>
      <c r="H392" s="167" t="s">
        <v>234</v>
      </c>
      <c r="I392" s="161" t="s">
        <v>234</v>
      </c>
      <c r="J392" s="165" t="s">
        <v>239</v>
      </c>
      <c r="K392" s="176">
        <v>723</v>
      </c>
      <c r="L392" s="161" t="s">
        <v>235</v>
      </c>
      <c r="M392" s="165" t="s">
        <v>239</v>
      </c>
      <c r="N392" s="176" t="s">
        <v>241</v>
      </c>
      <c r="O392" s="167" t="s">
        <v>234</v>
      </c>
    </row>
    <row r="393" spans="1:15" x14ac:dyDescent="0.3">
      <c r="A393" s="163" t="s">
        <v>518</v>
      </c>
      <c r="B393" s="159" t="s">
        <v>235</v>
      </c>
      <c r="C393" s="168" t="s">
        <v>234</v>
      </c>
      <c r="D393" s="169">
        <v>45579</v>
      </c>
      <c r="E393" s="159" t="s">
        <v>235</v>
      </c>
      <c r="F393" s="168" t="s">
        <v>234</v>
      </c>
      <c r="G393" s="170" t="s">
        <v>519</v>
      </c>
      <c r="H393" s="156" t="s">
        <v>272</v>
      </c>
      <c r="I393" s="159" t="s">
        <v>234</v>
      </c>
      <c r="J393" s="168" t="s">
        <v>234</v>
      </c>
      <c r="K393" s="169">
        <v>32597</v>
      </c>
      <c r="L393" s="159" t="s">
        <v>235</v>
      </c>
      <c r="M393" s="168" t="s">
        <v>234</v>
      </c>
      <c r="N393" s="170" t="s">
        <v>520</v>
      </c>
      <c r="O393" s="156" t="s">
        <v>272</v>
      </c>
    </row>
    <row r="394" spans="1:15" ht="15" thickBot="1" x14ac:dyDescent="0.35">
      <c r="A394" s="164" t="s">
        <v>521</v>
      </c>
      <c r="B394" s="161" t="s">
        <v>235</v>
      </c>
      <c r="C394" s="165" t="s">
        <v>234</v>
      </c>
      <c r="D394" s="166">
        <v>2242</v>
      </c>
      <c r="E394" s="161" t="s">
        <v>235</v>
      </c>
      <c r="F394" s="165" t="s">
        <v>234</v>
      </c>
      <c r="G394" s="176" t="s">
        <v>522</v>
      </c>
      <c r="H394" s="167" t="s">
        <v>272</v>
      </c>
      <c r="I394" s="161" t="s">
        <v>234</v>
      </c>
      <c r="J394" s="165" t="s">
        <v>234</v>
      </c>
      <c r="K394" s="166">
        <v>2921</v>
      </c>
      <c r="L394" s="161" t="s">
        <v>235</v>
      </c>
      <c r="M394" s="165" t="s">
        <v>234</v>
      </c>
      <c r="N394" s="176" t="s">
        <v>523</v>
      </c>
      <c r="O394" s="167" t="s">
        <v>272</v>
      </c>
    </row>
    <row r="395" spans="1:15" x14ac:dyDescent="0.3">
      <c r="A395" s="171"/>
      <c r="B395" s="171" t="s">
        <v>247</v>
      </c>
      <c r="C395" s="172"/>
      <c r="D395" s="172"/>
      <c r="E395" s="171" t="s">
        <v>247</v>
      </c>
      <c r="F395" s="172"/>
      <c r="G395" s="172"/>
      <c r="H395" s="171"/>
      <c r="I395" s="171"/>
      <c r="J395" s="172"/>
      <c r="K395" s="172"/>
      <c r="L395" s="171" t="s">
        <v>247</v>
      </c>
      <c r="M395" s="172"/>
      <c r="N395" s="172"/>
      <c r="O395" s="171"/>
    </row>
    <row r="396" spans="1:15" ht="15" thickBot="1" x14ac:dyDescent="0.35">
      <c r="A396" s="189"/>
      <c r="B396" s="159" t="s">
        <v>235</v>
      </c>
      <c r="C396" s="168" t="s">
        <v>239</v>
      </c>
      <c r="D396" s="169">
        <v>48595</v>
      </c>
      <c r="E396" s="159" t="s">
        <v>235</v>
      </c>
      <c r="F396" s="168" t="s">
        <v>239</v>
      </c>
      <c r="G396" s="170" t="s">
        <v>524</v>
      </c>
      <c r="H396" s="156" t="s">
        <v>272</v>
      </c>
      <c r="I396" s="159" t="s">
        <v>234</v>
      </c>
      <c r="J396" s="168" t="s">
        <v>239</v>
      </c>
      <c r="K396" s="169">
        <v>36241</v>
      </c>
      <c r="L396" s="159" t="s">
        <v>235</v>
      </c>
      <c r="M396" s="168" t="s">
        <v>239</v>
      </c>
      <c r="N396" s="170" t="s">
        <v>525</v>
      </c>
      <c r="O396" s="156" t="s">
        <v>272</v>
      </c>
    </row>
    <row r="397" spans="1:15" ht="15" thickTop="1" x14ac:dyDescent="0.3">
      <c r="A397" s="171"/>
      <c r="B397" s="171" t="s">
        <v>247</v>
      </c>
      <c r="C397" s="174"/>
      <c r="D397" s="174"/>
      <c r="E397" s="171" t="s">
        <v>247</v>
      </c>
      <c r="F397" s="174"/>
      <c r="G397" s="174"/>
      <c r="H397" s="171"/>
      <c r="I397" s="171"/>
      <c r="J397" s="174"/>
      <c r="K397" s="174"/>
      <c r="L397" s="171" t="s">
        <v>247</v>
      </c>
      <c r="M397" s="174"/>
      <c r="N397" s="174"/>
      <c r="O397" s="171"/>
    </row>
    <row r="398" spans="1:15" x14ac:dyDescent="0.3">
      <c r="A398" s="156" t="s">
        <v>526</v>
      </c>
    </row>
    <row r="399" spans="1:15" x14ac:dyDescent="0.3">
      <c r="A399" s="178" t="s">
        <v>234</v>
      </c>
    </row>
    <row r="400" spans="1:15" x14ac:dyDescent="0.3">
      <c r="A400" s="179">
        <v>47</v>
      </c>
    </row>
    <row r="404" spans="1:7" x14ac:dyDescent="0.3">
      <c r="A404" s="180" t="s">
        <v>279</v>
      </c>
    </row>
    <row r="406" spans="1:7" x14ac:dyDescent="0.3">
      <c r="A406" s="155" t="s">
        <v>527</v>
      </c>
    </row>
    <row r="407" spans="1:7" x14ac:dyDescent="0.3">
      <c r="A407" s="156" t="s">
        <v>528</v>
      </c>
    </row>
    <row r="408" spans="1:7" x14ac:dyDescent="0.3">
      <c r="A408" s="157"/>
    </row>
    <row r="409" spans="1:7" x14ac:dyDescent="0.3">
      <c r="A409" s="158"/>
      <c r="B409" s="158"/>
      <c r="C409" s="158"/>
      <c r="D409" s="158"/>
      <c r="E409" s="158"/>
      <c r="F409" s="158"/>
      <c r="G409" s="158"/>
    </row>
    <row r="410" spans="1:7" ht="15" thickBot="1" x14ac:dyDescent="0.35">
      <c r="A410" s="159" t="s">
        <v>234</v>
      </c>
      <c r="B410" s="159" t="s">
        <v>235</v>
      </c>
      <c r="C410" s="300">
        <v>2006</v>
      </c>
      <c r="D410" s="300"/>
      <c r="E410" s="159" t="s">
        <v>235</v>
      </c>
      <c r="F410" s="300">
        <v>2005</v>
      </c>
      <c r="G410" s="300"/>
    </row>
    <row r="411" spans="1:7" ht="26.4" x14ac:dyDescent="0.3">
      <c r="A411" s="164" t="s">
        <v>529</v>
      </c>
      <c r="B411" s="161" t="s">
        <v>235</v>
      </c>
      <c r="C411" s="165" t="s">
        <v>239</v>
      </c>
      <c r="D411" s="176">
        <v>335</v>
      </c>
      <c r="E411" s="161" t="s">
        <v>235</v>
      </c>
      <c r="F411" s="165" t="s">
        <v>239</v>
      </c>
      <c r="G411" s="176">
        <v>300</v>
      </c>
    </row>
    <row r="412" spans="1:7" x14ac:dyDescent="0.3">
      <c r="A412" s="163" t="s">
        <v>455</v>
      </c>
      <c r="B412" s="159" t="s">
        <v>235</v>
      </c>
      <c r="C412" s="168" t="s">
        <v>234</v>
      </c>
      <c r="D412" s="170" t="s">
        <v>241</v>
      </c>
      <c r="E412" s="159" t="s">
        <v>235</v>
      </c>
      <c r="F412" s="168" t="s">
        <v>234</v>
      </c>
      <c r="G412" s="169">
        <v>5714</v>
      </c>
    </row>
    <row r="413" spans="1:7" ht="15" thickBot="1" x14ac:dyDescent="0.35">
      <c r="A413" s="164" t="s">
        <v>530</v>
      </c>
      <c r="B413" s="161" t="s">
        <v>235</v>
      </c>
      <c r="C413" s="165" t="s">
        <v>234</v>
      </c>
      <c r="D413" s="166">
        <v>8320</v>
      </c>
      <c r="E413" s="161" t="s">
        <v>235</v>
      </c>
      <c r="F413" s="165" t="s">
        <v>234</v>
      </c>
      <c r="G413" s="166">
        <v>12850</v>
      </c>
    </row>
    <row r="414" spans="1:7" x14ac:dyDescent="0.3">
      <c r="A414" s="171"/>
      <c r="B414" s="171" t="s">
        <v>247</v>
      </c>
      <c r="C414" s="172"/>
      <c r="D414" s="172"/>
      <c r="E414" s="171" t="s">
        <v>247</v>
      </c>
      <c r="F414" s="172"/>
      <c r="G414" s="172"/>
    </row>
    <row r="415" spans="1:7" x14ac:dyDescent="0.3">
      <c r="A415" s="163" t="s">
        <v>531</v>
      </c>
      <c r="B415" s="159" t="s">
        <v>235</v>
      </c>
      <c r="C415" s="168" t="s">
        <v>234</v>
      </c>
      <c r="D415" s="169">
        <v>8655</v>
      </c>
      <c r="E415" s="159" t="s">
        <v>235</v>
      </c>
      <c r="F415" s="168" t="s">
        <v>234</v>
      </c>
      <c r="G415" s="169">
        <v>18864</v>
      </c>
    </row>
    <row r="416" spans="1:7" ht="15" thickBot="1" x14ac:dyDescent="0.35">
      <c r="A416" s="164" t="s">
        <v>532</v>
      </c>
      <c r="B416" s="161" t="s">
        <v>235</v>
      </c>
      <c r="C416" s="165" t="s">
        <v>234</v>
      </c>
      <c r="D416" s="176">
        <v>49</v>
      </c>
      <c r="E416" s="161" t="s">
        <v>235</v>
      </c>
      <c r="F416" s="165" t="s">
        <v>234</v>
      </c>
      <c r="G416" s="166">
        <v>5932</v>
      </c>
    </row>
    <row r="417" spans="1:7" x14ac:dyDescent="0.3">
      <c r="A417" s="171"/>
      <c r="B417" s="171" t="s">
        <v>247</v>
      </c>
      <c r="C417" s="172"/>
      <c r="D417" s="172"/>
      <c r="E417" s="171" t="s">
        <v>247</v>
      </c>
      <c r="F417" s="172"/>
      <c r="G417" s="172"/>
    </row>
    <row r="418" spans="1:7" ht="15" thickBot="1" x14ac:dyDescent="0.35">
      <c r="A418" s="163" t="s">
        <v>533</v>
      </c>
      <c r="B418" s="159" t="s">
        <v>235</v>
      </c>
      <c r="C418" s="168" t="s">
        <v>239</v>
      </c>
      <c r="D418" s="169">
        <v>8606</v>
      </c>
      <c r="E418" s="159" t="s">
        <v>235</v>
      </c>
      <c r="F418" s="168" t="s">
        <v>239</v>
      </c>
      <c r="G418" s="169">
        <v>12932</v>
      </c>
    </row>
    <row r="419" spans="1:7" ht="15" thickTop="1" x14ac:dyDescent="0.3">
      <c r="A419" s="171"/>
      <c r="B419" s="171" t="s">
        <v>247</v>
      </c>
      <c r="C419" s="174"/>
      <c r="D419" s="174"/>
      <c r="E419" s="171" t="s">
        <v>247</v>
      </c>
      <c r="F419" s="174"/>
      <c r="G419" s="174"/>
    </row>
    <row r="420" spans="1:7" x14ac:dyDescent="0.3">
      <c r="A420" s="156" t="s">
        <v>534</v>
      </c>
    </row>
    <row r="421" spans="1:7" x14ac:dyDescent="0.3">
      <c r="A421" s="156" t="s">
        <v>535</v>
      </c>
    </row>
    <row r="422" spans="1:7" x14ac:dyDescent="0.3">
      <c r="A422" s="156" t="s">
        <v>536</v>
      </c>
    </row>
    <row r="423" spans="1:7" x14ac:dyDescent="0.3">
      <c r="A423" s="155" t="s">
        <v>537</v>
      </c>
    </row>
    <row r="424" spans="1:7" x14ac:dyDescent="0.3">
      <c r="A424" s="156" t="s">
        <v>538</v>
      </c>
    </row>
    <row r="425" spans="1:7" x14ac:dyDescent="0.3">
      <c r="A425" s="178" t="s">
        <v>234</v>
      </c>
    </row>
    <row r="426" spans="1:7" x14ac:dyDescent="0.3">
      <c r="A426" s="179">
        <v>48</v>
      </c>
    </row>
    <row r="430" spans="1:7" x14ac:dyDescent="0.3">
      <c r="A430" s="180" t="s">
        <v>279</v>
      </c>
    </row>
    <row r="432" spans="1:7" x14ac:dyDescent="0.3">
      <c r="A432" s="156" t="s">
        <v>539</v>
      </c>
    </row>
    <row r="433" spans="1:7" x14ac:dyDescent="0.3">
      <c r="A433" s="157"/>
    </row>
    <row r="434" spans="1:7" x14ac:dyDescent="0.3">
      <c r="A434" s="158"/>
      <c r="B434" s="158"/>
      <c r="C434" s="158"/>
      <c r="D434" s="158"/>
      <c r="E434" s="158"/>
      <c r="F434" s="158"/>
      <c r="G434" s="158"/>
    </row>
    <row r="435" spans="1:7" ht="15" thickBot="1" x14ac:dyDescent="0.35">
      <c r="A435" s="159" t="s">
        <v>234</v>
      </c>
      <c r="B435" s="159" t="s">
        <v>235</v>
      </c>
      <c r="C435" s="300" t="s">
        <v>540</v>
      </c>
      <c r="D435" s="300"/>
      <c r="E435" s="159" t="s">
        <v>235</v>
      </c>
      <c r="F435" s="300" t="s">
        <v>541</v>
      </c>
      <c r="G435" s="300"/>
    </row>
    <row r="436" spans="1:7" x14ac:dyDescent="0.3">
      <c r="A436" s="164">
        <v>2007</v>
      </c>
      <c r="B436" s="161" t="s">
        <v>235</v>
      </c>
      <c r="C436" s="165" t="s">
        <v>239</v>
      </c>
      <c r="D436" s="176">
        <v>58</v>
      </c>
      <c r="E436" s="161" t="s">
        <v>235</v>
      </c>
      <c r="F436" s="165" t="s">
        <v>239</v>
      </c>
      <c r="G436" s="166">
        <v>162827</v>
      </c>
    </row>
    <row r="437" spans="1:7" x14ac:dyDescent="0.3">
      <c r="A437" s="163">
        <v>2008</v>
      </c>
      <c r="B437" s="159" t="s">
        <v>235</v>
      </c>
      <c r="C437" s="168" t="s">
        <v>234</v>
      </c>
      <c r="D437" s="170">
        <v>93</v>
      </c>
      <c r="E437" s="159" t="s">
        <v>235</v>
      </c>
      <c r="F437" s="168" t="s">
        <v>234</v>
      </c>
      <c r="G437" s="169">
        <v>227490</v>
      </c>
    </row>
    <row r="438" spans="1:7" x14ac:dyDescent="0.3">
      <c r="A438" s="164">
        <v>2009</v>
      </c>
      <c r="B438" s="161" t="s">
        <v>235</v>
      </c>
      <c r="C438" s="165" t="s">
        <v>234</v>
      </c>
      <c r="D438" s="176">
        <v>89</v>
      </c>
      <c r="E438" s="161" t="s">
        <v>235</v>
      </c>
      <c r="F438" s="165" t="s">
        <v>234</v>
      </c>
      <c r="G438" s="166">
        <v>247284</v>
      </c>
    </row>
    <row r="439" spans="1:7" x14ac:dyDescent="0.3">
      <c r="A439" s="163">
        <v>2010</v>
      </c>
      <c r="B439" s="159" t="s">
        <v>235</v>
      </c>
      <c r="C439" s="168" t="s">
        <v>234</v>
      </c>
      <c r="D439" s="170">
        <v>74</v>
      </c>
      <c r="E439" s="159" t="s">
        <v>235</v>
      </c>
      <c r="F439" s="168" t="s">
        <v>234</v>
      </c>
      <c r="G439" s="169">
        <v>246028</v>
      </c>
    </row>
    <row r="440" spans="1:7" x14ac:dyDescent="0.3">
      <c r="A440" s="164">
        <v>2011</v>
      </c>
      <c r="B440" s="161" t="s">
        <v>235</v>
      </c>
      <c r="C440" s="165" t="s">
        <v>234</v>
      </c>
      <c r="D440" s="176">
        <v>39</v>
      </c>
      <c r="E440" s="161" t="s">
        <v>235</v>
      </c>
      <c r="F440" s="165" t="s">
        <v>234</v>
      </c>
      <c r="G440" s="166">
        <v>243331</v>
      </c>
    </row>
    <row r="441" spans="1:7" ht="15" thickBot="1" x14ac:dyDescent="0.35">
      <c r="A441" s="163" t="s">
        <v>542</v>
      </c>
      <c r="B441" s="159" t="s">
        <v>235</v>
      </c>
      <c r="C441" s="168" t="s">
        <v>234</v>
      </c>
      <c r="D441" s="170">
        <v>25</v>
      </c>
      <c r="E441" s="159" t="s">
        <v>235</v>
      </c>
      <c r="F441" s="168" t="s">
        <v>234</v>
      </c>
      <c r="G441" s="169">
        <v>3636926</v>
      </c>
    </row>
    <row r="442" spans="1:7" x14ac:dyDescent="0.3">
      <c r="A442" s="171"/>
      <c r="B442" s="171" t="s">
        <v>247</v>
      </c>
      <c r="C442" s="172"/>
      <c r="D442" s="172"/>
      <c r="E442" s="171" t="s">
        <v>247</v>
      </c>
      <c r="F442" s="172"/>
      <c r="G442" s="172"/>
    </row>
    <row r="443" spans="1:7" ht="15" thickBot="1" x14ac:dyDescent="0.35">
      <c r="A443" s="186"/>
      <c r="B443" s="161" t="s">
        <v>235</v>
      </c>
      <c r="C443" s="165" t="s">
        <v>234</v>
      </c>
      <c r="D443" s="176">
        <v>378</v>
      </c>
      <c r="E443" s="161" t="s">
        <v>235</v>
      </c>
      <c r="F443" s="165" t="s">
        <v>239</v>
      </c>
      <c r="G443" s="166">
        <v>4763886</v>
      </c>
    </row>
    <row r="444" spans="1:7" ht="15" thickTop="1" x14ac:dyDescent="0.3">
      <c r="A444" s="171"/>
      <c r="B444" s="171" t="s">
        <v>247</v>
      </c>
      <c r="C444" s="171"/>
      <c r="D444" s="171"/>
      <c r="E444" s="171" t="s">
        <v>247</v>
      </c>
      <c r="F444" s="174"/>
      <c r="G444" s="174"/>
    </row>
    <row r="445" spans="1:7" ht="15" thickBot="1" x14ac:dyDescent="0.35">
      <c r="A445" s="163" t="s">
        <v>543</v>
      </c>
      <c r="B445" s="159" t="s">
        <v>235</v>
      </c>
      <c r="C445" s="168" t="s">
        <v>234</v>
      </c>
      <c r="D445" s="170">
        <v>43</v>
      </c>
      <c r="E445" s="159" t="s">
        <v>235</v>
      </c>
      <c r="F445" s="158"/>
      <c r="G445" s="158"/>
    </row>
    <row r="446" spans="1:7" x14ac:dyDescent="0.3">
      <c r="A446" s="171"/>
      <c r="B446" s="171" t="s">
        <v>247</v>
      </c>
      <c r="C446" s="172"/>
      <c r="D446" s="172"/>
      <c r="E446" s="171" t="s">
        <v>247</v>
      </c>
      <c r="F446" s="171"/>
      <c r="G446" s="171"/>
    </row>
    <row r="447" spans="1:7" x14ac:dyDescent="0.3">
      <c r="A447" s="164" t="s">
        <v>544</v>
      </c>
      <c r="B447" s="161" t="s">
        <v>235</v>
      </c>
      <c r="C447" s="165" t="s">
        <v>234</v>
      </c>
      <c r="D447" s="176">
        <v>335</v>
      </c>
      <c r="E447" s="161" t="s">
        <v>235</v>
      </c>
      <c r="F447" s="162"/>
      <c r="G447" s="162"/>
    </row>
    <row r="448" spans="1:7" ht="15" thickBot="1" x14ac:dyDescent="0.35">
      <c r="A448" s="163" t="s">
        <v>532</v>
      </c>
      <c r="B448" s="159" t="s">
        <v>235</v>
      </c>
      <c r="C448" s="168" t="s">
        <v>234</v>
      </c>
      <c r="D448" s="170">
        <v>49</v>
      </c>
      <c r="E448" s="159" t="s">
        <v>235</v>
      </c>
      <c r="F448" s="158"/>
      <c r="G448" s="158"/>
    </row>
    <row r="449" spans="1:13" x14ac:dyDescent="0.3">
      <c r="A449" s="171"/>
      <c r="B449" s="171" t="s">
        <v>247</v>
      </c>
      <c r="C449" s="172"/>
      <c r="D449" s="172"/>
      <c r="E449" s="171" t="s">
        <v>247</v>
      </c>
      <c r="F449" s="171"/>
      <c r="G449" s="171"/>
    </row>
    <row r="450" spans="1:13" ht="15" thickBot="1" x14ac:dyDescent="0.35">
      <c r="A450" s="164" t="s">
        <v>545</v>
      </c>
      <c r="B450" s="161" t="s">
        <v>235</v>
      </c>
      <c r="C450" s="165" t="s">
        <v>239</v>
      </c>
      <c r="D450" s="176">
        <v>286</v>
      </c>
      <c r="E450" s="161" t="s">
        <v>235</v>
      </c>
      <c r="F450" s="162"/>
      <c r="G450" s="162"/>
    </row>
    <row r="451" spans="1:13" ht="15" thickTop="1" x14ac:dyDescent="0.3">
      <c r="A451" s="171"/>
      <c r="B451" s="171" t="s">
        <v>247</v>
      </c>
      <c r="C451" s="174"/>
      <c r="D451" s="174"/>
      <c r="E451" s="171" t="s">
        <v>247</v>
      </c>
      <c r="F451" s="171"/>
      <c r="G451" s="171"/>
    </row>
    <row r="452" spans="1:13" x14ac:dyDescent="0.3">
      <c r="A452" s="156" t="s">
        <v>546</v>
      </c>
    </row>
    <row r="453" spans="1:13" x14ac:dyDescent="0.3">
      <c r="A453" s="155" t="s">
        <v>547</v>
      </c>
    </row>
    <row r="454" spans="1:13" x14ac:dyDescent="0.3">
      <c r="A454" s="156" t="s">
        <v>548</v>
      </c>
    </row>
    <row r="455" spans="1:13" x14ac:dyDescent="0.3">
      <c r="A455" s="157"/>
    </row>
    <row r="456" spans="1:13" x14ac:dyDescent="0.3">
      <c r="A456" s="158"/>
      <c r="B456" s="158"/>
      <c r="C456" s="158"/>
      <c r="D456" s="158"/>
      <c r="E456" s="158"/>
      <c r="F456" s="158"/>
      <c r="G456" s="158"/>
      <c r="H456" s="158"/>
      <c r="I456" s="158"/>
      <c r="J456" s="158"/>
      <c r="K456" s="158"/>
      <c r="L456" s="158"/>
      <c r="M456" s="158"/>
    </row>
    <row r="457" spans="1:13" ht="15" thickBot="1" x14ac:dyDescent="0.35">
      <c r="A457" s="159" t="s">
        <v>234</v>
      </c>
      <c r="B457" s="159" t="s">
        <v>235</v>
      </c>
      <c r="C457" s="300">
        <v>2006</v>
      </c>
      <c r="D457" s="300"/>
      <c r="E457" s="159" t="s">
        <v>234</v>
      </c>
      <c r="F457" s="159" t="s">
        <v>234</v>
      </c>
      <c r="G457" s="300">
        <v>2005</v>
      </c>
      <c r="H457" s="300"/>
      <c r="I457" s="159" t="s">
        <v>234</v>
      </c>
      <c r="J457" s="159" t="s">
        <v>234</v>
      </c>
      <c r="K457" s="300">
        <v>2004</v>
      </c>
      <c r="L457" s="300"/>
      <c r="M457" s="159" t="s">
        <v>234</v>
      </c>
    </row>
    <row r="458" spans="1:13" x14ac:dyDescent="0.3">
      <c r="A458" s="164" t="s">
        <v>549</v>
      </c>
      <c r="B458" s="161" t="s">
        <v>235</v>
      </c>
      <c r="C458" s="165" t="s">
        <v>239</v>
      </c>
      <c r="D458" s="166">
        <v>120774</v>
      </c>
      <c r="E458" s="167" t="s">
        <v>234</v>
      </c>
      <c r="F458" s="161" t="s">
        <v>234</v>
      </c>
      <c r="G458" s="165" t="s">
        <v>239</v>
      </c>
      <c r="H458" s="166">
        <v>106087</v>
      </c>
      <c r="I458" s="167" t="s">
        <v>234</v>
      </c>
      <c r="J458" s="161" t="s">
        <v>234</v>
      </c>
      <c r="K458" s="165" t="s">
        <v>239</v>
      </c>
      <c r="L458" s="166">
        <v>70750</v>
      </c>
      <c r="M458" s="167" t="s">
        <v>234</v>
      </c>
    </row>
    <row r="459" spans="1:13" ht="15" thickBot="1" x14ac:dyDescent="0.35">
      <c r="A459" s="163" t="s">
        <v>550</v>
      </c>
      <c r="B459" s="159" t="s">
        <v>235</v>
      </c>
      <c r="C459" s="168" t="s">
        <v>234</v>
      </c>
      <c r="D459" s="169">
        <v>30632</v>
      </c>
      <c r="E459" s="156" t="s">
        <v>234</v>
      </c>
      <c r="F459" s="159" t="s">
        <v>234</v>
      </c>
      <c r="G459" s="168" t="s">
        <v>234</v>
      </c>
      <c r="H459" s="169">
        <v>22568</v>
      </c>
      <c r="I459" s="156" t="s">
        <v>234</v>
      </c>
      <c r="J459" s="159" t="s">
        <v>234</v>
      </c>
      <c r="K459" s="168" t="s">
        <v>234</v>
      </c>
      <c r="L459" s="169">
        <v>16272</v>
      </c>
      <c r="M459" s="156" t="s">
        <v>234</v>
      </c>
    </row>
    <row r="460" spans="1:13" x14ac:dyDescent="0.3">
      <c r="A460" s="171"/>
      <c r="B460" s="171" t="s">
        <v>247</v>
      </c>
      <c r="C460" s="172"/>
      <c r="D460" s="172"/>
      <c r="E460" s="171"/>
      <c r="F460" s="171"/>
      <c r="G460" s="172"/>
      <c r="H460" s="172"/>
      <c r="I460" s="171"/>
      <c r="J460" s="171"/>
      <c r="K460" s="172"/>
      <c r="L460" s="172"/>
      <c r="M460" s="171"/>
    </row>
    <row r="461" spans="1:13" ht="15" thickBot="1" x14ac:dyDescent="0.35">
      <c r="A461" s="164" t="s">
        <v>551</v>
      </c>
      <c r="B461" s="161" t="s">
        <v>235</v>
      </c>
      <c r="C461" s="165" t="s">
        <v>234</v>
      </c>
      <c r="D461" s="166">
        <v>151406</v>
      </c>
      <c r="E461" s="167" t="s">
        <v>234</v>
      </c>
      <c r="F461" s="161" t="s">
        <v>234</v>
      </c>
      <c r="G461" s="165" t="s">
        <v>234</v>
      </c>
      <c r="H461" s="166">
        <v>128655</v>
      </c>
      <c r="I461" s="167" t="s">
        <v>234</v>
      </c>
      <c r="J461" s="161" t="s">
        <v>234</v>
      </c>
      <c r="K461" s="165" t="s">
        <v>234</v>
      </c>
      <c r="L461" s="166">
        <v>87022</v>
      </c>
      <c r="M461" s="167" t="s">
        <v>234</v>
      </c>
    </row>
    <row r="462" spans="1:13" x14ac:dyDescent="0.3">
      <c r="A462" s="171"/>
      <c r="B462" s="171" t="s">
        <v>247</v>
      </c>
      <c r="C462" s="172"/>
      <c r="D462" s="172"/>
      <c r="E462" s="171"/>
      <c r="F462" s="171"/>
      <c r="G462" s="172"/>
      <c r="H462" s="172"/>
      <c r="I462" s="171"/>
      <c r="J462" s="171"/>
      <c r="K462" s="172"/>
      <c r="L462" s="172"/>
      <c r="M462" s="171"/>
    </row>
    <row r="463" spans="1:13" x14ac:dyDescent="0.3">
      <c r="A463" s="163" t="s">
        <v>552</v>
      </c>
      <c r="B463" s="159" t="s">
        <v>235</v>
      </c>
      <c r="C463" s="168" t="s">
        <v>234</v>
      </c>
      <c r="D463" s="170" t="s">
        <v>553</v>
      </c>
      <c r="E463" s="156" t="s">
        <v>272</v>
      </c>
      <c r="F463" s="159" t="s">
        <v>234</v>
      </c>
      <c r="G463" s="168" t="s">
        <v>234</v>
      </c>
      <c r="H463" s="170" t="s">
        <v>554</v>
      </c>
      <c r="I463" s="156" t="s">
        <v>272</v>
      </c>
      <c r="J463" s="159" t="s">
        <v>234</v>
      </c>
      <c r="K463" s="168" t="s">
        <v>234</v>
      </c>
      <c r="L463" s="170">
        <v>284</v>
      </c>
      <c r="M463" s="156" t="s">
        <v>234</v>
      </c>
    </row>
    <row r="464" spans="1:13" ht="15" thickBot="1" x14ac:dyDescent="0.35">
      <c r="A464" s="164" t="s">
        <v>555</v>
      </c>
      <c r="B464" s="161" t="s">
        <v>235</v>
      </c>
      <c r="C464" s="165" t="s">
        <v>234</v>
      </c>
      <c r="D464" s="176" t="s">
        <v>556</v>
      </c>
      <c r="E464" s="167" t="s">
        <v>272</v>
      </c>
      <c r="F464" s="161" t="s">
        <v>234</v>
      </c>
      <c r="G464" s="165" t="s">
        <v>234</v>
      </c>
      <c r="H464" s="176" t="s">
        <v>557</v>
      </c>
      <c r="I464" s="167" t="s">
        <v>272</v>
      </c>
      <c r="J464" s="161" t="s">
        <v>234</v>
      </c>
      <c r="K464" s="165" t="s">
        <v>234</v>
      </c>
      <c r="L464" s="176" t="s">
        <v>558</v>
      </c>
      <c r="M464" s="167" t="s">
        <v>272</v>
      </c>
    </row>
    <row r="465" spans="1:13" x14ac:dyDescent="0.3">
      <c r="A465" s="171"/>
      <c r="B465" s="171" t="s">
        <v>247</v>
      </c>
      <c r="C465" s="172"/>
      <c r="D465" s="172"/>
      <c r="E465" s="171"/>
      <c r="F465" s="171"/>
      <c r="G465" s="172"/>
      <c r="H465" s="172"/>
      <c r="I465" s="171"/>
      <c r="J465" s="171"/>
      <c r="K465" s="172"/>
      <c r="L465" s="172"/>
      <c r="M465" s="171"/>
    </row>
    <row r="466" spans="1:13" ht="15" thickBot="1" x14ac:dyDescent="0.35">
      <c r="A466" s="163" t="s">
        <v>559</v>
      </c>
      <c r="B466" s="159" t="s">
        <v>235</v>
      </c>
      <c r="C466" s="168" t="s">
        <v>234</v>
      </c>
      <c r="D466" s="170" t="s">
        <v>349</v>
      </c>
      <c r="E466" s="156" t="s">
        <v>272</v>
      </c>
      <c r="F466" s="159" t="s">
        <v>234</v>
      </c>
      <c r="G466" s="168" t="s">
        <v>234</v>
      </c>
      <c r="H466" s="170" t="s">
        <v>350</v>
      </c>
      <c r="I466" s="156" t="s">
        <v>272</v>
      </c>
      <c r="J466" s="159" t="s">
        <v>234</v>
      </c>
      <c r="K466" s="168" t="s">
        <v>234</v>
      </c>
      <c r="L466" s="170" t="s">
        <v>560</v>
      </c>
      <c r="M466" s="156" t="s">
        <v>272</v>
      </c>
    </row>
    <row r="467" spans="1:13" x14ac:dyDescent="0.3">
      <c r="A467" s="171"/>
      <c r="B467" s="171" t="s">
        <v>247</v>
      </c>
      <c r="C467" s="172"/>
      <c r="D467" s="172"/>
      <c r="E467" s="171"/>
      <c r="F467" s="171"/>
      <c r="G467" s="172"/>
      <c r="H467" s="172"/>
      <c r="I467" s="171"/>
      <c r="J467" s="171"/>
      <c r="K467" s="172"/>
      <c r="L467" s="172"/>
      <c r="M467" s="171"/>
    </row>
    <row r="468" spans="1:13" ht="15" thickBot="1" x14ac:dyDescent="0.35">
      <c r="A468" s="164" t="s">
        <v>561</v>
      </c>
      <c r="B468" s="161" t="s">
        <v>235</v>
      </c>
      <c r="C468" s="165" t="s">
        <v>239</v>
      </c>
      <c r="D468" s="166">
        <v>135885</v>
      </c>
      <c r="E468" s="167" t="s">
        <v>234</v>
      </c>
      <c r="F468" s="161" t="s">
        <v>234</v>
      </c>
      <c r="G468" s="165" t="s">
        <v>239</v>
      </c>
      <c r="H468" s="166">
        <v>100782</v>
      </c>
      <c r="I468" s="167" t="s">
        <v>234</v>
      </c>
      <c r="J468" s="161" t="s">
        <v>234</v>
      </c>
      <c r="K468" s="165" t="s">
        <v>239</v>
      </c>
      <c r="L468" s="166">
        <v>86341</v>
      </c>
      <c r="M468" s="167" t="s">
        <v>234</v>
      </c>
    </row>
    <row r="469" spans="1:13" ht="15" thickTop="1" x14ac:dyDescent="0.3">
      <c r="A469" s="171"/>
      <c r="B469" s="171" t="s">
        <v>247</v>
      </c>
      <c r="C469" s="174"/>
      <c r="D469" s="174"/>
      <c r="E469" s="171"/>
      <c r="F469" s="171"/>
      <c r="G469" s="174"/>
      <c r="H469" s="174"/>
      <c r="I469" s="171"/>
      <c r="J469" s="171"/>
      <c r="K469" s="174"/>
      <c r="L469" s="174"/>
      <c r="M469" s="171"/>
    </row>
    <row r="470" spans="1:13" x14ac:dyDescent="0.3">
      <c r="A470" s="156" t="s">
        <v>562</v>
      </c>
    </row>
    <row r="471" spans="1:13" x14ac:dyDescent="0.3">
      <c r="A471" s="157"/>
    </row>
    <row r="472" spans="1:13" x14ac:dyDescent="0.3">
      <c r="A472" s="158"/>
      <c r="B472" s="158"/>
      <c r="C472" s="158"/>
      <c r="D472" s="158"/>
      <c r="E472" s="158"/>
      <c r="F472" s="158"/>
      <c r="G472" s="158"/>
      <c r="H472" s="158"/>
      <c r="I472" s="158"/>
      <c r="J472" s="158"/>
      <c r="K472" s="158"/>
      <c r="L472" s="158"/>
      <c r="M472" s="158"/>
    </row>
    <row r="473" spans="1:13" ht="15" thickBot="1" x14ac:dyDescent="0.35">
      <c r="A473" s="159" t="s">
        <v>234</v>
      </c>
      <c r="B473" s="159" t="s">
        <v>235</v>
      </c>
      <c r="C473" s="300">
        <v>2006</v>
      </c>
      <c r="D473" s="300"/>
      <c r="E473" s="159" t="s">
        <v>234</v>
      </c>
      <c r="F473" s="159" t="s">
        <v>234</v>
      </c>
      <c r="G473" s="300">
        <v>2005</v>
      </c>
      <c r="H473" s="300"/>
      <c r="I473" s="159" t="s">
        <v>234</v>
      </c>
      <c r="J473" s="159" t="s">
        <v>234</v>
      </c>
      <c r="K473" s="300">
        <v>2004</v>
      </c>
      <c r="L473" s="300"/>
      <c r="M473" s="159" t="s">
        <v>234</v>
      </c>
    </row>
    <row r="474" spans="1:13" x14ac:dyDescent="0.3">
      <c r="A474" s="164" t="s">
        <v>563</v>
      </c>
      <c r="B474" s="161" t="s">
        <v>235</v>
      </c>
      <c r="C474" s="165" t="s">
        <v>239</v>
      </c>
      <c r="D474" s="166">
        <v>118900</v>
      </c>
      <c r="E474" s="167" t="s">
        <v>234</v>
      </c>
      <c r="F474" s="161" t="s">
        <v>234</v>
      </c>
      <c r="G474" s="165" t="s">
        <v>239</v>
      </c>
      <c r="H474" s="166">
        <v>82997</v>
      </c>
      <c r="I474" s="167" t="s">
        <v>234</v>
      </c>
      <c r="J474" s="161" t="s">
        <v>234</v>
      </c>
      <c r="K474" s="165" t="s">
        <v>239</v>
      </c>
      <c r="L474" s="166">
        <v>75548</v>
      </c>
      <c r="M474" s="167" t="s">
        <v>234</v>
      </c>
    </row>
    <row r="475" spans="1:13" x14ac:dyDescent="0.3">
      <c r="A475" s="163" t="s">
        <v>564</v>
      </c>
      <c r="B475" s="159" t="s">
        <v>235</v>
      </c>
      <c r="C475" s="158"/>
      <c r="D475" s="158"/>
      <c r="E475" s="158"/>
      <c r="F475" s="159" t="s">
        <v>234</v>
      </c>
      <c r="G475" s="158"/>
      <c r="H475" s="158"/>
      <c r="I475" s="158"/>
      <c r="J475" s="159" t="s">
        <v>234</v>
      </c>
      <c r="K475" s="158"/>
      <c r="L475" s="158"/>
      <c r="M475" s="158"/>
    </row>
    <row r="476" spans="1:13" x14ac:dyDescent="0.3">
      <c r="A476" s="181" t="s">
        <v>565</v>
      </c>
      <c r="B476" s="161" t="s">
        <v>235</v>
      </c>
      <c r="C476" s="165" t="s">
        <v>234</v>
      </c>
      <c r="D476" s="176" t="s">
        <v>566</v>
      </c>
      <c r="E476" s="167" t="s">
        <v>272</v>
      </c>
      <c r="F476" s="161" t="s">
        <v>234</v>
      </c>
      <c r="G476" s="165" t="s">
        <v>234</v>
      </c>
      <c r="H476" s="166">
        <v>1639</v>
      </c>
      <c r="I476" s="167" t="s">
        <v>234</v>
      </c>
      <c r="J476" s="161" t="s">
        <v>234</v>
      </c>
      <c r="K476" s="165" t="s">
        <v>234</v>
      </c>
      <c r="L476" s="166">
        <v>2310</v>
      </c>
      <c r="M476" s="167" t="s">
        <v>234</v>
      </c>
    </row>
    <row r="477" spans="1:13" x14ac:dyDescent="0.3">
      <c r="A477" s="173" t="s">
        <v>567</v>
      </c>
      <c r="B477" s="159" t="s">
        <v>235</v>
      </c>
      <c r="C477" s="168" t="s">
        <v>234</v>
      </c>
      <c r="D477" s="170" t="s">
        <v>568</v>
      </c>
      <c r="E477" s="156" t="s">
        <v>272</v>
      </c>
      <c r="F477" s="159" t="s">
        <v>234</v>
      </c>
      <c r="G477" s="168" t="s">
        <v>234</v>
      </c>
      <c r="H477" s="170" t="s">
        <v>241</v>
      </c>
      <c r="I477" s="156" t="s">
        <v>234</v>
      </c>
      <c r="J477" s="159" t="s">
        <v>234</v>
      </c>
      <c r="K477" s="168" t="s">
        <v>234</v>
      </c>
      <c r="L477" s="170" t="s">
        <v>241</v>
      </c>
      <c r="M477" s="156" t="s">
        <v>234</v>
      </c>
    </row>
    <row r="478" spans="1:13" x14ac:dyDescent="0.3">
      <c r="A478" s="181" t="s">
        <v>334</v>
      </c>
      <c r="B478" s="161" t="s">
        <v>235</v>
      </c>
      <c r="C478" s="165" t="s">
        <v>234</v>
      </c>
      <c r="D478" s="176" t="s">
        <v>569</v>
      </c>
      <c r="E478" s="167" t="s">
        <v>272</v>
      </c>
      <c r="F478" s="161" t="s">
        <v>234</v>
      </c>
      <c r="G478" s="165" t="s">
        <v>234</v>
      </c>
      <c r="H478" s="166">
        <v>3310</v>
      </c>
      <c r="I478" s="167" t="s">
        <v>234</v>
      </c>
      <c r="J478" s="161" t="s">
        <v>234</v>
      </c>
      <c r="K478" s="165" t="s">
        <v>234</v>
      </c>
      <c r="L478" s="176" t="s">
        <v>241</v>
      </c>
      <c r="M478" s="167" t="s">
        <v>234</v>
      </c>
    </row>
    <row r="479" spans="1:13" x14ac:dyDescent="0.3">
      <c r="A479" s="173" t="s">
        <v>570</v>
      </c>
      <c r="B479" s="159" t="s">
        <v>235</v>
      </c>
      <c r="C479" s="168" t="s">
        <v>234</v>
      </c>
      <c r="D479" s="170" t="s">
        <v>571</v>
      </c>
      <c r="E479" s="156" t="s">
        <v>272</v>
      </c>
      <c r="F479" s="159" t="s">
        <v>234</v>
      </c>
      <c r="G479" s="168" t="s">
        <v>234</v>
      </c>
      <c r="H479" s="170" t="s">
        <v>572</v>
      </c>
      <c r="I479" s="156" t="s">
        <v>272</v>
      </c>
      <c r="J479" s="159" t="s">
        <v>234</v>
      </c>
      <c r="K479" s="168" t="s">
        <v>234</v>
      </c>
      <c r="L479" s="170" t="s">
        <v>573</v>
      </c>
      <c r="M479" s="156" t="s">
        <v>272</v>
      </c>
    </row>
    <row r="480" spans="1:13" ht="15" thickBot="1" x14ac:dyDescent="0.35">
      <c r="A480" s="181" t="s">
        <v>574</v>
      </c>
      <c r="B480" s="161" t="s">
        <v>235</v>
      </c>
      <c r="C480" s="165" t="s">
        <v>234</v>
      </c>
      <c r="D480" s="176">
        <v>331</v>
      </c>
      <c r="E480" s="167" t="s">
        <v>234</v>
      </c>
      <c r="F480" s="161" t="s">
        <v>234</v>
      </c>
      <c r="G480" s="165" t="s">
        <v>234</v>
      </c>
      <c r="H480" s="166">
        <v>1684</v>
      </c>
      <c r="I480" s="167" t="s">
        <v>234</v>
      </c>
      <c r="J480" s="161" t="s">
        <v>234</v>
      </c>
      <c r="K480" s="165" t="s">
        <v>234</v>
      </c>
      <c r="L480" s="176" t="s">
        <v>575</v>
      </c>
      <c r="M480" s="167" t="s">
        <v>272</v>
      </c>
    </row>
    <row r="481" spans="1:13" x14ac:dyDescent="0.3">
      <c r="A481" s="171"/>
      <c r="B481" s="171" t="s">
        <v>247</v>
      </c>
      <c r="C481" s="172"/>
      <c r="D481" s="172"/>
      <c r="E481" s="171"/>
      <c r="F481" s="171"/>
      <c r="G481" s="172"/>
      <c r="H481" s="172"/>
      <c r="I481" s="171"/>
      <c r="J481" s="171"/>
      <c r="K481" s="172"/>
      <c r="L481" s="172"/>
      <c r="M481" s="171"/>
    </row>
    <row r="482" spans="1:13" x14ac:dyDescent="0.3">
      <c r="A482" s="163" t="s">
        <v>576</v>
      </c>
      <c r="B482" s="159" t="s">
        <v>235</v>
      </c>
      <c r="C482" s="168" t="s">
        <v>234</v>
      </c>
      <c r="D482" s="169">
        <v>107424</v>
      </c>
      <c r="E482" s="156" t="s">
        <v>234</v>
      </c>
      <c r="F482" s="159" t="s">
        <v>234</v>
      </c>
      <c r="G482" s="168" t="s">
        <v>234</v>
      </c>
      <c r="H482" s="169">
        <v>83625</v>
      </c>
      <c r="I482" s="156" t="s">
        <v>234</v>
      </c>
      <c r="J482" s="159" t="s">
        <v>234</v>
      </c>
      <c r="K482" s="168" t="s">
        <v>234</v>
      </c>
      <c r="L482" s="169">
        <v>71034</v>
      </c>
      <c r="M482" s="156" t="s">
        <v>234</v>
      </c>
    </row>
    <row r="483" spans="1:13" ht="15" thickBot="1" x14ac:dyDescent="0.35">
      <c r="A483" s="164" t="s">
        <v>577</v>
      </c>
      <c r="B483" s="161" t="s">
        <v>235</v>
      </c>
      <c r="C483" s="165" t="s">
        <v>234</v>
      </c>
      <c r="D483" s="166">
        <v>28461</v>
      </c>
      <c r="E483" s="167" t="s">
        <v>234</v>
      </c>
      <c r="F483" s="161" t="s">
        <v>234</v>
      </c>
      <c r="G483" s="165" t="s">
        <v>234</v>
      </c>
      <c r="H483" s="166">
        <v>17157</v>
      </c>
      <c r="I483" s="167" t="s">
        <v>234</v>
      </c>
      <c r="J483" s="161" t="s">
        <v>234</v>
      </c>
      <c r="K483" s="165" t="s">
        <v>234</v>
      </c>
      <c r="L483" s="166">
        <v>15307</v>
      </c>
      <c r="M483" s="167" t="s">
        <v>234</v>
      </c>
    </row>
    <row r="484" spans="1:13" x14ac:dyDescent="0.3">
      <c r="A484" s="171"/>
      <c r="B484" s="171" t="s">
        <v>247</v>
      </c>
      <c r="C484" s="172"/>
      <c r="D484" s="172"/>
      <c r="E484" s="171"/>
      <c r="F484" s="171"/>
      <c r="G484" s="172"/>
      <c r="H484" s="172"/>
      <c r="I484" s="171"/>
      <c r="J484" s="171"/>
      <c r="K484" s="172"/>
      <c r="L484" s="172"/>
      <c r="M484" s="171"/>
    </row>
    <row r="485" spans="1:13" ht="15" thickBot="1" x14ac:dyDescent="0.35">
      <c r="A485" s="163" t="s">
        <v>561</v>
      </c>
      <c r="B485" s="159" t="s">
        <v>235</v>
      </c>
      <c r="C485" s="168" t="s">
        <v>239</v>
      </c>
      <c r="D485" s="169">
        <v>135885</v>
      </c>
      <c r="E485" s="156" t="s">
        <v>234</v>
      </c>
      <c r="F485" s="159" t="s">
        <v>234</v>
      </c>
      <c r="G485" s="168" t="s">
        <v>239</v>
      </c>
      <c r="H485" s="169">
        <v>100782</v>
      </c>
      <c r="I485" s="156" t="s">
        <v>234</v>
      </c>
      <c r="J485" s="159" t="s">
        <v>234</v>
      </c>
      <c r="K485" s="168" t="s">
        <v>239</v>
      </c>
      <c r="L485" s="169">
        <v>86341</v>
      </c>
      <c r="M485" s="156" t="s">
        <v>234</v>
      </c>
    </row>
    <row r="486" spans="1:13" ht="15" thickTop="1" x14ac:dyDescent="0.3">
      <c r="A486" s="171"/>
      <c r="B486" s="171" t="s">
        <v>247</v>
      </c>
      <c r="C486" s="174"/>
      <c r="D486" s="174"/>
      <c r="E486" s="171"/>
      <c r="F486" s="171"/>
      <c r="G486" s="174"/>
      <c r="H486" s="174"/>
      <c r="I486" s="171"/>
      <c r="J486" s="171"/>
      <c r="K486" s="174"/>
      <c r="L486" s="174"/>
      <c r="M486" s="171"/>
    </row>
    <row r="487" spans="1:13" x14ac:dyDescent="0.3">
      <c r="A487" s="178" t="s">
        <v>234</v>
      </c>
    </row>
    <row r="488" spans="1:13" x14ac:dyDescent="0.3">
      <c r="A488" s="179">
        <v>49</v>
      </c>
    </row>
    <row r="492" spans="1:13" x14ac:dyDescent="0.3">
      <c r="A492" s="180" t="s">
        <v>279</v>
      </c>
    </row>
    <row r="494" spans="1:13" x14ac:dyDescent="0.3">
      <c r="A494" s="156" t="s">
        <v>578</v>
      </c>
    </row>
    <row r="495" spans="1:13" x14ac:dyDescent="0.3">
      <c r="A495" s="157"/>
    </row>
    <row r="496" spans="1:13" x14ac:dyDescent="0.3">
      <c r="A496" s="158"/>
      <c r="B496" s="158"/>
      <c r="C496" s="158"/>
      <c r="D496" s="158"/>
      <c r="E496" s="158"/>
      <c r="F496" s="158"/>
      <c r="G496" s="158"/>
      <c r="H496" s="158"/>
      <c r="I496" s="158"/>
    </row>
    <row r="497" spans="1:9" ht="15" thickBot="1" x14ac:dyDescent="0.35">
      <c r="A497" s="159" t="s">
        <v>234</v>
      </c>
      <c r="B497" s="159" t="s">
        <v>235</v>
      </c>
      <c r="C497" s="300">
        <v>2006</v>
      </c>
      <c r="D497" s="300"/>
      <c r="E497" s="159" t="s">
        <v>234</v>
      </c>
      <c r="F497" s="159" t="s">
        <v>234</v>
      </c>
      <c r="G497" s="300">
        <v>2005</v>
      </c>
      <c r="H497" s="300"/>
      <c r="I497" s="159" t="s">
        <v>234</v>
      </c>
    </row>
    <row r="498" spans="1:9" x14ac:dyDescent="0.3">
      <c r="A498" s="164" t="s">
        <v>579</v>
      </c>
      <c r="B498" s="161" t="s">
        <v>235</v>
      </c>
      <c r="C498" s="162"/>
      <c r="D498" s="162"/>
      <c r="E498" s="162"/>
      <c r="F498" s="161" t="s">
        <v>234</v>
      </c>
      <c r="G498" s="162"/>
      <c r="H498" s="162"/>
      <c r="I498" s="162"/>
    </row>
    <row r="499" spans="1:9" x14ac:dyDescent="0.3">
      <c r="A499" s="173" t="s">
        <v>580</v>
      </c>
      <c r="B499" s="159" t="s">
        <v>235</v>
      </c>
      <c r="C499" s="168" t="s">
        <v>239</v>
      </c>
      <c r="D499" s="169">
        <v>43303</v>
      </c>
      <c r="E499" s="156" t="s">
        <v>234</v>
      </c>
      <c r="F499" s="159" t="s">
        <v>234</v>
      </c>
      <c r="G499" s="168" t="s">
        <v>239</v>
      </c>
      <c r="H499" s="169">
        <v>34009</v>
      </c>
      <c r="I499" s="156" t="s">
        <v>234</v>
      </c>
    </row>
    <row r="500" spans="1:9" x14ac:dyDescent="0.3">
      <c r="A500" s="181" t="s">
        <v>581</v>
      </c>
      <c r="B500" s="161" t="s">
        <v>235</v>
      </c>
      <c r="C500" s="165" t="s">
        <v>234</v>
      </c>
      <c r="D500" s="166">
        <v>16889</v>
      </c>
      <c r="E500" s="167" t="s">
        <v>234</v>
      </c>
      <c r="F500" s="161" t="s">
        <v>234</v>
      </c>
      <c r="G500" s="165" t="s">
        <v>234</v>
      </c>
      <c r="H500" s="166">
        <v>14380</v>
      </c>
      <c r="I500" s="167" t="s">
        <v>234</v>
      </c>
    </row>
    <row r="501" spans="1:9" x14ac:dyDescent="0.3">
      <c r="A501" s="173" t="s">
        <v>434</v>
      </c>
      <c r="B501" s="159" t="s">
        <v>235</v>
      </c>
      <c r="C501" s="168" t="s">
        <v>234</v>
      </c>
      <c r="D501" s="170" t="s">
        <v>241</v>
      </c>
      <c r="E501" s="156" t="s">
        <v>234</v>
      </c>
      <c r="F501" s="159" t="s">
        <v>234</v>
      </c>
      <c r="G501" s="168" t="s">
        <v>234</v>
      </c>
      <c r="H501" s="169">
        <v>2879</v>
      </c>
      <c r="I501" s="156" t="s">
        <v>234</v>
      </c>
    </row>
    <row r="502" spans="1:9" x14ac:dyDescent="0.3">
      <c r="A502" s="181" t="s">
        <v>582</v>
      </c>
      <c r="B502" s="161" t="s">
        <v>235</v>
      </c>
      <c r="C502" s="165" t="s">
        <v>234</v>
      </c>
      <c r="D502" s="176">
        <v>18</v>
      </c>
      <c r="E502" s="167" t="s">
        <v>234</v>
      </c>
      <c r="F502" s="161" t="s">
        <v>234</v>
      </c>
      <c r="G502" s="165" t="s">
        <v>234</v>
      </c>
      <c r="H502" s="176">
        <v>359</v>
      </c>
      <c r="I502" s="167" t="s">
        <v>234</v>
      </c>
    </row>
    <row r="503" spans="1:9" x14ac:dyDescent="0.3">
      <c r="A503" s="173" t="s">
        <v>583</v>
      </c>
      <c r="B503" s="159" t="s">
        <v>235</v>
      </c>
      <c r="C503" s="168" t="s">
        <v>234</v>
      </c>
      <c r="D503" s="169">
        <v>41717</v>
      </c>
      <c r="E503" s="156" t="s">
        <v>234</v>
      </c>
      <c r="F503" s="159" t="s">
        <v>234</v>
      </c>
      <c r="G503" s="168" t="s">
        <v>234</v>
      </c>
      <c r="H503" s="169">
        <v>31434</v>
      </c>
      <c r="I503" s="156" t="s">
        <v>234</v>
      </c>
    </row>
    <row r="504" spans="1:9" x14ac:dyDescent="0.3">
      <c r="A504" s="181" t="s">
        <v>584</v>
      </c>
      <c r="B504" s="161" t="s">
        <v>235</v>
      </c>
      <c r="C504" s="165" t="s">
        <v>234</v>
      </c>
      <c r="D504" s="166">
        <v>10461</v>
      </c>
      <c r="E504" s="167" t="s">
        <v>234</v>
      </c>
      <c r="F504" s="161" t="s">
        <v>234</v>
      </c>
      <c r="G504" s="165" t="s">
        <v>234</v>
      </c>
      <c r="H504" s="166">
        <v>16606</v>
      </c>
      <c r="I504" s="167" t="s">
        <v>234</v>
      </c>
    </row>
    <row r="505" spans="1:9" ht="15" thickBot="1" x14ac:dyDescent="0.35">
      <c r="A505" s="173" t="s">
        <v>585</v>
      </c>
      <c r="B505" s="159" t="s">
        <v>235</v>
      </c>
      <c r="C505" s="168" t="s">
        <v>234</v>
      </c>
      <c r="D505" s="169">
        <v>2810</v>
      </c>
      <c r="E505" s="156" t="s">
        <v>234</v>
      </c>
      <c r="F505" s="159" t="s">
        <v>234</v>
      </c>
      <c r="G505" s="168" t="s">
        <v>234</v>
      </c>
      <c r="H505" s="169">
        <v>7231</v>
      </c>
      <c r="I505" s="156" t="s">
        <v>234</v>
      </c>
    </row>
    <row r="506" spans="1:9" x14ac:dyDescent="0.3">
      <c r="A506" s="171"/>
      <c r="B506" s="171" t="s">
        <v>247</v>
      </c>
      <c r="C506" s="172"/>
      <c r="D506" s="172"/>
      <c r="E506" s="171"/>
      <c r="F506" s="171"/>
      <c r="G506" s="172"/>
      <c r="H506" s="172"/>
      <c r="I506" s="171"/>
    </row>
    <row r="507" spans="1:9" x14ac:dyDescent="0.3">
      <c r="A507" s="181" t="s">
        <v>586</v>
      </c>
      <c r="B507" s="161" t="s">
        <v>235</v>
      </c>
      <c r="C507" s="165" t="s">
        <v>234</v>
      </c>
      <c r="D507" s="166">
        <v>115198</v>
      </c>
      <c r="E507" s="167" t="s">
        <v>234</v>
      </c>
      <c r="F507" s="161" t="s">
        <v>234</v>
      </c>
      <c r="G507" s="165" t="s">
        <v>234</v>
      </c>
      <c r="H507" s="166">
        <v>106898</v>
      </c>
      <c r="I507" s="167" t="s">
        <v>234</v>
      </c>
    </row>
    <row r="508" spans="1:9" ht="15" thickBot="1" x14ac:dyDescent="0.35">
      <c r="A508" s="173" t="s">
        <v>587</v>
      </c>
      <c r="B508" s="159" t="s">
        <v>235</v>
      </c>
      <c r="C508" s="168" t="s">
        <v>234</v>
      </c>
      <c r="D508" s="170" t="s">
        <v>588</v>
      </c>
      <c r="E508" s="156" t="s">
        <v>272</v>
      </c>
      <c r="F508" s="159" t="s">
        <v>234</v>
      </c>
      <c r="G508" s="168" t="s">
        <v>234</v>
      </c>
      <c r="H508" s="170" t="s">
        <v>589</v>
      </c>
      <c r="I508" s="156" t="s">
        <v>272</v>
      </c>
    </row>
    <row r="509" spans="1:9" x14ac:dyDescent="0.3">
      <c r="A509" s="171"/>
      <c r="B509" s="171" t="s">
        <v>247</v>
      </c>
      <c r="C509" s="172"/>
      <c r="D509" s="172"/>
      <c r="E509" s="171"/>
      <c r="F509" s="171"/>
      <c r="G509" s="172"/>
      <c r="H509" s="172"/>
      <c r="I509" s="171"/>
    </row>
    <row r="510" spans="1:9" ht="15" thickBot="1" x14ac:dyDescent="0.35">
      <c r="A510" s="186"/>
      <c r="B510" s="161" t="s">
        <v>235</v>
      </c>
      <c r="C510" s="165" t="s">
        <v>234</v>
      </c>
      <c r="D510" s="166">
        <v>101927</v>
      </c>
      <c r="E510" s="167" t="s">
        <v>234</v>
      </c>
      <c r="F510" s="161" t="s">
        <v>234</v>
      </c>
      <c r="G510" s="165" t="s">
        <v>234</v>
      </c>
      <c r="H510" s="166">
        <v>89534</v>
      </c>
      <c r="I510" s="167" t="s">
        <v>234</v>
      </c>
    </row>
    <row r="511" spans="1:9" x14ac:dyDescent="0.3">
      <c r="A511" s="171"/>
      <c r="B511" s="171" t="s">
        <v>247</v>
      </c>
      <c r="C511" s="172"/>
      <c r="D511" s="172"/>
      <c r="E511" s="171"/>
      <c r="F511" s="171"/>
      <c r="G511" s="172"/>
      <c r="H511" s="172"/>
      <c r="I511" s="171"/>
    </row>
    <row r="512" spans="1:9" x14ac:dyDescent="0.3">
      <c r="A512" s="163" t="s">
        <v>590</v>
      </c>
      <c r="B512" s="159" t="s">
        <v>235</v>
      </c>
      <c r="C512" s="158"/>
      <c r="D512" s="158"/>
      <c r="E512" s="158"/>
      <c r="F512" s="159" t="s">
        <v>234</v>
      </c>
      <c r="G512" s="158"/>
      <c r="H512" s="158"/>
      <c r="I512" s="158"/>
    </row>
    <row r="513" spans="1:9" x14ac:dyDescent="0.3">
      <c r="A513" s="181" t="s">
        <v>591</v>
      </c>
      <c r="B513" s="161" t="s">
        <v>235</v>
      </c>
      <c r="C513" s="165" t="s">
        <v>234</v>
      </c>
      <c r="D513" s="176" t="s">
        <v>592</v>
      </c>
      <c r="E513" s="167" t="s">
        <v>272</v>
      </c>
      <c r="F513" s="161" t="s">
        <v>234</v>
      </c>
      <c r="G513" s="165" t="s">
        <v>234</v>
      </c>
      <c r="H513" s="176" t="s">
        <v>593</v>
      </c>
      <c r="I513" s="167" t="s">
        <v>272</v>
      </c>
    </row>
    <row r="514" spans="1:9" x14ac:dyDescent="0.3">
      <c r="A514" s="173" t="s">
        <v>434</v>
      </c>
      <c r="B514" s="159" t="s">
        <v>235</v>
      </c>
      <c r="C514" s="168" t="s">
        <v>234</v>
      </c>
      <c r="D514" s="170" t="s">
        <v>594</v>
      </c>
      <c r="E514" s="156" t="s">
        <v>272</v>
      </c>
      <c r="F514" s="159" t="s">
        <v>234</v>
      </c>
      <c r="G514" s="168" t="s">
        <v>234</v>
      </c>
      <c r="H514" s="170" t="s">
        <v>241</v>
      </c>
      <c r="I514" s="156" t="s">
        <v>234</v>
      </c>
    </row>
    <row r="515" spans="1:9" x14ac:dyDescent="0.3">
      <c r="A515" s="181" t="s">
        <v>595</v>
      </c>
      <c r="B515" s="161" t="s">
        <v>235</v>
      </c>
      <c r="C515" s="165" t="s">
        <v>234</v>
      </c>
      <c r="D515" s="176" t="s">
        <v>596</v>
      </c>
      <c r="E515" s="167" t="s">
        <v>272</v>
      </c>
      <c r="F515" s="161" t="s">
        <v>234</v>
      </c>
      <c r="G515" s="165" t="s">
        <v>234</v>
      </c>
      <c r="H515" s="176" t="s">
        <v>597</v>
      </c>
      <c r="I515" s="167" t="s">
        <v>272</v>
      </c>
    </row>
    <row r="516" spans="1:9" ht="15" thickBot="1" x14ac:dyDescent="0.35">
      <c r="A516" s="173" t="s">
        <v>312</v>
      </c>
      <c r="B516" s="159" t="s">
        <v>235</v>
      </c>
      <c r="C516" s="168" t="s">
        <v>234</v>
      </c>
      <c r="D516" s="170" t="s">
        <v>598</v>
      </c>
      <c r="E516" s="156" t="s">
        <v>272</v>
      </c>
      <c r="F516" s="159" t="s">
        <v>234</v>
      </c>
      <c r="G516" s="168" t="s">
        <v>234</v>
      </c>
      <c r="H516" s="170" t="s">
        <v>599</v>
      </c>
      <c r="I516" s="156" t="s">
        <v>272</v>
      </c>
    </row>
    <row r="517" spans="1:9" x14ac:dyDescent="0.3">
      <c r="A517" s="171"/>
      <c r="B517" s="171" t="s">
        <v>247</v>
      </c>
      <c r="C517" s="172"/>
      <c r="D517" s="172"/>
      <c r="E517" s="171"/>
      <c r="F517" s="171"/>
      <c r="G517" s="172"/>
      <c r="H517" s="172"/>
      <c r="I517" s="171"/>
    </row>
    <row r="518" spans="1:9" ht="15" thickBot="1" x14ac:dyDescent="0.35">
      <c r="A518" s="186"/>
      <c r="B518" s="161" t="s">
        <v>235</v>
      </c>
      <c r="C518" s="165" t="s">
        <v>234</v>
      </c>
      <c r="D518" s="176" t="s">
        <v>600</v>
      </c>
      <c r="E518" s="167" t="s">
        <v>272</v>
      </c>
      <c r="F518" s="161" t="s">
        <v>234</v>
      </c>
      <c r="G518" s="165" t="s">
        <v>234</v>
      </c>
      <c r="H518" s="176" t="s">
        <v>601</v>
      </c>
      <c r="I518" s="167" t="s">
        <v>272</v>
      </c>
    </row>
    <row r="519" spans="1:9" x14ac:dyDescent="0.3">
      <c r="A519" s="171"/>
      <c r="B519" s="171" t="s">
        <v>247</v>
      </c>
      <c r="C519" s="172"/>
      <c r="D519" s="172"/>
      <c r="E519" s="171"/>
      <c r="F519" s="171"/>
      <c r="G519" s="172"/>
      <c r="H519" s="172"/>
      <c r="I519" s="171"/>
    </row>
    <row r="520" spans="1:9" ht="15" thickBot="1" x14ac:dyDescent="0.35">
      <c r="A520" s="163" t="s">
        <v>602</v>
      </c>
      <c r="B520" s="159" t="s">
        <v>235</v>
      </c>
      <c r="C520" s="168" t="s">
        <v>239</v>
      </c>
      <c r="D520" s="169">
        <v>77561</v>
      </c>
      <c r="E520" s="156" t="s">
        <v>234</v>
      </c>
      <c r="F520" s="159" t="s">
        <v>234</v>
      </c>
      <c r="G520" s="168" t="s">
        <v>239</v>
      </c>
      <c r="H520" s="169">
        <v>62040</v>
      </c>
      <c r="I520" s="156" t="s">
        <v>234</v>
      </c>
    </row>
    <row r="521" spans="1:9" ht="15" thickTop="1" x14ac:dyDescent="0.3">
      <c r="A521" s="171"/>
      <c r="B521" s="171" t="s">
        <v>247</v>
      </c>
      <c r="C521" s="174"/>
      <c r="D521" s="174"/>
      <c r="E521" s="171"/>
      <c r="F521" s="171"/>
      <c r="G521" s="174"/>
      <c r="H521" s="174"/>
      <c r="I521" s="171"/>
    </row>
    <row r="522" spans="1:9" x14ac:dyDescent="0.3">
      <c r="A522" s="158"/>
      <c r="B522" s="301"/>
      <c r="C522" s="301"/>
      <c r="D522" s="301"/>
      <c r="E522" s="301"/>
      <c r="F522" s="301"/>
      <c r="G522" s="301"/>
      <c r="H522" s="301"/>
      <c r="I522" s="301"/>
    </row>
    <row r="523" spans="1:9" x14ac:dyDescent="0.3">
      <c r="A523" s="310" t="s">
        <v>603</v>
      </c>
      <c r="B523" s="304" t="s">
        <v>235</v>
      </c>
      <c r="C523" s="301"/>
      <c r="D523" s="301"/>
      <c r="E523" s="301"/>
      <c r="F523" s="304" t="s">
        <v>234</v>
      </c>
      <c r="G523" s="301"/>
      <c r="H523" s="301"/>
      <c r="I523" s="301"/>
    </row>
    <row r="524" spans="1:9" x14ac:dyDescent="0.3">
      <c r="A524" s="310"/>
      <c r="B524" s="304"/>
      <c r="C524" s="301"/>
      <c r="D524" s="301"/>
      <c r="E524" s="301"/>
      <c r="F524" s="304"/>
      <c r="G524" s="301"/>
      <c r="H524" s="301"/>
      <c r="I524" s="301"/>
    </row>
    <row r="525" spans="1:9" ht="15" thickBot="1" x14ac:dyDescent="0.35">
      <c r="A525" s="159" t="s">
        <v>234</v>
      </c>
      <c r="B525" s="159" t="s">
        <v>235</v>
      </c>
      <c r="C525" s="300">
        <v>2006</v>
      </c>
      <c r="D525" s="300"/>
      <c r="E525" s="159" t="s">
        <v>234</v>
      </c>
      <c r="F525" s="159" t="s">
        <v>234</v>
      </c>
      <c r="G525" s="300">
        <v>2005</v>
      </c>
      <c r="H525" s="300"/>
      <c r="I525" s="159" t="s">
        <v>234</v>
      </c>
    </row>
    <row r="526" spans="1:9" x14ac:dyDescent="0.3">
      <c r="A526" s="164" t="s">
        <v>604</v>
      </c>
      <c r="B526" s="161" t="s">
        <v>235</v>
      </c>
      <c r="C526" s="165" t="s">
        <v>239</v>
      </c>
      <c r="D526" s="166">
        <v>48149</v>
      </c>
      <c r="E526" s="167" t="s">
        <v>234</v>
      </c>
      <c r="F526" s="161" t="s">
        <v>234</v>
      </c>
      <c r="G526" s="165" t="s">
        <v>239</v>
      </c>
      <c r="H526" s="166">
        <v>39588</v>
      </c>
      <c r="I526" s="167" t="s">
        <v>234</v>
      </c>
    </row>
    <row r="527" spans="1:9" ht="15" thickBot="1" x14ac:dyDescent="0.35">
      <c r="A527" s="163" t="s">
        <v>605</v>
      </c>
      <c r="B527" s="159" t="s">
        <v>235</v>
      </c>
      <c r="C527" s="168" t="s">
        <v>234</v>
      </c>
      <c r="D527" s="169">
        <v>29412</v>
      </c>
      <c r="E527" s="156" t="s">
        <v>234</v>
      </c>
      <c r="F527" s="159" t="s">
        <v>234</v>
      </c>
      <c r="G527" s="168" t="s">
        <v>234</v>
      </c>
      <c r="H527" s="169">
        <v>22452</v>
      </c>
      <c r="I527" s="156" t="s">
        <v>234</v>
      </c>
    </row>
    <row r="528" spans="1:9" x14ac:dyDescent="0.3">
      <c r="A528" s="171"/>
      <c r="B528" s="171" t="s">
        <v>247</v>
      </c>
      <c r="C528" s="172"/>
      <c r="D528" s="172"/>
      <c r="E528" s="171"/>
      <c r="F528" s="171"/>
      <c r="G528" s="172"/>
      <c r="H528" s="172"/>
      <c r="I528" s="171"/>
    </row>
    <row r="529" spans="1:9" ht="15" thickBot="1" x14ac:dyDescent="0.35">
      <c r="A529" s="164" t="s">
        <v>602</v>
      </c>
      <c r="B529" s="161" t="s">
        <v>235</v>
      </c>
      <c r="C529" s="165" t="s">
        <v>239</v>
      </c>
      <c r="D529" s="166">
        <v>77561</v>
      </c>
      <c r="E529" s="167" t="s">
        <v>234</v>
      </c>
      <c r="F529" s="161" t="s">
        <v>234</v>
      </c>
      <c r="G529" s="165" t="s">
        <v>239</v>
      </c>
      <c r="H529" s="166">
        <v>62040</v>
      </c>
      <c r="I529" s="167" t="s">
        <v>234</v>
      </c>
    </row>
    <row r="530" spans="1:9" ht="15" thickTop="1" x14ac:dyDescent="0.3">
      <c r="A530" s="171"/>
      <c r="B530" s="171" t="s">
        <v>247</v>
      </c>
      <c r="C530" s="174"/>
      <c r="D530" s="174"/>
      <c r="E530" s="171"/>
      <c r="F530" s="171"/>
      <c r="G530" s="174"/>
      <c r="H530" s="174"/>
      <c r="I530" s="171"/>
    </row>
    <row r="531" spans="1:9" x14ac:dyDescent="0.3">
      <c r="A531" s="156" t="s">
        <v>606</v>
      </c>
    </row>
    <row r="532" spans="1:9" x14ac:dyDescent="0.3">
      <c r="A532" s="155" t="s">
        <v>607</v>
      </c>
    </row>
    <row r="533" spans="1:9" x14ac:dyDescent="0.3">
      <c r="A533" s="156" t="s">
        <v>608</v>
      </c>
    </row>
    <row r="534" spans="1:9" x14ac:dyDescent="0.3">
      <c r="A534" s="156" t="s">
        <v>609</v>
      </c>
    </row>
    <row r="535" spans="1:9" x14ac:dyDescent="0.3">
      <c r="A535" s="178" t="s">
        <v>234</v>
      </c>
    </row>
    <row r="536" spans="1:9" x14ac:dyDescent="0.3">
      <c r="A536" s="179">
        <v>50</v>
      </c>
    </row>
    <row r="540" spans="1:9" x14ac:dyDescent="0.3">
      <c r="A540" s="180" t="s">
        <v>279</v>
      </c>
    </row>
    <row r="542" spans="1:9" x14ac:dyDescent="0.3">
      <c r="A542" s="155" t="s">
        <v>610</v>
      </c>
    </row>
    <row r="543" spans="1:9" x14ac:dyDescent="0.3">
      <c r="A543" s="177" t="s">
        <v>611</v>
      </c>
    </row>
    <row r="544" spans="1:9" x14ac:dyDescent="0.3">
      <c r="A544" s="156" t="s">
        <v>612</v>
      </c>
    </row>
    <row r="545" spans="1:11" x14ac:dyDescent="0.3">
      <c r="A545" s="157"/>
    </row>
    <row r="546" spans="1:11" x14ac:dyDescent="0.3">
      <c r="A546" s="158"/>
      <c r="B546" s="158"/>
      <c r="C546" s="158"/>
      <c r="D546" s="158"/>
      <c r="E546" s="158"/>
      <c r="F546" s="158"/>
      <c r="G546" s="158"/>
      <c r="H546" s="158"/>
      <c r="I546" s="158"/>
      <c r="J546" s="158"/>
      <c r="K546" s="158"/>
    </row>
    <row r="547" spans="1:11" x14ac:dyDescent="0.3">
      <c r="A547" s="309" t="s">
        <v>613</v>
      </c>
      <c r="B547" s="304" t="s">
        <v>235</v>
      </c>
      <c r="C547" s="306" t="s">
        <v>614</v>
      </c>
      <c r="D547" s="306"/>
      <c r="E547" s="304" t="s">
        <v>235</v>
      </c>
      <c r="F547" s="306" t="s">
        <v>615</v>
      </c>
      <c r="G547" s="304" t="s">
        <v>235</v>
      </c>
      <c r="H547" s="306" t="s">
        <v>616</v>
      </c>
      <c r="I547" s="304" t="s">
        <v>235</v>
      </c>
      <c r="J547" s="306" t="s">
        <v>19</v>
      </c>
      <c r="K547" s="306"/>
    </row>
    <row r="548" spans="1:11" ht="15" thickBot="1" x14ac:dyDescent="0.35">
      <c r="A548" s="309"/>
      <c r="B548" s="304"/>
      <c r="C548" s="300" t="s">
        <v>617</v>
      </c>
      <c r="D548" s="300"/>
      <c r="E548" s="304"/>
      <c r="F548" s="300"/>
      <c r="G548" s="304"/>
      <c r="H548" s="300"/>
      <c r="I548" s="304"/>
      <c r="J548" s="300" t="s">
        <v>452</v>
      </c>
      <c r="K548" s="300"/>
    </row>
    <row r="549" spans="1:11" x14ac:dyDescent="0.3">
      <c r="A549" s="190" t="s">
        <v>618</v>
      </c>
      <c r="B549" s="161" t="s">
        <v>235</v>
      </c>
      <c r="C549" s="162"/>
      <c r="D549" s="162"/>
      <c r="E549" s="161" t="s">
        <v>235</v>
      </c>
      <c r="F549" s="162"/>
      <c r="G549" s="161" t="s">
        <v>235</v>
      </c>
      <c r="H549" s="162"/>
      <c r="I549" s="161" t="s">
        <v>235</v>
      </c>
      <c r="J549" s="162"/>
      <c r="K549" s="162"/>
    </row>
    <row r="550" spans="1:11" ht="27" x14ac:dyDescent="0.3">
      <c r="A550" s="163" t="s">
        <v>619</v>
      </c>
      <c r="B550" s="159" t="s">
        <v>235</v>
      </c>
      <c r="C550" s="168" t="s">
        <v>239</v>
      </c>
      <c r="D550" s="170">
        <v>0.15</v>
      </c>
      <c r="E550" s="159" t="s">
        <v>235</v>
      </c>
      <c r="F550" s="170" t="s">
        <v>620</v>
      </c>
      <c r="G550" s="159" t="s">
        <v>235</v>
      </c>
      <c r="H550" s="170" t="s">
        <v>621</v>
      </c>
      <c r="I550" s="159" t="s">
        <v>235</v>
      </c>
      <c r="J550" s="168" t="s">
        <v>239</v>
      </c>
      <c r="K550" s="169">
        <v>20918</v>
      </c>
    </row>
    <row r="551" spans="1:11" x14ac:dyDescent="0.3">
      <c r="A551" s="164" t="s">
        <v>619</v>
      </c>
      <c r="B551" s="161" t="s">
        <v>235</v>
      </c>
      <c r="C551" s="165" t="s">
        <v>234</v>
      </c>
      <c r="D551" s="176">
        <v>2</v>
      </c>
      <c r="E551" s="161" t="s">
        <v>235</v>
      </c>
      <c r="F551" s="191">
        <v>38730</v>
      </c>
      <c r="G551" s="161" t="s">
        <v>235</v>
      </c>
      <c r="H551" s="191">
        <v>38740</v>
      </c>
      <c r="I551" s="161" t="s">
        <v>235</v>
      </c>
      <c r="J551" s="165" t="s">
        <v>234</v>
      </c>
      <c r="K551" s="166">
        <v>277904</v>
      </c>
    </row>
    <row r="552" spans="1:11" x14ac:dyDescent="0.3">
      <c r="A552" s="163" t="s">
        <v>622</v>
      </c>
      <c r="B552" s="159" t="s">
        <v>235</v>
      </c>
      <c r="C552" s="168" t="s">
        <v>234</v>
      </c>
      <c r="D552" s="170">
        <v>0.15</v>
      </c>
      <c r="E552" s="159" t="s">
        <v>235</v>
      </c>
      <c r="F552" s="192">
        <v>38821</v>
      </c>
      <c r="G552" s="159" t="s">
        <v>235</v>
      </c>
      <c r="H552" s="192">
        <v>38831</v>
      </c>
      <c r="I552" s="159" t="s">
        <v>235</v>
      </c>
      <c r="J552" s="168" t="s">
        <v>234</v>
      </c>
      <c r="K552" s="169">
        <v>21004</v>
      </c>
    </row>
    <row r="553" spans="1:11" x14ac:dyDescent="0.3">
      <c r="A553" s="164" t="s">
        <v>623</v>
      </c>
      <c r="B553" s="161" t="s">
        <v>235</v>
      </c>
      <c r="C553" s="165" t="s">
        <v>234</v>
      </c>
      <c r="D553" s="176">
        <v>0.15</v>
      </c>
      <c r="E553" s="161" t="s">
        <v>235</v>
      </c>
      <c r="F553" s="191">
        <v>38912</v>
      </c>
      <c r="G553" s="161" t="s">
        <v>235</v>
      </c>
      <c r="H553" s="191">
        <v>38922</v>
      </c>
      <c r="I553" s="161" t="s">
        <v>235</v>
      </c>
      <c r="J553" s="165" t="s">
        <v>234</v>
      </c>
      <c r="K553" s="166">
        <v>21186</v>
      </c>
    </row>
    <row r="554" spans="1:11" x14ac:dyDescent="0.3">
      <c r="A554" s="158"/>
      <c r="B554" s="301"/>
      <c r="C554" s="301"/>
      <c r="D554" s="301"/>
      <c r="E554" s="301"/>
      <c r="F554" s="301"/>
      <c r="G554" s="301"/>
      <c r="H554" s="301"/>
      <c r="I554" s="301"/>
      <c r="J554" s="301"/>
      <c r="K554" s="301"/>
    </row>
    <row r="555" spans="1:11" x14ac:dyDescent="0.3">
      <c r="A555" s="193" t="s">
        <v>624</v>
      </c>
      <c r="B555" s="159" t="s">
        <v>235</v>
      </c>
      <c r="C555" s="158"/>
      <c r="D555" s="158"/>
      <c r="E555" s="159" t="s">
        <v>235</v>
      </c>
      <c r="F555" s="158"/>
      <c r="G555" s="159" t="s">
        <v>235</v>
      </c>
      <c r="H555" s="158"/>
      <c r="I555" s="159" t="s">
        <v>235</v>
      </c>
      <c r="J555" s="158"/>
      <c r="K555" s="158"/>
    </row>
    <row r="556" spans="1:11" x14ac:dyDescent="0.3">
      <c r="A556" s="164" t="s">
        <v>625</v>
      </c>
      <c r="B556" s="161" t="s">
        <v>235</v>
      </c>
      <c r="C556" s="165" t="s">
        <v>239</v>
      </c>
      <c r="D556" s="176">
        <v>0.1</v>
      </c>
      <c r="E556" s="161" t="s">
        <v>235</v>
      </c>
      <c r="F556" s="191">
        <v>38359</v>
      </c>
      <c r="G556" s="161" t="s">
        <v>235</v>
      </c>
      <c r="H556" s="191">
        <v>38369</v>
      </c>
      <c r="I556" s="161" t="s">
        <v>235</v>
      </c>
      <c r="J556" s="165" t="s">
        <v>239</v>
      </c>
      <c r="K556" s="166">
        <v>12088</v>
      </c>
    </row>
    <row r="557" spans="1:11" x14ac:dyDescent="0.3">
      <c r="A557" s="163" t="s">
        <v>626</v>
      </c>
      <c r="B557" s="159" t="s">
        <v>235</v>
      </c>
      <c r="C557" s="168" t="s">
        <v>234</v>
      </c>
      <c r="D557" s="170">
        <v>0.13</v>
      </c>
      <c r="E557" s="159" t="s">
        <v>235</v>
      </c>
      <c r="F557" s="192">
        <v>38457</v>
      </c>
      <c r="G557" s="159" t="s">
        <v>235</v>
      </c>
      <c r="H557" s="192">
        <v>38467</v>
      </c>
      <c r="I557" s="159" t="s">
        <v>235</v>
      </c>
      <c r="J557" s="168" t="s">
        <v>234</v>
      </c>
      <c r="K557" s="169">
        <v>16345</v>
      </c>
    </row>
    <row r="558" spans="1:11" x14ac:dyDescent="0.3">
      <c r="A558" s="164" t="s">
        <v>627</v>
      </c>
      <c r="B558" s="161" t="s">
        <v>235</v>
      </c>
      <c r="C558" s="165" t="s">
        <v>234</v>
      </c>
      <c r="D558" s="176">
        <v>0.13</v>
      </c>
      <c r="E558" s="161" t="s">
        <v>235</v>
      </c>
      <c r="F558" s="191">
        <v>38548</v>
      </c>
      <c r="G558" s="161" t="s">
        <v>235</v>
      </c>
      <c r="H558" s="191">
        <v>38558</v>
      </c>
      <c r="I558" s="161" t="s">
        <v>235</v>
      </c>
      <c r="J558" s="165" t="s">
        <v>234</v>
      </c>
      <c r="K558" s="166">
        <v>16834</v>
      </c>
    </row>
    <row r="559" spans="1:11" ht="27" x14ac:dyDescent="0.3">
      <c r="A559" s="163" t="s">
        <v>628</v>
      </c>
      <c r="B559" s="159" t="s">
        <v>235</v>
      </c>
      <c r="C559" s="168" t="s">
        <v>234</v>
      </c>
      <c r="D559" s="170">
        <v>0.13</v>
      </c>
      <c r="E559" s="159" t="s">
        <v>235</v>
      </c>
      <c r="F559" s="170" t="s">
        <v>629</v>
      </c>
      <c r="G559" s="159" t="s">
        <v>235</v>
      </c>
      <c r="H559" s="170" t="s">
        <v>630</v>
      </c>
      <c r="I559" s="159" t="s">
        <v>235</v>
      </c>
      <c r="J559" s="168" t="s">
        <v>234</v>
      </c>
      <c r="K559" s="169">
        <v>17063</v>
      </c>
    </row>
    <row r="560" spans="1:11" x14ac:dyDescent="0.3">
      <c r="A560" s="156" t="s">
        <v>631</v>
      </c>
    </row>
    <row r="561" spans="1:10" x14ac:dyDescent="0.3">
      <c r="A561" s="156" t="s">
        <v>632</v>
      </c>
    </row>
    <row r="562" spans="1:10" x14ac:dyDescent="0.3">
      <c r="A562" s="177" t="s">
        <v>633</v>
      </c>
    </row>
    <row r="563" spans="1:10" x14ac:dyDescent="0.3">
      <c r="A563" s="156" t="s">
        <v>634</v>
      </c>
    </row>
    <row r="564" spans="1:10" x14ac:dyDescent="0.3">
      <c r="A564" s="156" t="s">
        <v>635</v>
      </c>
    </row>
    <row r="565" spans="1:10" x14ac:dyDescent="0.3">
      <c r="A565" s="155" t="s">
        <v>636</v>
      </c>
    </row>
    <row r="566" spans="1:10" x14ac:dyDescent="0.3">
      <c r="A566" s="156" t="s">
        <v>637</v>
      </c>
    </row>
    <row r="567" spans="1:10" x14ac:dyDescent="0.3">
      <c r="A567" s="178" t="s">
        <v>234</v>
      </c>
    </row>
    <row r="568" spans="1:10" x14ac:dyDescent="0.3">
      <c r="A568" s="179">
        <v>51</v>
      </c>
    </row>
    <row r="572" spans="1:10" x14ac:dyDescent="0.3">
      <c r="A572" s="180" t="s">
        <v>279</v>
      </c>
    </row>
    <row r="574" spans="1:10" x14ac:dyDescent="0.3">
      <c r="A574" s="156" t="s">
        <v>638</v>
      </c>
    </row>
    <row r="575" spans="1:10" x14ac:dyDescent="0.3">
      <c r="A575" s="157"/>
    </row>
    <row r="576" spans="1:10" x14ac:dyDescent="0.3">
      <c r="A576" s="158"/>
      <c r="B576" s="158"/>
      <c r="C576" s="158"/>
      <c r="D576" s="158"/>
      <c r="E576" s="158"/>
      <c r="F576" s="158"/>
      <c r="G576" s="158"/>
      <c r="H576" s="158"/>
      <c r="I576" s="158"/>
      <c r="J576" s="158"/>
    </row>
    <row r="577" spans="1:10" ht="15" thickBot="1" x14ac:dyDescent="0.35">
      <c r="A577" s="159" t="s">
        <v>234</v>
      </c>
      <c r="B577" s="159" t="s">
        <v>235</v>
      </c>
      <c r="C577" s="300">
        <v>2006</v>
      </c>
      <c r="D577" s="300"/>
      <c r="E577" s="159" t="s">
        <v>235</v>
      </c>
      <c r="F577" s="300">
        <v>2005</v>
      </c>
      <c r="G577" s="300"/>
      <c r="H577" s="159" t="s">
        <v>235</v>
      </c>
      <c r="I577" s="300">
        <v>2004</v>
      </c>
      <c r="J577" s="300"/>
    </row>
    <row r="578" spans="1:10" x14ac:dyDescent="0.3">
      <c r="A578" s="164" t="s">
        <v>639</v>
      </c>
      <c r="B578" s="161" t="s">
        <v>235</v>
      </c>
      <c r="C578" s="165" t="s">
        <v>239</v>
      </c>
      <c r="D578" s="166">
        <v>203828</v>
      </c>
      <c r="E578" s="161" t="s">
        <v>235</v>
      </c>
      <c r="F578" s="165" t="s">
        <v>239</v>
      </c>
      <c r="G578" s="166">
        <v>136351</v>
      </c>
      <c r="H578" s="161" t="s">
        <v>235</v>
      </c>
      <c r="I578" s="165" t="s">
        <v>239</v>
      </c>
      <c r="J578" s="166">
        <v>129512</v>
      </c>
    </row>
    <row r="579" spans="1:10" ht="15" thickBot="1" x14ac:dyDescent="0.35">
      <c r="A579" s="163" t="s">
        <v>640</v>
      </c>
      <c r="B579" s="159" t="s">
        <v>235</v>
      </c>
      <c r="C579" s="168" t="s">
        <v>234</v>
      </c>
      <c r="D579" s="170">
        <v>283</v>
      </c>
      <c r="E579" s="159" t="s">
        <v>235</v>
      </c>
      <c r="F579" s="168" t="s">
        <v>234</v>
      </c>
      <c r="G579" s="169">
        <v>2539</v>
      </c>
      <c r="H579" s="159" t="s">
        <v>235</v>
      </c>
      <c r="I579" s="168" t="s">
        <v>234</v>
      </c>
      <c r="J579" s="169">
        <v>4697</v>
      </c>
    </row>
    <row r="580" spans="1:10" x14ac:dyDescent="0.3">
      <c r="A580" s="171"/>
      <c r="B580" s="171" t="s">
        <v>247</v>
      </c>
      <c r="C580" s="172"/>
      <c r="D580" s="172"/>
      <c r="E580" s="171" t="s">
        <v>247</v>
      </c>
      <c r="F580" s="172"/>
      <c r="G580" s="172"/>
      <c r="H580" s="171" t="s">
        <v>247</v>
      </c>
      <c r="I580" s="172"/>
      <c r="J580" s="172"/>
    </row>
    <row r="581" spans="1:10" ht="15" thickBot="1" x14ac:dyDescent="0.35">
      <c r="A581" s="164" t="s">
        <v>641</v>
      </c>
      <c r="B581" s="161" t="s">
        <v>235</v>
      </c>
      <c r="C581" s="165" t="s">
        <v>239</v>
      </c>
      <c r="D581" s="166">
        <v>204111</v>
      </c>
      <c r="E581" s="161" t="s">
        <v>235</v>
      </c>
      <c r="F581" s="165" t="s">
        <v>239</v>
      </c>
      <c r="G581" s="166">
        <v>138890</v>
      </c>
      <c r="H581" s="161" t="s">
        <v>235</v>
      </c>
      <c r="I581" s="165" t="s">
        <v>239</v>
      </c>
      <c r="J581" s="166">
        <v>134209</v>
      </c>
    </row>
    <row r="582" spans="1:10" ht="15" thickTop="1" x14ac:dyDescent="0.3">
      <c r="A582" s="171"/>
      <c r="B582" s="171" t="s">
        <v>247</v>
      </c>
      <c r="C582" s="174"/>
      <c r="D582" s="174"/>
      <c r="E582" s="171" t="s">
        <v>247</v>
      </c>
      <c r="F582" s="174"/>
      <c r="G582" s="174"/>
      <c r="H582" s="171" t="s">
        <v>247</v>
      </c>
      <c r="I582" s="174"/>
      <c r="J582" s="174"/>
    </row>
    <row r="583" spans="1:10" ht="15" thickBot="1" x14ac:dyDescent="0.35">
      <c r="A583" s="163" t="s">
        <v>642</v>
      </c>
      <c r="B583" s="159" t="s">
        <v>235</v>
      </c>
      <c r="C583" s="168" t="s">
        <v>234</v>
      </c>
      <c r="D583" s="169">
        <v>139328</v>
      </c>
      <c r="E583" s="159" t="s">
        <v>235</v>
      </c>
      <c r="F583" s="168" t="s">
        <v>234</v>
      </c>
      <c r="G583" s="169">
        <v>130090</v>
      </c>
      <c r="H583" s="159" t="s">
        <v>235</v>
      </c>
      <c r="I583" s="168" t="s">
        <v>234</v>
      </c>
      <c r="J583" s="169">
        <v>122648</v>
      </c>
    </row>
    <row r="584" spans="1:10" ht="15" thickTop="1" x14ac:dyDescent="0.3">
      <c r="A584" s="171"/>
      <c r="B584" s="171" t="s">
        <v>247</v>
      </c>
      <c r="C584" s="174"/>
      <c r="D584" s="174"/>
      <c r="E584" s="171" t="s">
        <v>247</v>
      </c>
      <c r="F584" s="174"/>
      <c r="G584" s="174"/>
      <c r="H584" s="171" t="s">
        <v>247</v>
      </c>
      <c r="I584" s="174"/>
      <c r="J584" s="174"/>
    </row>
    <row r="585" spans="1:10" x14ac:dyDescent="0.3">
      <c r="A585" s="164" t="s">
        <v>643</v>
      </c>
      <c r="B585" s="161" t="s">
        <v>235</v>
      </c>
      <c r="C585" s="162"/>
      <c r="D585" s="162"/>
      <c r="E585" s="161" t="s">
        <v>235</v>
      </c>
      <c r="F585" s="162"/>
      <c r="G585" s="162"/>
      <c r="H585" s="161" t="s">
        <v>235</v>
      </c>
      <c r="I585" s="162"/>
      <c r="J585" s="162"/>
    </row>
    <row r="586" spans="1:10" x14ac:dyDescent="0.3">
      <c r="A586" s="173" t="s">
        <v>644</v>
      </c>
      <c r="B586" s="159" t="s">
        <v>235</v>
      </c>
      <c r="C586" s="168" t="s">
        <v>234</v>
      </c>
      <c r="D586" s="170">
        <v>363</v>
      </c>
      <c r="E586" s="159" t="s">
        <v>235</v>
      </c>
      <c r="F586" s="168" t="s">
        <v>234</v>
      </c>
      <c r="G586" s="169">
        <v>3414</v>
      </c>
      <c r="H586" s="159" t="s">
        <v>235</v>
      </c>
      <c r="I586" s="168" t="s">
        <v>234</v>
      </c>
      <c r="J586" s="169">
        <v>6562</v>
      </c>
    </row>
    <row r="587" spans="1:10" ht="15" thickBot="1" x14ac:dyDescent="0.35">
      <c r="A587" s="181" t="s">
        <v>645</v>
      </c>
      <c r="B587" s="161" t="s">
        <v>235</v>
      </c>
      <c r="C587" s="165" t="s">
        <v>234</v>
      </c>
      <c r="D587" s="166">
        <v>5391</v>
      </c>
      <c r="E587" s="161" t="s">
        <v>235</v>
      </c>
      <c r="F587" s="165" t="s">
        <v>234</v>
      </c>
      <c r="G587" s="166">
        <v>6446</v>
      </c>
      <c r="H587" s="161" t="s">
        <v>235</v>
      </c>
      <c r="I587" s="165" t="s">
        <v>234</v>
      </c>
      <c r="J587" s="166">
        <v>6244</v>
      </c>
    </row>
    <row r="588" spans="1:10" x14ac:dyDescent="0.3">
      <c r="A588" s="171"/>
      <c r="B588" s="171" t="s">
        <v>247</v>
      </c>
      <c r="C588" s="172"/>
      <c r="D588" s="172"/>
      <c r="E588" s="171" t="s">
        <v>247</v>
      </c>
      <c r="F588" s="172"/>
      <c r="G588" s="172"/>
      <c r="H588" s="171" t="s">
        <v>247</v>
      </c>
      <c r="I588" s="172"/>
      <c r="J588" s="172"/>
    </row>
    <row r="589" spans="1:10" ht="27" thickBot="1" x14ac:dyDescent="0.35">
      <c r="A589" s="163" t="s">
        <v>646</v>
      </c>
      <c r="B589" s="159" t="s">
        <v>235</v>
      </c>
      <c r="C589" s="168" t="s">
        <v>234</v>
      </c>
      <c r="D589" s="169">
        <v>145082</v>
      </c>
      <c r="E589" s="159" t="s">
        <v>235</v>
      </c>
      <c r="F589" s="168" t="s">
        <v>234</v>
      </c>
      <c r="G589" s="169">
        <v>139950</v>
      </c>
      <c r="H589" s="159" t="s">
        <v>235</v>
      </c>
      <c r="I589" s="168" t="s">
        <v>234</v>
      </c>
      <c r="J589" s="169">
        <v>135454</v>
      </c>
    </row>
    <row r="590" spans="1:10" ht="15" thickTop="1" x14ac:dyDescent="0.3">
      <c r="A590" s="171"/>
      <c r="B590" s="171" t="s">
        <v>247</v>
      </c>
      <c r="C590" s="174"/>
      <c r="D590" s="174"/>
      <c r="E590" s="171" t="s">
        <v>247</v>
      </c>
      <c r="F590" s="174"/>
      <c r="G590" s="174"/>
      <c r="H590" s="171" t="s">
        <v>247</v>
      </c>
      <c r="I590" s="174"/>
      <c r="J590" s="174"/>
    </row>
    <row r="591" spans="1:10" ht="15" thickBot="1" x14ac:dyDescent="0.35">
      <c r="A591" s="164" t="s">
        <v>299</v>
      </c>
      <c r="B591" s="161" t="s">
        <v>235</v>
      </c>
      <c r="C591" s="165" t="s">
        <v>239</v>
      </c>
      <c r="D591" s="176">
        <v>1.46</v>
      </c>
      <c r="E591" s="161" t="s">
        <v>235</v>
      </c>
      <c r="F591" s="165" t="s">
        <v>239</v>
      </c>
      <c r="G591" s="176">
        <v>1.05</v>
      </c>
      <c r="H591" s="161" t="s">
        <v>235</v>
      </c>
      <c r="I591" s="165" t="s">
        <v>239</v>
      </c>
      <c r="J591" s="176">
        <v>1.06</v>
      </c>
    </row>
    <row r="592" spans="1:10" ht="15" thickTop="1" x14ac:dyDescent="0.3">
      <c r="A592" s="171"/>
      <c r="B592" s="171" t="s">
        <v>247</v>
      </c>
      <c r="C592" s="174"/>
      <c r="D592" s="174"/>
      <c r="E592" s="171" t="s">
        <v>247</v>
      </c>
      <c r="F592" s="174"/>
      <c r="G592" s="174"/>
      <c r="H592" s="171" t="s">
        <v>247</v>
      </c>
      <c r="I592" s="174"/>
      <c r="J592" s="174"/>
    </row>
    <row r="593" spans="1:10" ht="15" thickBot="1" x14ac:dyDescent="0.35">
      <c r="A593" s="163" t="s">
        <v>301</v>
      </c>
      <c r="B593" s="159" t="s">
        <v>235</v>
      </c>
      <c r="C593" s="168" t="s">
        <v>239</v>
      </c>
      <c r="D593" s="170">
        <v>1.41</v>
      </c>
      <c r="E593" s="159" t="s">
        <v>235</v>
      </c>
      <c r="F593" s="168" t="s">
        <v>239</v>
      </c>
      <c r="G593" s="170">
        <v>0.99</v>
      </c>
      <c r="H593" s="159" t="s">
        <v>235</v>
      </c>
      <c r="I593" s="168" t="s">
        <v>239</v>
      </c>
      <c r="J593" s="170">
        <v>0.99</v>
      </c>
    </row>
    <row r="594" spans="1:10" ht="15" thickTop="1" x14ac:dyDescent="0.3">
      <c r="A594" s="171"/>
      <c r="B594" s="171" t="s">
        <v>247</v>
      </c>
      <c r="C594" s="174"/>
      <c r="D594" s="174"/>
      <c r="E594" s="171" t="s">
        <v>247</v>
      </c>
      <c r="F594" s="174"/>
      <c r="G594" s="174"/>
      <c r="H594" s="171" t="s">
        <v>247</v>
      </c>
      <c r="I594" s="174"/>
      <c r="J594" s="174"/>
    </row>
    <row r="595" spans="1:10" x14ac:dyDescent="0.3">
      <c r="A595" s="156" t="s">
        <v>647</v>
      </c>
    </row>
    <row r="596" spans="1:10" x14ac:dyDescent="0.3">
      <c r="A596" s="155" t="s">
        <v>648</v>
      </c>
    </row>
    <row r="597" spans="1:10" x14ac:dyDescent="0.3">
      <c r="A597" s="156" t="s">
        <v>649</v>
      </c>
    </row>
    <row r="598" spans="1:10" x14ac:dyDescent="0.3">
      <c r="A598" s="177" t="s">
        <v>650</v>
      </c>
    </row>
    <row r="599" spans="1:10" x14ac:dyDescent="0.3">
      <c r="A599" s="156" t="s">
        <v>651</v>
      </c>
    </row>
    <row r="600" spans="1:10" x14ac:dyDescent="0.3">
      <c r="A600" s="178" t="s">
        <v>234</v>
      </c>
    </row>
    <row r="601" spans="1:10" x14ac:dyDescent="0.3">
      <c r="A601" s="179">
        <v>52</v>
      </c>
    </row>
    <row r="605" spans="1:10" x14ac:dyDescent="0.3">
      <c r="A605" s="180" t="s">
        <v>279</v>
      </c>
    </row>
    <row r="607" spans="1:10" x14ac:dyDescent="0.3">
      <c r="A607" s="156" t="s">
        <v>652</v>
      </c>
    </row>
    <row r="608" spans="1:10" x14ac:dyDescent="0.3">
      <c r="A608" s="157"/>
    </row>
    <row r="609" spans="1:12" x14ac:dyDescent="0.3">
      <c r="A609" s="158"/>
      <c r="B609" s="158"/>
      <c r="C609" s="158"/>
      <c r="D609" s="158"/>
      <c r="E609" s="158"/>
      <c r="F609" s="158"/>
      <c r="G609" s="158"/>
      <c r="H609" s="158"/>
      <c r="I609" s="158"/>
      <c r="J609" s="158"/>
      <c r="K609" s="158"/>
      <c r="L609" s="158"/>
    </row>
    <row r="610" spans="1:12" x14ac:dyDescent="0.3">
      <c r="A610" s="304" t="s">
        <v>234</v>
      </c>
      <c r="B610" s="304" t="s">
        <v>235</v>
      </c>
      <c r="C610" s="182" t="s">
        <v>653</v>
      </c>
      <c r="D610" s="304" t="s">
        <v>234</v>
      </c>
      <c r="E610" s="304" t="s">
        <v>234</v>
      </c>
      <c r="F610" s="306" t="s">
        <v>654</v>
      </c>
      <c r="G610" s="306"/>
      <c r="H610" s="304" t="s">
        <v>235</v>
      </c>
      <c r="I610" s="182" t="s">
        <v>654</v>
      </c>
      <c r="J610" s="304" t="s">
        <v>235</v>
      </c>
      <c r="K610" s="306" t="s">
        <v>655</v>
      </c>
      <c r="L610" s="306"/>
    </row>
    <row r="611" spans="1:12" x14ac:dyDescent="0.3">
      <c r="A611" s="304"/>
      <c r="B611" s="304"/>
      <c r="C611" s="182" t="s">
        <v>656</v>
      </c>
      <c r="D611" s="304"/>
      <c r="E611" s="304"/>
      <c r="F611" s="306" t="s">
        <v>657</v>
      </c>
      <c r="G611" s="306"/>
      <c r="H611" s="304"/>
      <c r="I611" s="182" t="s">
        <v>657</v>
      </c>
      <c r="J611" s="304"/>
      <c r="K611" s="306" t="s">
        <v>658</v>
      </c>
      <c r="L611" s="306"/>
    </row>
    <row r="612" spans="1:12" x14ac:dyDescent="0.3">
      <c r="A612" s="304"/>
      <c r="B612" s="304"/>
      <c r="C612" s="182" t="s">
        <v>309</v>
      </c>
      <c r="D612" s="304"/>
      <c r="E612" s="304"/>
      <c r="F612" s="306" t="s">
        <v>659</v>
      </c>
      <c r="G612" s="306"/>
      <c r="H612" s="304"/>
      <c r="I612" s="182" t="s">
        <v>660</v>
      </c>
      <c r="J612" s="304"/>
      <c r="K612" s="306" t="s">
        <v>453</v>
      </c>
      <c r="L612" s="306"/>
    </row>
    <row r="613" spans="1:12" ht="22.2" thickBot="1" x14ac:dyDescent="0.35">
      <c r="A613" s="304"/>
      <c r="B613" s="304"/>
      <c r="C613" s="194"/>
      <c r="D613" s="304"/>
      <c r="E613" s="304"/>
      <c r="F613" s="300"/>
      <c r="G613" s="300"/>
      <c r="H613" s="304"/>
      <c r="I613" s="183" t="s">
        <v>661</v>
      </c>
      <c r="J613" s="304"/>
      <c r="K613" s="300"/>
      <c r="L613" s="300"/>
    </row>
    <row r="614" spans="1:12" x14ac:dyDescent="0.3">
      <c r="A614" s="164" t="s">
        <v>662</v>
      </c>
      <c r="B614" s="161" t="s">
        <v>235</v>
      </c>
      <c r="C614" s="166">
        <v>15728</v>
      </c>
      <c r="D614" s="167" t="s">
        <v>234</v>
      </c>
      <c r="E614" s="161" t="s">
        <v>234</v>
      </c>
      <c r="F614" s="165" t="s">
        <v>239</v>
      </c>
      <c r="G614" s="176">
        <v>17.53</v>
      </c>
      <c r="H614" s="161" t="s">
        <v>235</v>
      </c>
      <c r="I614" s="162"/>
      <c r="J614" s="161" t="s">
        <v>235</v>
      </c>
      <c r="K614" s="162"/>
      <c r="L614" s="162"/>
    </row>
    <row r="615" spans="1:12" x14ac:dyDescent="0.3">
      <c r="A615" s="163" t="s">
        <v>663</v>
      </c>
      <c r="B615" s="159" t="s">
        <v>235</v>
      </c>
      <c r="C615" s="169">
        <v>5240</v>
      </c>
      <c r="D615" s="156" t="s">
        <v>234</v>
      </c>
      <c r="E615" s="159" t="s">
        <v>234</v>
      </c>
      <c r="F615" s="168" t="s">
        <v>234</v>
      </c>
      <c r="G615" s="170">
        <v>39.54</v>
      </c>
      <c r="H615" s="159" t="s">
        <v>235</v>
      </c>
      <c r="I615" s="158"/>
      <c r="J615" s="159" t="s">
        <v>235</v>
      </c>
      <c r="K615" s="158"/>
      <c r="L615" s="158"/>
    </row>
    <row r="616" spans="1:12" x14ac:dyDescent="0.3">
      <c r="A616" s="164" t="s">
        <v>664</v>
      </c>
      <c r="B616" s="161" t="s">
        <v>235</v>
      </c>
      <c r="C616" s="176" t="s">
        <v>665</v>
      </c>
      <c r="D616" s="167" t="s">
        <v>272</v>
      </c>
      <c r="E616" s="161" t="s">
        <v>234</v>
      </c>
      <c r="F616" s="165" t="s">
        <v>234</v>
      </c>
      <c r="G616" s="176">
        <v>14.13</v>
      </c>
      <c r="H616" s="161" t="s">
        <v>235</v>
      </c>
      <c r="I616" s="162"/>
      <c r="J616" s="161" t="s">
        <v>235</v>
      </c>
      <c r="K616" s="162"/>
      <c r="L616" s="162"/>
    </row>
    <row r="617" spans="1:12" ht="15" thickBot="1" x14ac:dyDescent="0.35">
      <c r="A617" s="163" t="s">
        <v>666</v>
      </c>
      <c r="B617" s="159" t="s">
        <v>235</v>
      </c>
      <c r="C617" s="170" t="s">
        <v>667</v>
      </c>
      <c r="D617" s="156" t="s">
        <v>272</v>
      </c>
      <c r="E617" s="159" t="s">
        <v>234</v>
      </c>
      <c r="F617" s="168" t="s">
        <v>234</v>
      </c>
      <c r="G617" s="170">
        <v>23.9</v>
      </c>
      <c r="H617" s="159" t="s">
        <v>235</v>
      </c>
      <c r="I617" s="158"/>
      <c r="J617" s="159" t="s">
        <v>235</v>
      </c>
      <c r="K617" s="158"/>
      <c r="L617" s="158"/>
    </row>
    <row r="618" spans="1:12" x14ac:dyDescent="0.3">
      <c r="A618" s="171"/>
      <c r="B618" s="171" t="s">
        <v>247</v>
      </c>
      <c r="C618" s="172"/>
      <c r="D618" s="171"/>
      <c r="E618" s="171"/>
      <c r="F618" s="172"/>
      <c r="G618" s="172"/>
      <c r="H618" s="171" t="s">
        <v>247</v>
      </c>
      <c r="I618" s="171"/>
      <c r="J618" s="171" t="s">
        <v>247</v>
      </c>
      <c r="K618" s="171"/>
      <c r="L618" s="171"/>
    </row>
    <row r="619" spans="1:12" x14ac:dyDescent="0.3">
      <c r="A619" s="164" t="s">
        <v>668</v>
      </c>
      <c r="B619" s="161" t="s">
        <v>235</v>
      </c>
      <c r="C619" s="166">
        <v>16140</v>
      </c>
      <c r="D619" s="167" t="s">
        <v>234</v>
      </c>
      <c r="E619" s="161" t="s">
        <v>234</v>
      </c>
      <c r="F619" s="165" t="s">
        <v>239</v>
      </c>
      <c r="G619" s="176">
        <v>25.69</v>
      </c>
      <c r="H619" s="161" t="s">
        <v>235</v>
      </c>
      <c r="I619" s="162"/>
      <c r="J619" s="161" t="s">
        <v>235</v>
      </c>
      <c r="K619" s="162"/>
      <c r="L619" s="162"/>
    </row>
    <row r="620" spans="1:12" x14ac:dyDescent="0.3">
      <c r="A620" s="163" t="s">
        <v>663</v>
      </c>
      <c r="B620" s="159" t="s">
        <v>235</v>
      </c>
      <c r="C620" s="169">
        <v>12112</v>
      </c>
      <c r="D620" s="156" t="s">
        <v>234</v>
      </c>
      <c r="E620" s="159" t="s">
        <v>234</v>
      </c>
      <c r="F620" s="168" t="s">
        <v>234</v>
      </c>
      <c r="G620" s="170">
        <v>59.82</v>
      </c>
      <c r="H620" s="159" t="s">
        <v>235</v>
      </c>
      <c r="I620" s="158"/>
      <c r="J620" s="159" t="s">
        <v>235</v>
      </c>
      <c r="K620" s="158"/>
      <c r="L620" s="158"/>
    </row>
    <row r="621" spans="1:12" x14ac:dyDescent="0.3">
      <c r="A621" s="164" t="s">
        <v>664</v>
      </c>
      <c r="B621" s="161" t="s">
        <v>235</v>
      </c>
      <c r="C621" s="176" t="s">
        <v>669</v>
      </c>
      <c r="D621" s="167" t="s">
        <v>272</v>
      </c>
      <c r="E621" s="161" t="s">
        <v>234</v>
      </c>
      <c r="F621" s="165" t="s">
        <v>234</v>
      </c>
      <c r="G621" s="176">
        <v>21.64</v>
      </c>
      <c r="H621" s="161" t="s">
        <v>235</v>
      </c>
      <c r="I621" s="162"/>
      <c r="J621" s="161" t="s">
        <v>235</v>
      </c>
      <c r="K621" s="162"/>
      <c r="L621" s="162"/>
    </row>
    <row r="622" spans="1:12" ht="15" thickBot="1" x14ac:dyDescent="0.35">
      <c r="A622" s="163" t="s">
        <v>666</v>
      </c>
      <c r="B622" s="159" t="s">
        <v>235</v>
      </c>
      <c r="C622" s="170" t="s">
        <v>670</v>
      </c>
      <c r="D622" s="156" t="s">
        <v>272</v>
      </c>
      <c r="E622" s="159" t="s">
        <v>234</v>
      </c>
      <c r="F622" s="168" t="s">
        <v>234</v>
      </c>
      <c r="G622" s="170">
        <v>37.33</v>
      </c>
      <c r="H622" s="159" t="s">
        <v>235</v>
      </c>
      <c r="I622" s="158"/>
      <c r="J622" s="159" t="s">
        <v>235</v>
      </c>
      <c r="K622" s="158"/>
      <c r="L622" s="158"/>
    </row>
    <row r="623" spans="1:12" x14ac:dyDescent="0.3">
      <c r="A623" s="171"/>
      <c r="B623" s="171" t="s">
        <v>247</v>
      </c>
      <c r="C623" s="172"/>
      <c r="D623" s="171"/>
      <c r="E623" s="171"/>
      <c r="F623" s="172"/>
      <c r="G623" s="172"/>
      <c r="H623" s="171" t="s">
        <v>247</v>
      </c>
      <c r="I623" s="171"/>
      <c r="J623" s="171" t="s">
        <v>247</v>
      </c>
      <c r="K623" s="171"/>
      <c r="L623" s="171"/>
    </row>
    <row r="624" spans="1:12" x14ac:dyDescent="0.3">
      <c r="A624" s="164" t="s">
        <v>671</v>
      </c>
      <c r="B624" s="161" t="s">
        <v>235</v>
      </c>
      <c r="C624" s="166">
        <v>22545</v>
      </c>
      <c r="D624" s="167" t="s">
        <v>234</v>
      </c>
      <c r="E624" s="161" t="s">
        <v>234</v>
      </c>
      <c r="F624" s="165" t="s">
        <v>239</v>
      </c>
      <c r="G624" s="176">
        <v>44.58</v>
      </c>
      <c r="H624" s="161" t="s">
        <v>235</v>
      </c>
      <c r="I624" s="162"/>
      <c r="J624" s="161" t="s">
        <v>235</v>
      </c>
      <c r="K624" s="162"/>
      <c r="L624" s="162"/>
    </row>
    <row r="625" spans="1:16" x14ac:dyDescent="0.3">
      <c r="A625" s="163" t="s">
        <v>663</v>
      </c>
      <c r="B625" s="159" t="s">
        <v>235</v>
      </c>
      <c r="C625" s="169">
        <v>1444</v>
      </c>
      <c r="D625" s="156" t="s">
        <v>234</v>
      </c>
      <c r="E625" s="159" t="s">
        <v>234</v>
      </c>
      <c r="F625" s="168" t="s">
        <v>234</v>
      </c>
      <c r="G625" s="170">
        <v>69</v>
      </c>
      <c r="H625" s="159" t="s">
        <v>235</v>
      </c>
      <c r="I625" s="158"/>
      <c r="J625" s="159" t="s">
        <v>235</v>
      </c>
      <c r="K625" s="158"/>
      <c r="L625" s="158"/>
    </row>
    <row r="626" spans="1:16" x14ac:dyDescent="0.3">
      <c r="A626" s="164" t="s">
        <v>664</v>
      </c>
      <c r="B626" s="161" t="s">
        <v>235</v>
      </c>
      <c r="C626" s="176" t="s">
        <v>672</v>
      </c>
      <c r="D626" s="167" t="s">
        <v>272</v>
      </c>
      <c r="E626" s="161" t="s">
        <v>234</v>
      </c>
      <c r="F626" s="165" t="s">
        <v>234</v>
      </c>
      <c r="G626" s="176">
        <v>36</v>
      </c>
      <c r="H626" s="161" t="s">
        <v>235</v>
      </c>
      <c r="I626" s="162"/>
      <c r="J626" s="161" t="s">
        <v>235</v>
      </c>
      <c r="K626" s="162"/>
      <c r="L626" s="162"/>
    </row>
    <row r="627" spans="1:16" x14ac:dyDescent="0.3">
      <c r="A627" s="163" t="s">
        <v>666</v>
      </c>
      <c r="B627" s="159" t="s">
        <v>235</v>
      </c>
      <c r="C627" s="170" t="s">
        <v>673</v>
      </c>
      <c r="D627" s="156" t="s">
        <v>272</v>
      </c>
      <c r="E627" s="159" t="s">
        <v>234</v>
      </c>
      <c r="F627" s="168" t="s">
        <v>234</v>
      </c>
      <c r="G627" s="170">
        <v>56.57</v>
      </c>
      <c r="H627" s="159" t="s">
        <v>235</v>
      </c>
      <c r="I627" s="158"/>
      <c r="J627" s="159" t="s">
        <v>235</v>
      </c>
      <c r="K627" s="158"/>
      <c r="L627" s="158"/>
    </row>
    <row r="628" spans="1:16" ht="15" thickBot="1" x14ac:dyDescent="0.35">
      <c r="A628" s="164" t="s">
        <v>674</v>
      </c>
      <c r="B628" s="161" t="s">
        <v>235</v>
      </c>
      <c r="C628" s="176" t="s">
        <v>675</v>
      </c>
      <c r="D628" s="167" t="s">
        <v>272</v>
      </c>
      <c r="E628" s="161" t="s">
        <v>234</v>
      </c>
      <c r="F628" s="165" t="s">
        <v>234</v>
      </c>
      <c r="G628" s="176">
        <v>64.52</v>
      </c>
      <c r="H628" s="161" t="s">
        <v>235</v>
      </c>
      <c r="I628" s="162"/>
      <c r="J628" s="161" t="s">
        <v>235</v>
      </c>
      <c r="K628" s="162"/>
      <c r="L628" s="162"/>
    </row>
    <row r="629" spans="1:16" x14ac:dyDescent="0.3">
      <c r="A629" s="171"/>
      <c r="B629" s="171" t="s">
        <v>247</v>
      </c>
      <c r="C629" s="172"/>
      <c r="D629" s="171"/>
      <c r="E629" s="171"/>
      <c r="F629" s="172"/>
      <c r="G629" s="172"/>
      <c r="H629" s="171" t="s">
        <v>247</v>
      </c>
      <c r="I629" s="172"/>
      <c r="J629" s="171" t="s">
        <v>247</v>
      </c>
      <c r="K629" s="172"/>
      <c r="L629" s="172"/>
    </row>
    <row r="630" spans="1:16" ht="15" thickBot="1" x14ac:dyDescent="0.35">
      <c r="A630" s="163" t="s">
        <v>676</v>
      </c>
      <c r="B630" s="159" t="s">
        <v>235</v>
      </c>
      <c r="C630" s="169">
        <v>18275</v>
      </c>
      <c r="D630" s="156" t="s">
        <v>234</v>
      </c>
      <c r="E630" s="159" t="s">
        <v>234</v>
      </c>
      <c r="F630" s="168" t="s">
        <v>239</v>
      </c>
      <c r="G630" s="170">
        <v>48.82</v>
      </c>
      <c r="H630" s="159" t="s">
        <v>235</v>
      </c>
      <c r="I630" s="170">
        <v>4.74</v>
      </c>
      <c r="J630" s="159" t="s">
        <v>235</v>
      </c>
      <c r="K630" s="168" t="s">
        <v>239</v>
      </c>
      <c r="L630" s="169">
        <v>243726</v>
      </c>
    </row>
    <row r="631" spans="1:16" x14ac:dyDescent="0.3">
      <c r="A631" s="171"/>
      <c r="B631" s="171" t="s">
        <v>247</v>
      </c>
      <c r="C631" s="172"/>
      <c r="D631" s="171"/>
      <c r="E631" s="171"/>
      <c r="F631" s="172"/>
      <c r="G631" s="172"/>
      <c r="H631" s="171" t="s">
        <v>247</v>
      </c>
      <c r="I631" s="172"/>
      <c r="J631" s="171" t="s">
        <v>247</v>
      </c>
      <c r="K631" s="172"/>
      <c r="L631" s="172"/>
    </row>
    <row r="632" spans="1:16" ht="15" thickBot="1" x14ac:dyDescent="0.35">
      <c r="A632" s="164" t="s">
        <v>677</v>
      </c>
      <c r="B632" s="161" t="s">
        <v>235</v>
      </c>
      <c r="C632" s="166">
        <v>18031</v>
      </c>
      <c r="D632" s="167" t="s">
        <v>234</v>
      </c>
      <c r="E632" s="161" t="s">
        <v>234</v>
      </c>
      <c r="F632" s="165" t="s">
        <v>239</v>
      </c>
      <c r="G632" s="176">
        <v>48.55</v>
      </c>
      <c r="H632" s="161" t="s">
        <v>235</v>
      </c>
      <c r="I632" s="176">
        <v>4.75</v>
      </c>
      <c r="J632" s="161" t="s">
        <v>235</v>
      </c>
      <c r="K632" s="165" t="s">
        <v>239</v>
      </c>
      <c r="L632" s="166">
        <v>243691</v>
      </c>
    </row>
    <row r="633" spans="1:16" x14ac:dyDescent="0.3">
      <c r="A633" s="171"/>
      <c r="B633" s="171" t="s">
        <v>247</v>
      </c>
      <c r="C633" s="172"/>
      <c r="D633" s="171"/>
      <c r="E633" s="171"/>
      <c r="F633" s="172"/>
      <c r="G633" s="172"/>
      <c r="H633" s="171" t="s">
        <v>247</v>
      </c>
      <c r="I633" s="172"/>
      <c r="J633" s="171" t="s">
        <v>247</v>
      </c>
      <c r="K633" s="172"/>
      <c r="L633" s="172"/>
    </row>
    <row r="634" spans="1:16" ht="15" thickBot="1" x14ac:dyDescent="0.35">
      <c r="A634" s="163" t="s">
        <v>678</v>
      </c>
      <c r="B634" s="159" t="s">
        <v>235</v>
      </c>
      <c r="C634" s="169">
        <v>16551</v>
      </c>
      <c r="D634" s="156" t="s">
        <v>234</v>
      </c>
      <c r="E634" s="159" t="s">
        <v>234</v>
      </c>
      <c r="F634" s="168" t="s">
        <v>239</v>
      </c>
      <c r="G634" s="170">
        <v>47.11</v>
      </c>
      <c r="H634" s="159" t="s">
        <v>235</v>
      </c>
      <c r="I634" s="170">
        <v>4.75</v>
      </c>
      <c r="J634" s="159" t="s">
        <v>235</v>
      </c>
      <c r="K634" s="168" t="s">
        <v>239</v>
      </c>
      <c r="L634" s="169">
        <v>239831</v>
      </c>
    </row>
    <row r="635" spans="1:16" ht="15" thickTop="1" x14ac:dyDescent="0.3">
      <c r="A635" s="171"/>
      <c r="B635" s="171" t="s">
        <v>247</v>
      </c>
      <c r="C635" s="174"/>
      <c r="D635" s="171"/>
      <c r="E635" s="171"/>
      <c r="F635" s="174"/>
      <c r="G635" s="174"/>
      <c r="H635" s="171" t="s">
        <v>247</v>
      </c>
      <c r="I635" s="174"/>
      <c r="J635" s="171" t="s">
        <v>247</v>
      </c>
      <c r="K635" s="174"/>
      <c r="L635" s="174"/>
    </row>
    <row r="636" spans="1:16" x14ac:dyDescent="0.3">
      <c r="A636" s="156" t="s">
        <v>679</v>
      </c>
    </row>
    <row r="637" spans="1:16" x14ac:dyDescent="0.3">
      <c r="A637" s="156" t="s">
        <v>680</v>
      </c>
    </row>
    <row r="638" spans="1:16" x14ac:dyDescent="0.3">
      <c r="A638" s="157"/>
    </row>
    <row r="639" spans="1:16" x14ac:dyDescent="0.3">
      <c r="A639" s="158"/>
      <c r="B639" s="158"/>
      <c r="C639" s="158"/>
      <c r="D639" s="158"/>
      <c r="E639" s="158"/>
      <c r="F639" s="158"/>
      <c r="G639" s="158"/>
      <c r="H639" s="158"/>
      <c r="I639" s="158"/>
      <c r="J639" s="158"/>
      <c r="K639" s="158"/>
      <c r="L639" s="158"/>
      <c r="M639" s="158"/>
      <c r="N639" s="158"/>
      <c r="O639" s="158"/>
      <c r="P639" s="158"/>
    </row>
    <row r="640" spans="1:16" ht="15" thickBot="1" x14ac:dyDescent="0.35">
      <c r="A640" s="304" t="s">
        <v>234</v>
      </c>
      <c r="B640" s="304"/>
      <c r="C640" s="304"/>
      <c r="D640" s="304"/>
      <c r="E640" s="159" t="s">
        <v>234</v>
      </c>
      <c r="F640" s="159" t="s">
        <v>234</v>
      </c>
      <c r="G640" s="159" t="s">
        <v>234</v>
      </c>
      <c r="H640" s="300" t="s">
        <v>681</v>
      </c>
      <c r="I640" s="300"/>
      <c r="J640" s="300"/>
      <c r="K640" s="300"/>
      <c r="L640" s="159" t="s">
        <v>234</v>
      </c>
      <c r="M640" s="300" t="s">
        <v>682</v>
      </c>
      <c r="N640" s="300"/>
      <c r="O640" s="300"/>
      <c r="P640" s="300"/>
    </row>
    <row r="641" spans="1:16" x14ac:dyDescent="0.3">
      <c r="A641" s="306" t="s">
        <v>683</v>
      </c>
      <c r="B641" s="306"/>
      <c r="C641" s="306"/>
      <c r="D641" s="306"/>
      <c r="E641" s="304" t="s">
        <v>234</v>
      </c>
      <c r="F641" s="306" t="s">
        <v>653</v>
      </c>
      <c r="G641" s="304" t="s">
        <v>234</v>
      </c>
      <c r="H641" s="182" t="s">
        <v>684</v>
      </c>
      <c r="I641" s="308" t="s">
        <v>234</v>
      </c>
      <c r="J641" s="307" t="s">
        <v>654</v>
      </c>
      <c r="K641" s="307"/>
      <c r="L641" s="304" t="s">
        <v>234</v>
      </c>
      <c r="M641" s="307" t="s">
        <v>653</v>
      </c>
      <c r="N641" s="308" t="s">
        <v>234</v>
      </c>
      <c r="O641" s="307" t="s">
        <v>654</v>
      </c>
      <c r="P641" s="307"/>
    </row>
    <row r="642" spans="1:16" ht="15" thickBot="1" x14ac:dyDescent="0.35">
      <c r="A642" s="300" t="s">
        <v>685</v>
      </c>
      <c r="B642" s="300"/>
      <c r="C642" s="300"/>
      <c r="D642" s="300"/>
      <c r="E642" s="304"/>
      <c r="F642" s="306"/>
      <c r="G642" s="304"/>
      <c r="H642" s="182" t="s">
        <v>686</v>
      </c>
      <c r="I642" s="304"/>
      <c r="J642" s="306" t="s">
        <v>687</v>
      </c>
      <c r="K642" s="306"/>
      <c r="L642" s="304"/>
      <c r="M642" s="306"/>
      <c r="N642" s="304"/>
      <c r="O642" s="306" t="s">
        <v>687</v>
      </c>
      <c r="P642" s="306"/>
    </row>
    <row r="643" spans="1:16" ht="15" thickBot="1" x14ac:dyDescent="0.35">
      <c r="A643" s="183" t="s">
        <v>688</v>
      </c>
      <c r="B643" s="159" t="s">
        <v>234</v>
      </c>
      <c r="C643" s="311" t="s">
        <v>689</v>
      </c>
      <c r="D643" s="311"/>
      <c r="E643" s="159" t="s">
        <v>234</v>
      </c>
      <c r="F643" s="183" t="s">
        <v>309</v>
      </c>
      <c r="G643" s="159" t="s">
        <v>234</v>
      </c>
      <c r="H643" s="183" t="s">
        <v>690</v>
      </c>
      <c r="I643" s="159" t="s">
        <v>234</v>
      </c>
      <c r="J643" s="300" t="s">
        <v>659</v>
      </c>
      <c r="K643" s="300"/>
      <c r="L643" s="159" t="s">
        <v>234</v>
      </c>
      <c r="M643" s="183" t="s">
        <v>691</v>
      </c>
      <c r="N643" s="159" t="s">
        <v>234</v>
      </c>
      <c r="O643" s="300" t="s">
        <v>659</v>
      </c>
      <c r="P643" s="300"/>
    </row>
    <row r="644" spans="1:16" x14ac:dyDescent="0.3">
      <c r="A644" s="195">
        <v>10.47</v>
      </c>
      <c r="B644" s="161" t="s">
        <v>234</v>
      </c>
      <c r="C644" s="165" t="s">
        <v>239</v>
      </c>
      <c r="D644" s="176">
        <v>20.48</v>
      </c>
      <c r="E644" s="161" t="s">
        <v>234</v>
      </c>
      <c r="F644" s="166">
        <v>1554</v>
      </c>
      <c r="G644" s="161" t="s">
        <v>234</v>
      </c>
      <c r="H644" s="176">
        <v>1.19</v>
      </c>
      <c r="I644" s="161" t="s">
        <v>234</v>
      </c>
      <c r="J644" s="165" t="s">
        <v>239</v>
      </c>
      <c r="K644" s="176">
        <v>11.38</v>
      </c>
      <c r="L644" s="161" t="s">
        <v>234</v>
      </c>
      <c r="M644" s="166">
        <v>1554</v>
      </c>
      <c r="N644" s="161" t="s">
        <v>234</v>
      </c>
      <c r="O644" s="165" t="s">
        <v>239</v>
      </c>
      <c r="P644" s="176">
        <v>11.38</v>
      </c>
    </row>
    <row r="645" spans="1:16" x14ac:dyDescent="0.3">
      <c r="A645" s="196" t="s">
        <v>692</v>
      </c>
      <c r="B645" s="159" t="s">
        <v>234</v>
      </c>
      <c r="C645" s="168" t="s">
        <v>234</v>
      </c>
      <c r="D645" s="170">
        <v>38.31</v>
      </c>
      <c r="E645" s="159" t="s">
        <v>234</v>
      </c>
      <c r="F645" s="169">
        <v>2721</v>
      </c>
      <c r="G645" s="159" t="s">
        <v>234</v>
      </c>
      <c r="H645" s="170">
        <v>3.17</v>
      </c>
      <c r="I645" s="159" t="s">
        <v>234</v>
      </c>
      <c r="J645" s="168" t="s">
        <v>234</v>
      </c>
      <c r="K645" s="170">
        <v>26.16</v>
      </c>
      <c r="L645" s="159" t="s">
        <v>234</v>
      </c>
      <c r="M645" s="169">
        <v>2683</v>
      </c>
      <c r="N645" s="159" t="s">
        <v>234</v>
      </c>
      <c r="O645" s="168" t="s">
        <v>234</v>
      </c>
      <c r="P645" s="170">
        <v>26.13</v>
      </c>
    </row>
    <row r="646" spans="1:16" x14ac:dyDescent="0.3">
      <c r="A646" s="197" t="s">
        <v>693</v>
      </c>
      <c r="B646" s="161" t="s">
        <v>234</v>
      </c>
      <c r="C646" s="165" t="s">
        <v>234</v>
      </c>
      <c r="D646" s="176">
        <v>39.61</v>
      </c>
      <c r="E646" s="161" t="s">
        <v>234</v>
      </c>
      <c r="F646" s="166">
        <v>2632</v>
      </c>
      <c r="G646" s="161" t="s">
        <v>234</v>
      </c>
      <c r="H646" s="176">
        <v>4.6100000000000003</v>
      </c>
      <c r="I646" s="161" t="s">
        <v>234</v>
      </c>
      <c r="J646" s="165" t="s">
        <v>234</v>
      </c>
      <c r="K646" s="176">
        <v>39.61</v>
      </c>
      <c r="L646" s="161" t="s">
        <v>234</v>
      </c>
      <c r="M646" s="166">
        <v>2596</v>
      </c>
      <c r="N646" s="161" t="s">
        <v>234</v>
      </c>
      <c r="O646" s="165" t="s">
        <v>234</v>
      </c>
      <c r="P646" s="176">
        <v>39.61</v>
      </c>
    </row>
    <row r="647" spans="1:16" x14ac:dyDescent="0.3">
      <c r="A647" s="196" t="s">
        <v>694</v>
      </c>
      <c r="B647" s="159" t="s">
        <v>234</v>
      </c>
      <c r="C647" s="168" t="s">
        <v>234</v>
      </c>
      <c r="D647" s="170">
        <v>54.17</v>
      </c>
      <c r="E647" s="159" t="s">
        <v>234</v>
      </c>
      <c r="F647" s="169">
        <v>4753</v>
      </c>
      <c r="G647" s="159" t="s">
        <v>234</v>
      </c>
      <c r="H647" s="170">
        <v>5.57</v>
      </c>
      <c r="I647" s="159" t="s">
        <v>234</v>
      </c>
      <c r="J647" s="168" t="s">
        <v>234</v>
      </c>
      <c r="K647" s="170">
        <v>53.56</v>
      </c>
      <c r="L647" s="159" t="s">
        <v>234</v>
      </c>
      <c r="M647" s="169">
        <v>4588</v>
      </c>
      <c r="N647" s="159" t="s">
        <v>234</v>
      </c>
      <c r="O647" s="168" t="s">
        <v>234</v>
      </c>
      <c r="P647" s="170">
        <v>53.77</v>
      </c>
    </row>
    <row r="648" spans="1:16" x14ac:dyDescent="0.3">
      <c r="A648" s="197" t="s">
        <v>695</v>
      </c>
      <c r="B648" s="161" t="s">
        <v>234</v>
      </c>
      <c r="C648" s="165" t="s">
        <v>234</v>
      </c>
      <c r="D648" s="176">
        <v>66.81</v>
      </c>
      <c r="E648" s="161" t="s">
        <v>234</v>
      </c>
      <c r="F648" s="166">
        <v>5206</v>
      </c>
      <c r="G648" s="161" t="s">
        <v>234</v>
      </c>
      <c r="H648" s="176">
        <v>5.97</v>
      </c>
      <c r="I648" s="161" t="s">
        <v>234</v>
      </c>
      <c r="J648" s="165" t="s">
        <v>234</v>
      </c>
      <c r="K648" s="176">
        <v>66.69</v>
      </c>
      <c r="L648" s="161" t="s">
        <v>234</v>
      </c>
      <c r="M648" s="166">
        <v>5130</v>
      </c>
      <c r="N648" s="161" t="s">
        <v>234</v>
      </c>
      <c r="O648" s="165" t="s">
        <v>234</v>
      </c>
      <c r="P648" s="176">
        <v>66.739999999999995</v>
      </c>
    </row>
    <row r="649" spans="1:16" ht="15" thickBot="1" x14ac:dyDescent="0.35">
      <c r="A649" s="196" t="s">
        <v>696</v>
      </c>
      <c r="B649" s="159" t="s">
        <v>234</v>
      </c>
      <c r="C649" s="168" t="s">
        <v>234</v>
      </c>
      <c r="D649" s="170">
        <v>73.14</v>
      </c>
      <c r="E649" s="159" t="s">
        <v>234</v>
      </c>
      <c r="F649" s="169">
        <v>1409</v>
      </c>
      <c r="G649" s="159" t="s">
        <v>234</v>
      </c>
      <c r="H649" s="170">
        <v>4.62</v>
      </c>
      <c r="I649" s="159" t="s">
        <v>234</v>
      </c>
      <c r="J649" s="168" t="s">
        <v>234</v>
      </c>
      <c r="K649" s="170">
        <v>69</v>
      </c>
      <c r="L649" s="159" t="s">
        <v>234</v>
      </c>
      <c r="M649" s="170" t="s">
        <v>241</v>
      </c>
      <c r="N649" s="159" t="s">
        <v>234</v>
      </c>
      <c r="O649" s="168" t="s">
        <v>234</v>
      </c>
      <c r="P649" s="170" t="s">
        <v>697</v>
      </c>
    </row>
    <row r="650" spans="1:16" x14ac:dyDescent="0.3">
      <c r="A650" s="171"/>
      <c r="B650" s="171"/>
      <c r="C650" s="171"/>
      <c r="D650" s="171"/>
      <c r="E650" s="171"/>
      <c r="F650" s="172"/>
      <c r="G650" s="171"/>
      <c r="H650" s="172"/>
      <c r="I650" s="171"/>
      <c r="J650" s="172"/>
      <c r="K650" s="172"/>
      <c r="L650" s="171"/>
      <c r="M650" s="172"/>
      <c r="N650" s="171"/>
      <c r="O650" s="172"/>
      <c r="P650" s="172"/>
    </row>
    <row r="651" spans="1:16" ht="15" thickBot="1" x14ac:dyDescent="0.35">
      <c r="A651" s="197" t="s">
        <v>698</v>
      </c>
      <c r="B651" s="161" t="s">
        <v>234</v>
      </c>
      <c r="C651" s="162"/>
      <c r="D651" s="162"/>
      <c r="E651" s="161" t="s">
        <v>234</v>
      </c>
      <c r="F651" s="166">
        <v>18275</v>
      </c>
      <c r="G651" s="161" t="s">
        <v>234</v>
      </c>
      <c r="H651" s="176">
        <v>4.74</v>
      </c>
      <c r="I651" s="161" t="s">
        <v>234</v>
      </c>
      <c r="J651" s="165" t="s">
        <v>239</v>
      </c>
      <c r="K651" s="176">
        <v>48.82</v>
      </c>
      <c r="L651" s="161" t="s">
        <v>234</v>
      </c>
      <c r="M651" s="166">
        <v>16551</v>
      </c>
      <c r="N651" s="161" t="s">
        <v>234</v>
      </c>
      <c r="O651" s="165" t="s">
        <v>239</v>
      </c>
      <c r="P651" s="176">
        <v>47.11</v>
      </c>
    </row>
    <row r="652" spans="1:16" ht="15" thickTop="1" x14ac:dyDescent="0.3">
      <c r="A652" s="171"/>
      <c r="B652" s="171"/>
      <c r="C652" s="171"/>
      <c r="D652" s="171"/>
      <c r="E652" s="171"/>
      <c r="F652" s="174"/>
      <c r="G652" s="171"/>
      <c r="H652" s="174"/>
      <c r="I652" s="171"/>
      <c r="J652" s="174"/>
      <c r="K652" s="174"/>
      <c r="L652" s="171"/>
      <c r="M652" s="174"/>
      <c r="N652" s="171"/>
      <c r="O652" s="174"/>
      <c r="P652" s="174"/>
    </row>
    <row r="653" spans="1:16" x14ac:dyDescent="0.3">
      <c r="A653" s="156" t="s">
        <v>699</v>
      </c>
    </row>
    <row r="654" spans="1:16" x14ac:dyDescent="0.3">
      <c r="A654" s="156" t="s">
        <v>700</v>
      </c>
    </row>
    <row r="655" spans="1:16" x14ac:dyDescent="0.3">
      <c r="A655" s="178" t="s">
        <v>234</v>
      </c>
    </row>
    <row r="656" spans="1:16" x14ac:dyDescent="0.3">
      <c r="A656" s="179">
        <v>53</v>
      </c>
    </row>
    <row r="660" spans="1:10" x14ac:dyDescent="0.3">
      <c r="A660" s="180" t="s">
        <v>279</v>
      </c>
    </row>
    <row r="662" spans="1:10" x14ac:dyDescent="0.3">
      <c r="A662" s="156" t="s">
        <v>701</v>
      </c>
    </row>
    <row r="663" spans="1:10" x14ac:dyDescent="0.3">
      <c r="A663" s="156" t="s">
        <v>702</v>
      </c>
    </row>
    <row r="664" spans="1:10" x14ac:dyDescent="0.3">
      <c r="A664" s="157"/>
    </row>
    <row r="665" spans="1:10" x14ac:dyDescent="0.3">
      <c r="A665" s="158"/>
      <c r="B665" s="158"/>
      <c r="C665" s="158"/>
      <c r="D665" s="158"/>
      <c r="E665" s="158"/>
      <c r="F665" s="158"/>
      <c r="G665" s="158"/>
      <c r="H665" s="158"/>
      <c r="I665" s="158"/>
      <c r="J665" s="158"/>
    </row>
    <row r="666" spans="1:10" ht="15" thickBot="1" x14ac:dyDescent="0.35">
      <c r="A666" s="159" t="s">
        <v>234</v>
      </c>
      <c r="B666" s="159" t="s">
        <v>235</v>
      </c>
      <c r="C666" s="183">
        <v>2006</v>
      </c>
      <c r="D666" s="159" t="s">
        <v>234</v>
      </c>
      <c r="E666" s="159" t="s">
        <v>234</v>
      </c>
      <c r="F666" s="183">
        <v>2005</v>
      </c>
      <c r="G666" s="159" t="s">
        <v>234</v>
      </c>
      <c r="H666" s="159" t="s">
        <v>234</v>
      </c>
      <c r="I666" s="183">
        <v>2004</v>
      </c>
      <c r="J666" s="159" t="s">
        <v>234</v>
      </c>
    </row>
    <row r="667" spans="1:10" x14ac:dyDescent="0.3">
      <c r="A667" s="164" t="s">
        <v>703</v>
      </c>
      <c r="B667" s="161" t="s">
        <v>235</v>
      </c>
      <c r="C667" s="176">
        <v>1.26</v>
      </c>
      <c r="D667" s="167" t="s">
        <v>704</v>
      </c>
      <c r="E667" s="161" t="s">
        <v>234</v>
      </c>
      <c r="F667" s="176">
        <v>0.84</v>
      </c>
      <c r="G667" s="167" t="s">
        <v>704</v>
      </c>
      <c r="H667" s="161" t="s">
        <v>234</v>
      </c>
      <c r="I667" s="176">
        <v>0.76</v>
      </c>
      <c r="J667" s="167" t="s">
        <v>704</v>
      </c>
    </row>
    <row r="668" spans="1:10" x14ac:dyDescent="0.3">
      <c r="A668" s="163" t="s">
        <v>705</v>
      </c>
      <c r="B668" s="159" t="s">
        <v>235</v>
      </c>
      <c r="C668" s="170">
        <v>5.04</v>
      </c>
      <c r="D668" s="156" t="s">
        <v>704</v>
      </c>
      <c r="E668" s="159" t="s">
        <v>234</v>
      </c>
      <c r="F668" s="170">
        <v>4.1399999999999997</v>
      </c>
      <c r="G668" s="156" t="s">
        <v>704</v>
      </c>
      <c r="H668" s="159" t="s">
        <v>234</v>
      </c>
      <c r="I668" s="170">
        <v>4.72</v>
      </c>
      <c r="J668" s="156" t="s">
        <v>704</v>
      </c>
    </row>
    <row r="669" spans="1:10" x14ac:dyDescent="0.3">
      <c r="A669" s="164" t="s">
        <v>706</v>
      </c>
      <c r="B669" s="161" t="s">
        <v>235</v>
      </c>
      <c r="C669" s="176">
        <v>29.4</v>
      </c>
      <c r="D669" s="167" t="s">
        <v>704</v>
      </c>
      <c r="E669" s="161" t="s">
        <v>234</v>
      </c>
      <c r="F669" s="176">
        <v>48.3</v>
      </c>
      <c r="G669" s="167" t="s">
        <v>704</v>
      </c>
      <c r="H669" s="161" t="s">
        <v>234</v>
      </c>
      <c r="I669" s="176">
        <v>49.48</v>
      </c>
      <c r="J669" s="167" t="s">
        <v>704</v>
      </c>
    </row>
    <row r="670" spans="1:10" x14ac:dyDescent="0.3">
      <c r="A670" s="163" t="s">
        <v>707</v>
      </c>
      <c r="B670" s="159" t="s">
        <v>235</v>
      </c>
      <c r="C670" s="170">
        <v>3.22</v>
      </c>
      <c r="D670" s="156" t="s">
        <v>234</v>
      </c>
      <c r="E670" s="159" t="s">
        <v>234</v>
      </c>
      <c r="F670" s="170">
        <v>2.1</v>
      </c>
      <c r="G670" s="156" t="s">
        <v>234</v>
      </c>
      <c r="H670" s="159" t="s">
        <v>234</v>
      </c>
      <c r="I670" s="170">
        <v>3.3</v>
      </c>
      <c r="J670" s="156" t="s">
        <v>234</v>
      </c>
    </row>
    <row r="671" spans="1:10" x14ac:dyDescent="0.3">
      <c r="A671" s="156" t="s">
        <v>708</v>
      </c>
    </row>
    <row r="672" spans="1:10" x14ac:dyDescent="0.3">
      <c r="A672" s="156" t="s">
        <v>469</v>
      </c>
    </row>
    <row r="673" spans="1:9" x14ac:dyDescent="0.3">
      <c r="A673" s="156" t="s">
        <v>709</v>
      </c>
    </row>
    <row r="674" spans="1:9" x14ac:dyDescent="0.3">
      <c r="A674" s="157"/>
    </row>
    <row r="675" spans="1:9" x14ac:dyDescent="0.3">
      <c r="A675" s="158"/>
      <c r="B675" s="158"/>
      <c r="C675" s="158"/>
      <c r="D675" s="158"/>
      <c r="E675" s="158"/>
      <c r="F675" s="158"/>
      <c r="G675" s="158"/>
      <c r="H675" s="158"/>
      <c r="I675" s="158"/>
    </row>
    <row r="676" spans="1:9" ht="15" thickBot="1" x14ac:dyDescent="0.35">
      <c r="A676" s="159" t="s">
        <v>234</v>
      </c>
      <c r="B676" s="159" t="s">
        <v>235</v>
      </c>
      <c r="C676" s="300">
        <v>2005</v>
      </c>
      <c r="D676" s="300"/>
      <c r="E676" s="159" t="s">
        <v>234</v>
      </c>
      <c r="F676" s="159" t="s">
        <v>234</v>
      </c>
      <c r="G676" s="300">
        <v>2004</v>
      </c>
      <c r="H676" s="300"/>
      <c r="I676" s="159" t="s">
        <v>234</v>
      </c>
    </row>
    <row r="677" spans="1:9" x14ac:dyDescent="0.3">
      <c r="A677" s="164" t="s">
        <v>710</v>
      </c>
      <c r="B677" s="161" t="s">
        <v>235</v>
      </c>
      <c r="C677" s="165" t="s">
        <v>239</v>
      </c>
      <c r="D677" s="166">
        <v>136351</v>
      </c>
      <c r="E677" s="167" t="s">
        <v>234</v>
      </c>
      <c r="F677" s="161" t="s">
        <v>234</v>
      </c>
      <c r="G677" s="165" t="s">
        <v>239</v>
      </c>
      <c r="H677" s="166">
        <v>129512</v>
      </c>
      <c r="I677" s="167" t="s">
        <v>234</v>
      </c>
    </row>
    <row r="678" spans="1:9" x14ac:dyDescent="0.3">
      <c r="A678" s="163" t="s">
        <v>711</v>
      </c>
      <c r="B678" s="159" t="s">
        <v>235</v>
      </c>
      <c r="C678" s="168" t="s">
        <v>234</v>
      </c>
      <c r="D678" s="169">
        <v>15309</v>
      </c>
      <c r="E678" s="156" t="s">
        <v>234</v>
      </c>
      <c r="F678" s="159" t="s">
        <v>234</v>
      </c>
      <c r="G678" s="168" t="s">
        <v>234</v>
      </c>
      <c r="H678" s="170" t="s">
        <v>241</v>
      </c>
      <c r="I678" s="156" t="s">
        <v>234</v>
      </c>
    </row>
    <row r="679" spans="1:9" ht="15" thickBot="1" x14ac:dyDescent="0.35">
      <c r="A679" s="164" t="s">
        <v>712</v>
      </c>
      <c r="B679" s="161" t="s">
        <v>235</v>
      </c>
      <c r="C679" s="165" t="s">
        <v>234</v>
      </c>
      <c r="D679" s="176" t="s">
        <v>713</v>
      </c>
      <c r="E679" s="167" t="s">
        <v>272</v>
      </c>
      <c r="F679" s="161" t="s">
        <v>234</v>
      </c>
      <c r="G679" s="165" t="s">
        <v>234</v>
      </c>
      <c r="H679" s="176" t="s">
        <v>714</v>
      </c>
      <c r="I679" s="167" t="s">
        <v>272</v>
      </c>
    </row>
    <row r="680" spans="1:9" x14ac:dyDescent="0.3">
      <c r="A680" s="171"/>
      <c r="B680" s="171" t="s">
        <v>247</v>
      </c>
      <c r="C680" s="172"/>
      <c r="D680" s="172"/>
      <c r="E680" s="171"/>
      <c r="F680" s="171"/>
      <c r="G680" s="172"/>
      <c r="H680" s="172"/>
      <c r="I680" s="171"/>
    </row>
    <row r="681" spans="1:9" ht="15" thickBot="1" x14ac:dyDescent="0.35">
      <c r="A681" s="163" t="s">
        <v>715</v>
      </c>
      <c r="B681" s="159" t="s">
        <v>235</v>
      </c>
      <c r="C681" s="168" t="s">
        <v>239</v>
      </c>
      <c r="D681" s="170" t="s">
        <v>716</v>
      </c>
      <c r="E681" s="156" t="s">
        <v>272</v>
      </c>
      <c r="F681" s="159" t="s">
        <v>234</v>
      </c>
      <c r="G681" s="168" t="s">
        <v>239</v>
      </c>
      <c r="H681" s="169">
        <v>105624</v>
      </c>
      <c r="I681" s="156" t="s">
        <v>234</v>
      </c>
    </row>
    <row r="682" spans="1:9" ht="15" thickTop="1" x14ac:dyDescent="0.3">
      <c r="A682" s="171"/>
      <c r="B682" s="171" t="s">
        <v>247</v>
      </c>
      <c r="C682" s="174"/>
      <c r="D682" s="174"/>
      <c r="E682" s="171"/>
      <c r="F682" s="171"/>
      <c r="G682" s="174"/>
      <c r="H682" s="174"/>
      <c r="I682" s="171"/>
    </row>
    <row r="683" spans="1:9" x14ac:dyDescent="0.3">
      <c r="A683" s="164" t="s">
        <v>717</v>
      </c>
      <c r="B683" s="161" t="s">
        <v>235</v>
      </c>
      <c r="C683" s="162"/>
      <c r="D683" s="162"/>
      <c r="E683" s="162"/>
      <c r="F683" s="161" t="s">
        <v>234</v>
      </c>
      <c r="G683" s="162"/>
      <c r="H683" s="162"/>
      <c r="I683" s="162"/>
    </row>
    <row r="684" spans="1:9" x14ac:dyDescent="0.3">
      <c r="A684" s="173" t="s">
        <v>718</v>
      </c>
      <c r="B684" s="159" t="s">
        <v>235</v>
      </c>
      <c r="C684" s="168" t="s">
        <v>239</v>
      </c>
      <c r="D684" s="170">
        <v>1.05</v>
      </c>
      <c r="E684" s="156" t="s">
        <v>234</v>
      </c>
      <c r="F684" s="159" t="s">
        <v>234</v>
      </c>
      <c r="G684" s="168" t="s">
        <v>239</v>
      </c>
      <c r="H684" s="170">
        <v>1.06</v>
      </c>
      <c r="I684" s="156" t="s">
        <v>234</v>
      </c>
    </row>
    <row r="685" spans="1:9" x14ac:dyDescent="0.3">
      <c r="A685" s="181" t="s">
        <v>719</v>
      </c>
      <c r="B685" s="161" t="s">
        <v>235</v>
      </c>
      <c r="C685" s="165" t="s">
        <v>234</v>
      </c>
      <c r="D685" s="176">
        <v>0.12</v>
      </c>
      <c r="E685" s="167" t="s">
        <v>234</v>
      </c>
      <c r="F685" s="161" t="s">
        <v>234</v>
      </c>
      <c r="G685" s="165" t="s">
        <v>234</v>
      </c>
      <c r="H685" s="176" t="s">
        <v>241</v>
      </c>
      <c r="I685" s="167" t="s">
        <v>234</v>
      </c>
    </row>
    <row r="686" spans="1:9" ht="15" thickBot="1" x14ac:dyDescent="0.35">
      <c r="A686" s="173" t="s">
        <v>720</v>
      </c>
      <c r="B686" s="159" t="s">
        <v>235</v>
      </c>
      <c r="C686" s="168" t="s">
        <v>234</v>
      </c>
      <c r="D686" s="170" t="s">
        <v>721</v>
      </c>
      <c r="E686" s="156" t="s">
        <v>272</v>
      </c>
      <c r="F686" s="159" t="s">
        <v>234</v>
      </c>
      <c r="G686" s="168" t="s">
        <v>234</v>
      </c>
      <c r="H686" s="170" t="s">
        <v>722</v>
      </c>
      <c r="I686" s="156" t="s">
        <v>272</v>
      </c>
    </row>
    <row r="687" spans="1:9" x14ac:dyDescent="0.3">
      <c r="A687" s="171"/>
      <c r="B687" s="171" t="s">
        <v>247</v>
      </c>
      <c r="C687" s="172"/>
      <c r="D687" s="172"/>
      <c r="E687" s="171"/>
      <c r="F687" s="171"/>
      <c r="G687" s="172"/>
      <c r="H687" s="172"/>
      <c r="I687" s="171"/>
    </row>
    <row r="688" spans="1:9" ht="15" thickBot="1" x14ac:dyDescent="0.35">
      <c r="A688" s="181" t="s">
        <v>723</v>
      </c>
      <c r="B688" s="161" t="s">
        <v>235</v>
      </c>
      <c r="C688" s="165" t="s">
        <v>239</v>
      </c>
      <c r="D688" s="176" t="s">
        <v>724</v>
      </c>
      <c r="E688" s="167" t="s">
        <v>272</v>
      </c>
      <c r="F688" s="161" t="s">
        <v>234</v>
      </c>
      <c r="G688" s="165" t="s">
        <v>239</v>
      </c>
      <c r="H688" s="176">
        <v>0.86</v>
      </c>
      <c r="I688" s="167" t="s">
        <v>234</v>
      </c>
    </row>
    <row r="689" spans="1:9" ht="15" thickTop="1" x14ac:dyDescent="0.3">
      <c r="A689" s="171"/>
      <c r="B689" s="171" t="s">
        <v>247</v>
      </c>
      <c r="C689" s="174"/>
      <c r="D689" s="174"/>
      <c r="E689" s="171"/>
      <c r="F689" s="171"/>
      <c r="G689" s="174"/>
      <c r="H689" s="174"/>
      <c r="I689" s="171"/>
    </row>
    <row r="690" spans="1:9" x14ac:dyDescent="0.3">
      <c r="A690" s="163" t="s">
        <v>725</v>
      </c>
      <c r="B690" s="159" t="s">
        <v>235</v>
      </c>
      <c r="C690" s="158"/>
      <c r="D690" s="158"/>
      <c r="E690" s="158"/>
      <c r="F690" s="159" t="s">
        <v>234</v>
      </c>
      <c r="G690" s="158"/>
      <c r="H690" s="158"/>
      <c r="I690" s="158"/>
    </row>
    <row r="691" spans="1:9" x14ac:dyDescent="0.3">
      <c r="A691" s="181" t="s">
        <v>718</v>
      </c>
      <c r="B691" s="161" t="s">
        <v>235</v>
      </c>
      <c r="C691" s="165" t="s">
        <v>239</v>
      </c>
      <c r="D691" s="176">
        <v>0.99</v>
      </c>
      <c r="E691" s="167" t="s">
        <v>234</v>
      </c>
      <c r="F691" s="161" t="s">
        <v>234</v>
      </c>
      <c r="G691" s="165" t="s">
        <v>239</v>
      </c>
      <c r="H691" s="176">
        <v>0.99</v>
      </c>
      <c r="I691" s="167" t="s">
        <v>234</v>
      </c>
    </row>
    <row r="692" spans="1:9" x14ac:dyDescent="0.3">
      <c r="A692" s="173" t="s">
        <v>719</v>
      </c>
      <c r="B692" s="159" t="s">
        <v>235</v>
      </c>
      <c r="C692" s="168" t="s">
        <v>234</v>
      </c>
      <c r="D692" s="170">
        <v>0.12</v>
      </c>
      <c r="E692" s="156" t="s">
        <v>234</v>
      </c>
      <c r="F692" s="159" t="s">
        <v>234</v>
      </c>
      <c r="G692" s="168" t="s">
        <v>234</v>
      </c>
      <c r="H692" s="170" t="s">
        <v>241</v>
      </c>
      <c r="I692" s="156" t="s">
        <v>234</v>
      </c>
    </row>
    <row r="693" spans="1:9" ht="15" thickBot="1" x14ac:dyDescent="0.35">
      <c r="A693" s="181" t="s">
        <v>720</v>
      </c>
      <c r="B693" s="161" t="s">
        <v>235</v>
      </c>
      <c r="C693" s="165" t="s">
        <v>234</v>
      </c>
      <c r="D693" s="176" t="s">
        <v>726</v>
      </c>
      <c r="E693" s="167" t="s">
        <v>272</v>
      </c>
      <c r="F693" s="161" t="s">
        <v>234</v>
      </c>
      <c r="G693" s="165" t="s">
        <v>234</v>
      </c>
      <c r="H693" s="176" t="s">
        <v>727</v>
      </c>
      <c r="I693" s="167" t="s">
        <v>272</v>
      </c>
    </row>
    <row r="694" spans="1:9" x14ac:dyDescent="0.3">
      <c r="A694" s="171"/>
      <c r="B694" s="171" t="s">
        <v>247</v>
      </c>
      <c r="C694" s="172"/>
      <c r="D694" s="172"/>
      <c r="E694" s="171"/>
      <c r="F694" s="171"/>
      <c r="G694" s="172"/>
      <c r="H694" s="172"/>
      <c r="I694" s="171"/>
    </row>
    <row r="695" spans="1:9" ht="15" thickBot="1" x14ac:dyDescent="0.35">
      <c r="A695" s="173" t="s">
        <v>728</v>
      </c>
      <c r="B695" s="159" t="s">
        <v>235</v>
      </c>
      <c r="C695" s="168" t="s">
        <v>239</v>
      </c>
      <c r="D695" s="170" t="s">
        <v>722</v>
      </c>
      <c r="E695" s="156" t="s">
        <v>272</v>
      </c>
      <c r="F695" s="159" t="s">
        <v>234</v>
      </c>
      <c r="G695" s="168" t="s">
        <v>239</v>
      </c>
      <c r="H695" s="170">
        <v>0.82</v>
      </c>
      <c r="I695" s="156" t="s">
        <v>234</v>
      </c>
    </row>
    <row r="696" spans="1:9" ht="15" thickTop="1" x14ac:dyDescent="0.3">
      <c r="A696" s="171"/>
      <c r="B696" s="171" t="s">
        <v>247</v>
      </c>
      <c r="C696" s="174"/>
      <c r="D696" s="174"/>
      <c r="E696" s="171"/>
      <c r="F696" s="171"/>
      <c r="G696" s="174"/>
      <c r="H696" s="174"/>
      <c r="I696" s="171"/>
    </row>
    <row r="697" spans="1:9" x14ac:dyDescent="0.3">
      <c r="A697" s="156" t="s">
        <v>729</v>
      </c>
    </row>
    <row r="698" spans="1:9" x14ac:dyDescent="0.3">
      <c r="A698" s="178" t="s">
        <v>234</v>
      </c>
    </row>
    <row r="699" spans="1:9" x14ac:dyDescent="0.3">
      <c r="A699" s="179">
        <v>54</v>
      </c>
    </row>
    <row r="703" spans="1:9" x14ac:dyDescent="0.3">
      <c r="A703" s="180" t="s">
        <v>279</v>
      </c>
    </row>
    <row r="705" spans="1:1" x14ac:dyDescent="0.3">
      <c r="A705" s="177" t="s">
        <v>730</v>
      </c>
    </row>
    <row r="706" spans="1:1" x14ac:dyDescent="0.3">
      <c r="A706" s="156" t="s">
        <v>731</v>
      </c>
    </row>
    <row r="707" spans="1:1" x14ac:dyDescent="0.3">
      <c r="A707" s="155" t="s">
        <v>732</v>
      </c>
    </row>
    <row r="708" spans="1:1" x14ac:dyDescent="0.3">
      <c r="A708" s="156" t="s">
        <v>733</v>
      </c>
    </row>
    <row r="709" spans="1:1" x14ac:dyDescent="0.3">
      <c r="A709" s="155" t="s">
        <v>734</v>
      </c>
    </row>
    <row r="710" spans="1:1" x14ac:dyDescent="0.3">
      <c r="A710" s="156" t="s">
        <v>735</v>
      </c>
    </row>
    <row r="711" spans="1:1" x14ac:dyDescent="0.3">
      <c r="A711" s="156" t="s">
        <v>736</v>
      </c>
    </row>
    <row r="712" spans="1:1" x14ac:dyDescent="0.3">
      <c r="A712" s="156" t="s">
        <v>737</v>
      </c>
    </row>
    <row r="713" spans="1:1" x14ac:dyDescent="0.3">
      <c r="A713" s="178" t="s">
        <v>234</v>
      </c>
    </row>
    <row r="714" spans="1:1" x14ac:dyDescent="0.3">
      <c r="A714" s="179">
        <v>55</v>
      </c>
    </row>
    <row r="718" spans="1:1" x14ac:dyDescent="0.3">
      <c r="A718" s="180" t="s">
        <v>279</v>
      </c>
    </row>
    <row r="720" spans="1:1" x14ac:dyDescent="0.3">
      <c r="A720" s="156" t="s">
        <v>738</v>
      </c>
    </row>
    <row r="721" spans="1:17" x14ac:dyDescent="0.3">
      <c r="A721" s="157"/>
    </row>
    <row r="722" spans="1:17" x14ac:dyDescent="0.3">
      <c r="A722" s="158"/>
      <c r="B722" s="158"/>
      <c r="C722" s="158"/>
      <c r="D722" s="158"/>
      <c r="E722" s="158"/>
      <c r="F722" s="158"/>
      <c r="G722" s="158"/>
      <c r="H722" s="158"/>
      <c r="I722" s="158"/>
      <c r="J722" s="158"/>
      <c r="K722" s="158"/>
      <c r="L722" s="158"/>
      <c r="M722" s="158"/>
      <c r="N722" s="158"/>
      <c r="O722" s="158"/>
      <c r="P722" s="158"/>
      <c r="Q722" s="158"/>
    </row>
    <row r="723" spans="1:17" x14ac:dyDescent="0.3">
      <c r="A723" s="304" t="s">
        <v>234</v>
      </c>
      <c r="B723" s="304" t="s">
        <v>235</v>
      </c>
      <c r="C723" s="306" t="s">
        <v>739</v>
      </c>
      <c r="D723" s="306"/>
      <c r="E723" s="304" t="s">
        <v>234</v>
      </c>
      <c r="F723" s="304" t="s">
        <v>234</v>
      </c>
      <c r="G723" s="306" t="s">
        <v>740</v>
      </c>
      <c r="H723" s="306"/>
      <c r="I723" s="304" t="s">
        <v>234</v>
      </c>
      <c r="J723" s="304" t="s">
        <v>234</v>
      </c>
      <c r="K723" s="306" t="s">
        <v>741</v>
      </c>
      <c r="L723" s="306"/>
      <c r="M723" s="304" t="s">
        <v>234</v>
      </c>
      <c r="N723" s="304" t="s">
        <v>234</v>
      </c>
      <c r="O723" s="306" t="s">
        <v>742</v>
      </c>
      <c r="P723" s="306"/>
      <c r="Q723" s="304" t="s">
        <v>234</v>
      </c>
    </row>
    <row r="724" spans="1:17" ht="15" thickBot="1" x14ac:dyDescent="0.35">
      <c r="A724" s="304"/>
      <c r="B724" s="304"/>
      <c r="C724" s="300" t="s">
        <v>743</v>
      </c>
      <c r="D724" s="300"/>
      <c r="E724" s="304"/>
      <c r="F724" s="304"/>
      <c r="G724" s="300" t="s">
        <v>743</v>
      </c>
      <c r="H724" s="300"/>
      <c r="I724" s="304"/>
      <c r="J724" s="304"/>
      <c r="K724" s="300" t="s">
        <v>743</v>
      </c>
      <c r="L724" s="300"/>
      <c r="M724" s="304"/>
      <c r="N724" s="304"/>
      <c r="O724" s="300" t="s">
        <v>743</v>
      </c>
      <c r="P724" s="300"/>
      <c r="Q724" s="304"/>
    </row>
    <row r="725" spans="1:17" x14ac:dyDescent="0.3">
      <c r="A725" s="175" t="s">
        <v>744</v>
      </c>
      <c r="B725" s="161" t="s">
        <v>235</v>
      </c>
      <c r="C725" s="162"/>
      <c r="D725" s="162"/>
      <c r="E725" s="162"/>
      <c r="F725" s="161" t="s">
        <v>234</v>
      </c>
      <c r="G725" s="162"/>
      <c r="H725" s="162"/>
      <c r="I725" s="162"/>
      <c r="J725" s="161" t="s">
        <v>234</v>
      </c>
      <c r="K725" s="162"/>
      <c r="L725" s="162"/>
      <c r="M725" s="162"/>
      <c r="N725" s="161" t="s">
        <v>234</v>
      </c>
      <c r="O725" s="162"/>
      <c r="P725" s="162"/>
      <c r="Q725" s="162"/>
    </row>
    <row r="726" spans="1:17" x14ac:dyDescent="0.3">
      <c r="A726" s="163" t="s">
        <v>283</v>
      </c>
      <c r="B726" s="159" t="s">
        <v>235</v>
      </c>
      <c r="C726" s="168" t="s">
        <v>239</v>
      </c>
      <c r="D726" s="169">
        <v>1666953</v>
      </c>
      <c r="E726" s="156" t="s">
        <v>234</v>
      </c>
      <c r="F726" s="159" t="s">
        <v>234</v>
      </c>
      <c r="G726" s="168" t="s">
        <v>239</v>
      </c>
      <c r="H726" s="169">
        <v>1311520</v>
      </c>
      <c r="I726" s="156" t="s">
        <v>234</v>
      </c>
      <c r="J726" s="159" t="s">
        <v>234</v>
      </c>
      <c r="K726" s="168" t="s">
        <v>239</v>
      </c>
      <c r="L726" s="169">
        <v>1337886</v>
      </c>
      <c r="M726" s="156" t="s">
        <v>234</v>
      </c>
      <c r="N726" s="159" t="s">
        <v>234</v>
      </c>
      <c r="O726" s="168" t="s">
        <v>239</v>
      </c>
      <c r="P726" s="169">
        <v>1291017</v>
      </c>
      <c r="Q726" s="156" t="s">
        <v>234</v>
      </c>
    </row>
    <row r="727" spans="1:17" ht="15" thickBot="1" x14ac:dyDescent="0.35">
      <c r="A727" s="164" t="s">
        <v>284</v>
      </c>
      <c r="B727" s="161" t="s">
        <v>235</v>
      </c>
      <c r="C727" s="165" t="s">
        <v>234</v>
      </c>
      <c r="D727" s="166">
        <v>1092018</v>
      </c>
      <c r="E727" s="167" t="s">
        <v>234</v>
      </c>
      <c r="F727" s="161" t="s">
        <v>234</v>
      </c>
      <c r="G727" s="165" t="s">
        <v>234</v>
      </c>
      <c r="H727" s="166">
        <v>848020</v>
      </c>
      <c r="I727" s="167" t="s">
        <v>234</v>
      </c>
      <c r="J727" s="161" t="s">
        <v>234</v>
      </c>
      <c r="K727" s="165" t="s">
        <v>234</v>
      </c>
      <c r="L727" s="166">
        <v>866260</v>
      </c>
      <c r="M727" s="167" t="s">
        <v>234</v>
      </c>
      <c r="N727" s="161" t="s">
        <v>234</v>
      </c>
      <c r="O727" s="165" t="s">
        <v>234</v>
      </c>
      <c r="P727" s="166">
        <v>841436</v>
      </c>
      <c r="Q727" s="167" t="s">
        <v>234</v>
      </c>
    </row>
    <row r="728" spans="1:17" x14ac:dyDescent="0.3">
      <c r="A728" s="171"/>
      <c r="B728" s="171" t="s">
        <v>247</v>
      </c>
      <c r="C728" s="172"/>
      <c r="D728" s="172"/>
      <c r="E728" s="171"/>
      <c r="F728" s="171"/>
      <c r="G728" s="172"/>
      <c r="H728" s="172"/>
      <c r="I728" s="171"/>
      <c r="J728" s="171"/>
      <c r="K728" s="172"/>
      <c r="L728" s="172"/>
      <c r="M728" s="171"/>
      <c r="N728" s="171"/>
      <c r="O728" s="172"/>
      <c r="P728" s="172"/>
      <c r="Q728" s="171"/>
    </row>
    <row r="729" spans="1:17" x14ac:dyDescent="0.3">
      <c r="A729" s="173" t="s">
        <v>285</v>
      </c>
      <c r="B729" s="159" t="s">
        <v>235</v>
      </c>
      <c r="C729" s="168" t="s">
        <v>234</v>
      </c>
      <c r="D729" s="169">
        <v>574935</v>
      </c>
      <c r="E729" s="156" t="s">
        <v>234</v>
      </c>
      <c r="F729" s="159" t="s">
        <v>234</v>
      </c>
      <c r="G729" s="168" t="s">
        <v>234</v>
      </c>
      <c r="H729" s="169">
        <v>463500</v>
      </c>
      <c r="I729" s="156" t="s">
        <v>234</v>
      </c>
      <c r="J729" s="159" t="s">
        <v>234</v>
      </c>
      <c r="K729" s="168" t="s">
        <v>234</v>
      </c>
      <c r="L729" s="169">
        <v>471626</v>
      </c>
      <c r="M729" s="156" t="s">
        <v>234</v>
      </c>
      <c r="N729" s="159" t="s">
        <v>234</v>
      </c>
      <c r="O729" s="168" t="s">
        <v>234</v>
      </c>
      <c r="P729" s="169">
        <v>449581</v>
      </c>
      <c r="Q729" s="156" t="s">
        <v>234</v>
      </c>
    </row>
    <row r="730" spans="1:17" x14ac:dyDescent="0.3">
      <c r="A730" s="164" t="s">
        <v>286</v>
      </c>
      <c r="B730" s="161" t="s">
        <v>235</v>
      </c>
      <c r="C730" s="165" t="s">
        <v>234</v>
      </c>
      <c r="D730" s="166">
        <v>424438</v>
      </c>
      <c r="E730" s="167" t="s">
        <v>234</v>
      </c>
      <c r="F730" s="161" t="s">
        <v>234</v>
      </c>
      <c r="G730" s="165" t="s">
        <v>234</v>
      </c>
      <c r="H730" s="166">
        <v>330470</v>
      </c>
      <c r="I730" s="167" t="s">
        <v>234</v>
      </c>
      <c r="J730" s="161" t="s">
        <v>234</v>
      </c>
      <c r="K730" s="165" t="s">
        <v>234</v>
      </c>
      <c r="L730" s="166">
        <v>335555</v>
      </c>
      <c r="M730" s="167" t="s">
        <v>234</v>
      </c>
      <c r="N730" s="161" t="s">
        <v>234</v>
      </c>
      <c r="O730" s="165" t="s">
        <v>234</v>
      </c>
      <c r="P730" s="166">
        <v>331505</v>
      </c>
      <c r="Q730" s="167" t="s">
        <v>234</v>
      </c>
    </row>
    <row r="731" spans="1:17" x14ac:dyDescent="0.3">
      <c r="A731" s="163" t="s">
        <v>287</v>
      </c>
      <c r="B731" s="159" t="s">
        <v>235</v>
      </c>
      <c r="C731" s="168" t="s">
        <v>234</v>
      </c>
      <c r="D731" s="169">
        <v>50889</v>
      </c>
      <c r="E731" s="156" t="s">
        <v>234</v>
      </c>
      <c r="F731" s="159" t="s">
        <v>234</v>
      </c>
      <c r="G731" s="168" t="s">
        <v>234</v>
      </c>
      <c r="H731" s="169">
        <v>43421</v>
      </c>
      <c r="I731" s="156" t="s">
        <v>234</v>
      </c>
      <c r="J731" s="159" t="s">
        <v>234</v>
      </c>
      <c r="K731" s="168" t="s">
        <v>234</v>
      </c>
      <c r="L731" s="169">
        <v>43955</v>
      </c>
      <c r="M731" s="156" t="s">
        <v>234</v>
      </c>
      <c r="N731" s="159" t="s">
        <v>234</v>
      </c>
      <c r="O731" s="168" t="s">
        <v>234</v>
      </c>
      <c r="P731" s="169">
        <v>42979</v>
      </c>
      <c r="Q731" s="156" t="s">
        <v>234</v>
      </c>
    </row>
    <row r="732" spans="1:17" ht="15" thickBot="1" x14ac:dyDescent="0.35">
      <c r="A732" s="164" t="s">
        <v>288</v>
      </c>
      <c r="B732" s="161" t="s">
        <v>235</v>
      </c>
      <c r="C732" s="165" t="s">
        <v>234</v>
      </c>
      <c r="D732" s="166">
        <v>8491</v>
      </c>
      <c r="E732" s="167" t="s">
        <v>234</v>
      </c>
      <c r="F732" s="161" t="s">
        <v>234</v>
      </c>
      <c r="G732" s="165" t="s">
        <v>234</v>
      </c>
      <c r="H732" s="166">
        <v>7324</v>
      </c>
      <c r="I732" s="167" t="s">
        <v>234</v>
      </c>
      <c r="J732" s="161" t="s">
        <v>234</v>
      </c>
      <c r="K732" s="165" t="s">
        <v>234</v>
      </c>
      <c r="L732" s="166">
        <v>7860</v>
      </c>
      <c r="M732" s="167" t="s">
        <v>234</v>
      </c>
      <c r="N732" s="161" t="s">
        <v>234</v>
      </c>
      <c r="O732" s="165" t="s">
        <v>234</v>
      </c>
      <c r="P732" s="166">
        <v>13746</v>
      </c>
      <c r="Q732" s="167" t="s">
        <v>234</v>
      </c>
    </row>
    <row r="733" spans="1:17" x14ac:dyDescent="0.3">
      <c r="A733" s="171"/>
      <c r="B733" s="171" t="s">
        <v>247</v>
      </c>
      <c r="C733" s="172"/>
      <c r="D733" s="172"/>
      <c r="E733" s="171"/>
      <c r="F733" s="171"/>
      <c r="G733" s="172"/>
      <c r="H733" s="172"/>
      <c r="I733" s="171"/>
      <c r="J733" s="171"/>
      <c r="K733" s="172"/>
      <c r="L733" s="172"/>
      <c r="M733" s="171"/>
      <c r="N733" s="171"/>
      <c r="O733" s="172"/>
      <c r="P733" s="172"/>
      <c r="Q733" s="171"/>
    </row>
    <row r="734" spans="1:17" x14ac:dyDescent="0.3">
      <c r="A734" s="173" t="s">
        <v>289</v>
      </c>
      <c r="B734" s="159" t="s">
        <v>235</v>
      </c>
      <c r="C734" s="168" t="s">
        <v>234</v>
      </c>
      <c r="D734" s="169">
        <v>91117</v>
      </c>
      <c r="E734" s="156" t="s">
        <v>234</v>
      </c>
      <c r="F734" s="159" t="s">
        <v>234</v>
      </c>
      <c r="G734" s="168" t="s">
        <v>234</v>
      </c>
      <c r="H734" s="169">
        <v>82285</v>
      </c>
      <c r="I734" s="156" t="s">
        <v>234</v>
      </c>
      <c r="J734" s="159" t="s">
        <v>234</v>
      </c>
      <c r="K734" s="168" t="s">
        <v>234</v>
      </c>
      <c r="L734" s="169">
        <v>84256</v>
      </c>
      <c r="M734" s="156" t="s">
        <v>234</v>
      </c>
      <c r="N734" s="159" t="s">
        <v>234</v>
      </c>
      <c r="O734" s="168" t="s">
        <v>234</v>
      </c>
      <c r="P734" s="169">
        <v>61351</v>
      </c>
      <c r="Q734" s="156" t="s">
        <v>234</v>
      </c>
    </row>
    <row r="735" spans="1:17" x14ac:dyDescent="0.3">
      <c r="A735" s="164" t="s">
        <v>745</v>
      </c>
      <c r="B735" s="161" t="s">
        <v>235</v>
      </c>
      <c r="C735" s="162"/>
      <c r="D735" s="162"/>
      <c r="E735" s="162"/>
      <c r="F735" s="161" t="s">
        <v>234</v>
      </c>
      <c r="G735" s="162"/>
      <c r="H735" s="162"/>
      <c r="I735" s="162"/>
      <c r="J735" s="161" t="s">
        <v>234</v>
      </c>
      <c r="K735" s="162"/>
      <c r="L735" s="162"/>
      <c r="M735" s="162"/>
      <c r="N735" s="161" t="s">
        <v>234</v>
      </c>
      <c r="O735" s="162"/>
      <c r="P735" s="162"/>
      <c r="Q735" s="162"/>
    </row>
    <row r="736" spans="1:17" x14ac:dyDescent="0.3">
      <c r="A736" s="163" t="s">
        <v>291</v>
      </c>
      <c r="B736" s="159" t="s">
        <v>235</v>
      </c>
      <c r="C736" s="168" t="s">
        <v>234</v>
      </c>
      <c r="D736" s="170" t="s">
        <v>746</v>
      </c>
      <c r="E736" s="156" t="s">
        <v>272</v>
      </c>
      <c r="F736" s="159" t="s">
        <v>234</v>
      </c>
      <c r="G736" s="168" t="s">
        <v>234</v>
      </c>
      <c r="H736" s="170" t="s">
        <v>241</v>
      </c>
      <c r="I736" s="156" t="s">
        <v>234</v>
      </c>
      <c r="J736" s="159" t="s">
        <v>234</v>
      </c>
      <c r="K736" s="168" t="s">
        <v>234</v>
      </c>
      <c r="L736" s="170" t="s">
        <v>747</v>
      </c>
      <c r="M736" s="156" t="s">
        <v>272</v>
      </c>
      <c r="N736" s="159" t="s">
        <v>234</v>
      </c>
      <c r="O736" s="168" t="s">
        <v>234</v>
      </c>
      <c r="P736" s="170" t="s">
        <v>748</v>
      </c>
      <c r="Q736" s="156" t="s">
        <v>272</v>
      </c>
    </row>
    <row r="737" spans="1:17" ht="15" thickBot="1" x14ac:dyDescent="0.35">
      <c r="A737" s="164" t="s">
        <v>295</v>
      </c>
      <c r="B737" s="161" t="s">
        <v>235</v>
      </c>
      <c r="C737" s="165" t="s">
        <v>234</v>
      </c>
      <c r="D737" s="166">
        <v>6082</v>
      </c>
      <c r="E737" s="167" t="s">
        <v>234</v>
      </c>
      <c r="F737" s="161" t="s">
        <v>234</v>
      </c>
      <c r="G737" s="165" t="s">
        <v>234</v>
      </c>
      <c r="H737" s="166">
        <v>4068</v>
      </c>
      <c r="I737" s="167" t="s">
        <v>234</v>
      </c>
      <c r="J737" s="161" t="s">
        <v>234</v>
      </c>
      <c r="K737" s="165" t="s">
        <v>234</v>
      </c>
      <c r="L737" s="166">
        <v>5581</v>
      </c>
      <c r="M737" s="167" t="s">
        <v>234</v>
      </c>
      <c r="N737" s="161" t="s">
        <v>234</v>
      </c>
      <c r="O737" s="165" t="s">
        <v>234</v>
      </c>
      <c r="P737" s="166">
        <v>5005</v>
      </c>
      <c r="Q737" s="167" t="s">
        <v>234</v>
      </c>
    </row>
    <row r="738" spans="1:17" x14ac:dyDescent="0.3">
      <c r="A738" s="171"/>
      <c r="B738" s="171" t="s">
        <v>247</v>
      </c>
      <c r="C738" s="172"/>
      <c r="D738" s="172"/>
      <c r="E738" s="171"/>
      <c r="F738" s="171"/>
      <c r="G738" s="172"/>
      <c r="H738" s="172"/>
      <c r="I738" s="171"/>
      <c r="J738" s="171"/>
      <c r="K738" s="172"/>
      <c r="L738" s="172"/>
      <c r="M738" s="171"/>
      <c r="N738" s="171"/>
      <c r="O738" s="172"/>
      <c r="P738" s="172"/>
      <c r="Q738" s="171"/>
    </row>
    <row r="739" spans="1:17" x14ac:dyDescent="0.3">
      <c r="A739" s="163" t="s">
        <v>296</v>
      </c>
      <c r="B739" s="159" t="s">
        <v>235</v>
      </c>
      <c r="C739" s="168" t="s">
        <v>234</v>
      </c>
      <c r="D739" s="169">
        <v>97196</v>
      </c>
      <c r="E739" s="156" t="s">
        <v>234</v>
      </c>
      <c r="F739" s="159" t="s">
        <v>234</v>
      </c>
      <c r="G739" s="168" t="s">
        <v>234</v>
      </c>
      <c r="H739" s="169">
        <v>86353</v>
      </c>
      <c r="I739" s="156" t="s">
        <v>234</v>
      </c>
      <c r="J739" s="159" t="s">
        <v>234</v>
      </c>
      <c r="K739" s="168" t="s">
        <v>234</v>
      </c>
      <c r="L739" s="169">
        <v>89829</v>
      </c>
      <c r="M739" s="156" t="s">
        <v>234</v>
      </c>
      <c r="N739" s="159" t="s">
        <v>234</v>
      </c>
      <c r="O739" s="168" t="s">
        <v>234</v>
      </c>
      <c r="P739" s="169">
        <v>66335</v>
      </c>
      <c r="Q739" s="156" t="s">
        <v>234</v>
      </c>
    </row>
    <row r="740" spans="1:17" ht="15" thickBot="1" x14ac:dyDescent="0.35">
      <c r="A740" s="164" t="s">
        <v>297</v>
      </c>
      <c r="B740" s="161" t="s">
        <v>235</v>
      </c>
      <c r="C740" s="165" t="s">
        <v>234</v>
      </c>
      <c r="D740" s="166">
        <v>38878</v>
      </c>
      <c r="E740" s="167" t="s">
        <v>234</v>
      </c>
      <c r="F740" s="161" t="s">
        <v>234</v>
      </c>
      <c r="G740" s="165" t="s">
        <v>234</v>
      </c>
      <c r="H740" s="166">
        <v>34542</v>
      </c>
      <c r="I740" s="167" t="s">
        <v>234</v>
      </c>
      <c r="J740" s="161" t="s">
        <v>234</v>
      </c>
      <c r="K740" s="165" t="s">
        <v>234</v>
      </c>
      <c r="L740" s="166">
        <v>35931</v>
      </c>
      <c r="M740" s="167" t="s">
        <v>234</v>
      </c>
      <c r="N740" s="161" t="s">
        <v>234</v>
      </c>
      <c r="O740" s="165" t="s">
        <v>234</v>
      </c>
      <c r="P740" s="166">
        <v>26534</v>
      </c>
      <c r="Q740" s="167" t="s">
        <v>234</v>
      </c>
    </row>
    <row r="741" spans="1:17" x14ac:dyDescent="0.3">
      <c r="A741" s="171"/>
      <c r="B741" s="171" t="s">
        <v>247</v>
      </c>
      <c r="C741" s="172"/>
      <c r="D741" s="172"/>
      <c r="E741" s="171"/>
      <c r="F741" s="171"/>
      <c r="G741" s="172"/>
      <c r="H741" s="172"/>
      <c r="I741" s="171"/>
      <c r="J741" s="171"/>
      <c r="K741" s="172"/>
      <c r="L741" s="172"/>
      <c r="M741" s="171"/>
      <c r="N741" s="171"/>
      <c r="O741" s="172"/>
      <c r="P741" s="172"/>
      <c r="Q741" s="171"/>
    </row>
    <row r="742" spans="1:17" ht="15" thickBot="1" x14ac:dyDescent="0.35">
      <c r="A742" s="173" t="s">
        <v>298</v>
      </c>
      <c r="B742" s="159" t="s">
        <v>235</v>
      </c>
      <c r="C742" s="168" t="s">
        <v>239</v>
      </c>
      <c r="D742" s="169">
        <v>58318</v>
      </c>
      <c r="E742" s="156" t="s">
        <v>234</v>
      </c>
      <c r="F742" s="159" t="s">
        <v>234</v>
      </c>
      <c r="G742" s="168" t="s">
        <v>239</v>
      </c>
      <c r="H742" s="169">
        <v>51811</v>
      </c>
      <c r="I742" s="156" t="s">
        <v>234</v>
      </c>
      <c r="J742" s="159" t="s">
        <v>234</v>
      </c>
      <c r="K742" s="168" t="s">
        <v>239</v>
      </c>
      <c r="L742" s="169">
        <v>53898</v>
      </c>
      <c r="M742" s="156" t="s">
        <v>234</v>
      </c>
      <c r="N742" s="159" t="s">
        <v>234</v>
      </c>
      <c r="O742" s="168" t="s">
        <v>239</v>
      </c>
      <c r="P742" s="169">
        <v>39801</v>
      </c>
      <c r="Q742" s="156" t="s">
        <v>234</v>
      </c>
    </row>
    <row r="743" spans="1:17" ht="15" thickTop="1" x14ac:dyDescent="0.3">
      <c r="A743" s="171"/>
      <c r="B743" s="171" t="s">
        <v>247</v>
      </c>
      <c r="C743" s="174"/>
      <c r="D743" s="174"/>
      <c r="E743" s="171"/>
      <c r="F743" s="171"/>
      <c r="G743" s="174"/>
      <c r="H743" s="174"/>
      <c r="I743" s="171"/>
      <c r="J743" s="171"/>
      <c r="K743" s="174"/>
      <c r="L743" s="174"/>
      <c r="M743" s="171"/>
      <c r="N743" s="171"/>
      <c r="O743" s="174"/>
      <c r="P743" s="174"/>
      <c r="Q743" s="171"/>
    </row>
    <row r="744" spans="1:17" ht="15" thickBot="1" x14ac:dyDescent="0.35">
      <c r="A744" s="164" t="s">
        <v>299</v>
      </c>
      <c r="B744" s="161" t="s">
        <v>235</v>
      </c>
      <c r="C744" s="165" t="s">
        <v>239</v>
      </c>
      <c r="D744" s="176">
        <v>0.42</v>
      </c>
      <c r="E744" s="167" t="s">
        <v>234</v>
      </c>
      <c r="F744" s="161" t="s">
        <v>234</v>
      </c>
      <c r="G744" s="165" t="s">
        <v>239</v>
      </c>
      <c r="H744" s="176">
        <v>0.37</v>
      </c>
      <c r="I744" s="167" t="s">
        <v>234</v>
      </c>
      <c r="J744" s="161" t="s">
        <v>234</v>
      </c>
      <c r="K744" s="165" t="s">
        <v>239</v>
      </c>
      <c r="L744" s="176">
        <v>0.38</v>
      </c>
      <c r="M744" s="167" t="s">
        <v>234</v>
      </c>
      <c r="N744" s="161" t="s">
        <v>234</v>
      </c>
      <c r="O744" s="165" t="s">
        <v>239</v>
      </c>
      <c r="P744" s="176">
        <v>0.28999999999999998</v>
      </c>
      <c r="Q744" s="167" t="s">
        <v>234</v>
      </c>
    </row>
    <row r="745" spans="1:17" ht="15" thickTop="1" x14ac:dyDescent="0.3">
      <c r="A745" s="171"/>
      <c r="B745" s="171" t="s">
        <v>247</v>
      </c>
      <c r="C745" s="174"/>
      <c r="D745" s="174"/>
      <c r="E745" s="171"/>
      <c r="F745" s="171"/>
      <c r="G745" s="174"/>
      <c r="H745" s="174"/>
      <c r="I745" s="171"/>
      <c r="J745" s="171"/>
      <c r="K745" s="174"/>
      <c r="L745" s="174"/>
      <c r="M745" s="171"/>
      <c r="N745" s="171"/>
      <c r="O745" s="174"/>
      <c r="P745" s="174"/>
      <c r="Q745" s="171"/>
    </row>
    <row r="746" spans="1:17" ht="15" thickBot="1" x14ac:dyDescent="0.35">
      <c r="A746" s="163" t="s">
        <v>301</v>
      </c>
      <c r="B746" s="159" t="s">
        <v>235</v>
      </c>
      <c r="C746" s="168" t="s">
        <v>239</v>
      </c>
      <c r="D746" s="170">
        <v>0.4</v>
      </c>
      <c r="E746" s="156" t="s">
        <v>234</v>
      </c>
      <c r="F746" s="159" t="s">
        <v>234</v>
      </c>
      <c r="G746" s="168" t="s">
        <v>239</v>
      </c>
      <c r="H746" s="170">
        <v>0.36</v>
      </c>
      <c r="I746" s="156" t="s">
        <v>234</v>
      </c>
      <c r="J746" s="159" t="s">
        <v>234</v>
      </c>
      <c r="K746" s="168" t="s">
        <v>239</v>
      </c>
      <c r="L746" s="170">
        <v>0.37</v>
      </c>
      <c r="M746" s="156" t="s">
        <v>234</v>
      </c>
      <c r="N746" s="159" t="s">
        <v>234</v>
      </c>
      <c r="O746" s="168" t="s">
        <v>239</v>
      </c>
      <c r="P746" s="170">
        <v>0.28000000000000003</v>
      </c>
      <c r="Q746" s="156" t="s">
        <v>234</v>
      </c>
    </row>
    <row r="747" spans="1:17" ht="15" thickTop="1" x14ac:dyDescent="0.3">
      <c r="A747" s="171"/>
      <c r="B747" s="171" t="s">
        <v>247</v>
      </c>
      <c r="C747" s="174"/>
      <c r="D747" s="174"/>
      <c r="E747" s="171"/>
      <c r="F747" s="171"/>
      <c r="G747" s="174"/>
      <c r="H747" s="174"/>
      <c r="I747" s="171"/>
      <c r="J747" s="171"/>
      <c r="K747" s="174"/>
      <c r="L747" s="174"/>
      <c r="M747" s="171"/>
      <c r="N747" s="171"/>
      <c r="O747" s="174"/>
      <c r="P747" s="174"/>
      <c r="Q747" s="171"/>
    </row>
    <row r="748" spans="1:17" ht="15" thickBot="1" x14ac:dyDescent="0.35">
      <c r="A748" s="164" t="s">
        <v>303</v>
      </c>
      <c r="B748" s="161" t="s">
        <v>235</v>
      </c>
      <c r="C748" s="165" t="s">
        <v>239</v>
      </c>
      <c r="D748" s="176">
        <v>2.15</v>
      </c>
      <c r="E748" s="167" t="s">
        <v>234</v>
      </c>
      <c r="F748" s="161" t="s">
        <v>234</v>
      </c>
      <c r="G748" s="165" t="s">
        <v>239</v>
      </c>
      <c r="H748" s="176">
        <v>0.15</v>
      </c>
      <c r="I748" s="167" t="s">
        <v>234</v>
      </c>
      <c r="J748" s="161" t="s">
        <v>234</v>
      </c>
      <c r="K748" s="165" t="s">
        <v>239</v>
      </c>
      <c r="L748" s="176">
        <v>0.15</v>
      </c>
      <c r="M748" s="167" t="s">
        <v>234</v>
      </c>
      <c r="N748" s="161" t="s">
        <v>234</v>
      </c>
      <c r="O748" s="165" t="s">
        <v>239</v>
      </c>
      <c r="P748" s="176" t="s">
        <v>241</v>
      </c>
      <c r="Q748" s="167" t="s">
        <v>234</v>
      </c>
    </row>
    <row r="749" spans="1:17" ht="15" thickTop="1" x14ac:dyDescent="0.3">
      <c r="A749" s="171"/>
      <c r="B749" s="171" t="s">
        <v>247</v>
      </c>
      <c r="C749" s="174"/>
      <c r="D749" s="174"/>
      <c r="E749" s="171"/>
      <c r="F749" s="171"/>
      <c r="G749" s="174"/>
      <c r="H749" s="174"/>
      <c r="I749" s="171"/>
      <c r="J749" s="171"/>
      <c r="K749" s="174"/>
      <c r="L749" s="174"/>
      <c r="M749" s="171"/>
      <c r="N749" s="171"/>
      <c r="O749" s="174"/>
      <c r="P749" s="174"/>
      <c r="Q749" s="171"/>
    </row>
    <row r="750" spans="1:17" x14ac:dyDescent="0.3">
      <c r="A750" s="158"/>
      <c r="B750" s="301"/>
      <c r="C750" s="301"/>
      <c r="D750" s="301"/>
      <c r="E750" s="301"/>
      <c r="F750" s="301"/>
      <c r="G750" s="301"/>
      <c r="H750" s="301"/>
      <c r="I750" s="301"/>
      <c r="J750" s="301"/>
      <c r="K750" s="301"/>
      <c r="L750" s="301"/>
      <c r="M750" s="301"/>
      <c r="N750" s="301"/>
      <c r="O750" s="301"/>
      <c r="P750" s="301"/>
      <c r="Q750" s="301"/>
    </row>
    <row r="751" spans="1:17" x14ac:dyDescent="0.3">
      <c r="A751" s="304" t="s">
        <v>234</v>
      </c>
      <c r="B751" s="304" t="s">
        <v>235</v>
      </c>
      <c r="C751" s="306" t="s">
        <v>739</v>
      </c>
      <c r="D751" s="306"/>
      <c r="E751" s="304" t="s">
        <v>234</v>
      </c>
      <c r="F751" s="304" t="s">
        <v>234</v>
      </c>
      <c r="G751" s="306" t="s">
        <v>740</v>
      </c>
      <c r="H751" s="306"/>
      <c r="I751" s="304" t="s">
        <v>234</v>
      </c>
      <c r="J751" s="304" t="s">
        <v>234</v>
      </c>
      <c r="K751" s="306" t="s">
        <v>741</v>
      </c>
      <c r="L751" s="306"/>
      <c r="M751" s="304" t="s">
        <v>234</v>
      </c>
      <c r="N751" s="304" t="s">
        <v>234</v>
      </c>
      <c r="O751" s="306" t="s">
        <v>742</v>
      </c>
      <c r="P751" s="306"/>
      <c r="Q751" s="304" t="s">
        <v>234</v>
      </c>
    </row>
    <row r="752" spans="1:17" ht="15" thickBot="1" x14ac:dyDescent="0.35">
      <c r="A752" s="304"/>
      <c r="B752" s="304"/>
      <c r="C752" s="300" t="s">
        <v>743</v>
      </c>
      <c r="D752" s="300"/>
      <c r="E752" s="304"/>
      <c r="F752" s="304"/>
      <c r="G752" s="300" t="s">
        <v>743</v>
      </c>
      <c r="H752" s="300"/>
      <c r="I752" s="304"/>
      <c r="J752" s="304"/>
      <c r="K752" s="300" t="s">
        <v>743</v>
      </c>
      <c r="L752" s="300"/>
      <c r="M752" s="304"/>
      <c r="N752" s="304"/>
      <c r="O752" s="300" t="s">
        <v>743</v>
      </c>
      <c r="P752" s="300"/>
      <c r="Q752" s="304"/>
    </row>
    <row r="753" spans="1:17" x14ac:dyDescent="0.3">
      <c r="A753" s="175" t="s">
        <v>749</v>
      </c>
      <c r="B753" s="161" t="s">
        <v>235</v>
      </c>
      <c r="C753" s="162"/>
      <c r="D753" s="162"/>
      <c r="E753" s="162"/>
      <c r="F753" s="161" t="s">
        <v>234</v>
      </c>
      <c r="G753" s="162"/>
      <c r="H753" s="162"/>
      <c r="I753" s="162"/>
      <c r="J753" s="161" t="s">
        <v>234</v>
      </c>
      <c r="K753" s="162"/>
      <c r="L753" s="162"/>
      <c r="M753" s="162"/>
      <c r="N753" s="161" t="s">
        <v>234</v>
      </c>
      <c r="O753" s="162"/>
      <c r="P753" s="162"/>
      <c r="Q753" s="162"/>
    </row>
    <row r="754" spans="1:17" x14ac:dyDescent="0.3">
      <c r="A754" s="163" t="s">
        <v>283</v>
      </c>
      <c r="B754" s="159" t="s">
        <v>235</v>
      </c>
      <c r="C754" s="168" t="s">
        <v>239</v>
      </c>
      <c r="D754" s="169">
        <v>1368328</v>
      </c>
      <c r="E754" s="156" t="s">
        <v>234</v>
      </c>
      <c r="F754" s="159" t="s">
        <v>234</v>
      </c>
      <c r="G754" s="168" t="s">
        <v>239</v>
      </c>
      <c r="H754" s="169">
        <v>1085158</v>
      </c>
      <c r="I754" s="156" t="s">
        <v>234</v>
      </c>
      <c r="J754" s="159" t="s">
        <v>234</v>
      </c>
      <c r="K754" s="168" t="s">
        <v>239</v>
      </c>
      <c r="L754" s="169">
        <v>1132736</v>
      </c>
      <c r="M754" s="156" t="s">
        <v>234</v>
      </c>
      <c r="N754" s="159" t="s">
        <v>234</v>
      </c>
      <c r="O754" s="168" t="s">
        <v>239</v>
      </c>
      <c r="P754" s="169">
        <v>1115067</v>
      </c>
      <c r="Q754" s="156" t="s">
        <v>234</v>
      </c>
    </row>
    <row r="755" spans="1:17" ht="15" thickBot="1" x14ac:dyDescent="0.35">
      <c r="A755" s="164" t="s">
        <v>284</v>
      </c>
      <c r="B755" s="161" t="s">
        <v>235</v>
      </c>
      <c r="C755" s="165" t="s">
        <v>234</v>
      </c>
      <c r="D755" s="166">
        <v>895486</v>
      </c>
      <c r="E755" s="167" t="s">
        <v>234</v>
      </c>
      <c r="F755" s="161" t="s">
        <v>234</v>
      </c>
      <c r="G755" s="165" t="s">
        <v>234</v>
      </c>
      <c r="H755" s="166">
        <v>697686</v>
      </c>
      <c r="I755" s="167" t="s">
        <v>234</v>
      </c>
      <c r="J755" s="161" t="s">
        <v>234</v>
      </c>
      <c r="K755" s="165" t="s">
        <v>234</v>
      </c>
      <c r="L755" s="166">
        <v>733931</v>
      </c>
      <c r="M755" s="167" t="s">
        <v>234</v>
      </c>
      <c r="N755" s="161" t="s">
        <v>234</v>
      </c>
      <c r="O755" s="165" t="s">
        <v>234</v>
      </c>
      <c r="P755" s="166">
        <v>725081</v>
      </c>
      <c r="Q755" s="167" t="s">
        <v>234</v>
      </c>
    </row>
    <row r="756" spans="1:17" x14ac:dyDescent="0.3">
      <c r="A756" s="171"/>
      <c r="B756" s="171" t="s">
        <v>247</v>
      </c>
      <c r="C756" s="172"/>
      <c r="D756" s="172"/>
      <c r="E756" s="171"/>
      <c r="F756" s="171"/>
      <c r="G756" s="172"/>
      <c r="H756" s="172"/>
      <c r="I756" s="171"/>
      <c r="J756" s="171"/>
      <c r="K756" s="172"/>
      <c r="L756" s="172"/>
      <c r="M756" s="171"/>
      <c r="N756" s="171"/>
      <c r="O756" s="172"/>
      <c r="P756" s="172"/>
      <c r="Q756" s="171"/>
    </row>
    <row r="757" spans="1:17" x14ac:dyDescent="0.3">
      <c r="A757" s="173" t="s">
        <v>285</v>
      </c>
      <c r="B757" s="159" t="s">
        <v>235</v>
      </c>
      <c r="C757" s="168" t="s">
        <v>234</v>
      </c>
      <c r="D757" s="169">
        <v>472842</v>
      </c>
      <c r="E757" s="156" t="s">
        <v>234</v>
      </c>
      <c r="F757" s="159" t="s">
        <v>234</v>
      </c>
      <c r="G757" s="168" t="s">
        <v>234</v>
      </c>
      <c r="H757" s="169">
        <v>387472</v>
      </c>
      <c r="I757" s="156" t="s">
        <v>234</v>
      </c>
      <c r="J757" s="159" t="s">
        <v>234</v>
      </c>
      <c r="K757" s="168" t="s">
        <v>234</v>
      </c>
      <c r="L757" s="169">
        <v>398805</v>
      </c>
      <c r="M757" s="156" t="s">
        <v>234</v>
      </c>
      <c r="N757" s="159" t="s">
        <v>234</v>
      </c>
      <c r="O757" s="168" t="s">
        <v>234</v>
      </c>
      <c r="P757" s="169">
        <v>389986</v>
      </c>
      <c r="Q757" s="156" t="s">
        <v>234</v>
      </c>
    </row>
    <row r="758" spans="1:17" x14ac:dyDescent="0.3">
      <c r="A758" s="164" t="s">
        <v>286</v>
      </c>
      <c r="B758" s="161" t="s">
        <v>235</v>
      </c>
      <c r="C758" s="165" t="s">
        <v>234</v>
      </c>
      <c r="D758" s="166">
        <v>348380</v>
      </c>
      <c r="E758" s="167" t="s">
        <v>234</v>
      </c>
      <c r="F758" s="161" t="s">
        <v>234</v>
      </c>
      <c r="G758" s="165" t="s">
        <v>234</v>
      </c>
      <c r="H758" s="166">
        <v>276313</v>
      </c>
      <c r="I758" s="167" t="s">
        <v>234</v>
      </c>
      <c r="J758" s="161" t="s">
        <v>234</v>
      </c>
      <c r="K758" s="165" t="s">
        <v>234</v>
      </c>
      <c r="L758" s="166">
        <v>285804</v>
      </c>
      <c r="M758" s="167" t="s">
        <v>234</v>
      </c>
      <c r="N758" s="161" t="s">
        <v>234</v>
      </c>
      <c r="O758" s="165" t="s">
        <v>234</v>
      </c>
      <c r="P758" s="166">
        <v>312976</v>
      </c>
      <c r="Q758" s="167" t="s">
        <v>234</v>
      </c>
    </row>
    <row r="759" spans="1:17" x14ac:dyDescent="0.3">
      <c r="A759" s="163" t="s">
        <v>287</v>
      </c>
      <c r="B759" s="159" t="s">
        <v>235</v>
      </c>
      <c r="C759" s="168" t="s">
        <v>234</v>
      </c>
      <c r="D759" s="169">
        <v>40401</v>
      </c>
      <c r="E759" s="156" t="s">
        <v>234</v>
      </c>
      <c r="F759" s="159" t="s">
        <v>234</v>
      </c>
      <c r="G759" s="168" t="s">
        <v>234</v>
      </c>
      <c r="H759" s="169">
        <v>34773</v>
      </c>
      <c r="I759" s="156" t="s">
        <v>234</v>
      </c>
      <c r="J759" s="159" t="s">
        <v>234</v>
      </c>
      <c r="K759" s="168" t="s">
        <v>234</v>
      </c>
      <c r="L759" s="169">
        <v>39618</v>
      </c>
      <c r="M759" s="156" t="s">
        <v>234</v>
      </c>
      <c r="N759" s="159" t="s">
        <v>234</v>
      </c>
      <c r="O759" s="168" t="s">
        <v>234</v>
      </c>
      <c r="P759" s="169">
        <v>44072</v>
      </c>
      <c r="Q759" s="156" t="s">
        <v>234</v>
      </c>
    </row>
    <row r="760" spans="1:17" ht="15" thickBot="1" x14ac:dyDescent="0.35">
      <c r="A760" s="164" t="s">
        <v>288</v>
      </c>
      <c r="B760" s="161" t="s">
        <v>235</v>
      </c>
      <c r="C760" s="165" t="s">
        <v>234</v>
      </c>
      <c r="D760" s="166">
        <v>6599</v>
      </c>
      <c r="E760" s="167" t="s">
        <v>234</v>
      </c>
      <c r="F760" s="161" t="s">
        <v>234</v>
      </c>
      <c r="G760" s="165" t="s">
        <v>234</v>
      </c>
      <c r="H760" s="166">
        <v>10265</v>
      </c>
      <c r="I760" s="167" t="s">
        <v>234</v>
      </c>
      <c r="J760" s="161" t="s">
        <v>234</v>
      </c>
      <c r="K760" s="165" t="s">
        <v>234</v>
      </c>
      <c r="L760" s="166">
        <v>8777</v>
      </c>
      <c r="M760" s="167" t="s">
        <v>234</v>
      </c>
      <c r="N760" s="161" t="s">
        <v>234</v>
      </c>
      <c r="O760" s="165" t="s">
        <v>234</v>
      </c>
      <c r="P760" s="166">
        <v>11394</v>
      </c>
      <c r="Q760" s="167" t="s">
        <v>234</v>
      </c>
    </row>
    <row r="761" spans="1:17" x14ac:dyDescent="0.3">
      <c r="A761" s="171"/>
      <c r="B761" s="171" t="s">
        <v>247</v>
      </c>
      <c r="C761" s="172"/>
      <c r="D761" s="172"/>
      <c r="E761" s="171"/>
      <c r="F761" s="171"/>
      <c r="G761" s="172"/>
      <c r="H761" s="172"/>
      <c r="I761" s="171"/>
      <c r="J761" s="171"/>
      <c r="K761" s="172"/>
      <c r="L761" s="172"/>
      <c r="M761" s="171"/>
      <c r="N761" s="171"/>
      <c r="O761" s="172"/>
      <c r="P761" s="172"/>
      <c r="Q761" s="171"/>
    </row>
    <row r="762" spans="1:17" x14ac:dyDescent="0.3">
      <c r="A762" s="173" t="s">
        <v>289</v>
      </c>
      <c r="B762" s="159" t="s">
        <v>235</v>
      </c>
      <c r="C762" s="168" t="s">
        <v>234</v>
      </c>
      <c r="D762" s="169">
        <v>77462</v>
      </c>
      <c r="E762" s="156" t="s">
        <v>234</v>
      </c>
      <c r="F762" s="159" t="s">
        <v>234</v>
      </c>
      <c r="G762" s="168" t="s">
        <v>234</v>
      </c>
      <c r="H762" s="169">
        <v>66121</v>
      </c>
      <c r="I762" s="156" t="s">
        <v>234</v>
      </c>
      <c r="J762" s="159" t="s">
        <v>234</v>
      </c>
      <c r="K762" s="168" t="s">
        <v>234</v>
      </c>
      <c r="L762" s="169">
        <v>64606</v>
      </c>
      <c r="M762" s="156" t="s">
        <v>234</v>
      </c>
      <c r="N762" s="159" t="s">
        <v>234</v>
      </c>
      <c r="O762" s="168" t="s">
        <v>234</v>
      </c>
      <c r="P762" s="169">
        <v>21544</v>
      </c>
      <c r="Q762" s="156" t="s">
        <v>234</v>
      </c>
    </row>
    <row r="763" spans="1:17" x14ac:dyDescent="0.3">
      <c r="A763" s="164" t="s">
        <v>745</v>
      </c>
      <c r="B763" s="161" t="s">
        <v>235</v>
      </c>
      <c r="C763" s="162"/>
      <c r="D763" s="162"/>
      <c r="E763" s="162"/>
      <c r="F763" s="161" t="s">
        <v>234</v>
      </c>
      <c r="G763" s="162"/>
      <c r="H763" s="162"/>
      <c r="I763" s="162"/>
      <c r="J763" s="161" t="s">
        <v>234</v>
      </c>
      <c r="K763" s="162"/>
      <c r="L763" s="162"/>
      <c r="M763" s="162"/>
      <c r="N763" s="161" t="s">
        <v>234</v>
      </c>
      <c r="O763" s="162"/>
      <c r="P763" s="162"/>
      <c r="Q763" s="162"/>
    </row>
    <row r="764" spans="1:17" x14ac:dyDescent="0.3">
      <c r="A764" s="163" t="s">
        <v>291</v>
      </c>
      <c r="B764" s="159" t="s">
        <v>235</v>
      </c>
      <c r="C764" s="168" t="s">
        <v>234</v>
      </c>
      <c r="D764" s="170" t="s">
        <v>750</v>
      </c>
      <c r="E764" s="156" t="s">
        <v>272</v>
      </c>
      <c r="F764" s="159" t="s">
        <v>234</v>
      </c>
      <c r="G764" s="168" t="s">
        <v>234</v>
      </c>
      <c r="H764" s="170" t="s">
        <v>751</v>
      </c>
      <c r="I764" s="156" t="s">
        <v>272</v>
      </c>
      <c r="J764" s="159" t="s">
        <v>234</v>
      </c>
      <c r="K764" s="168" t="s">
        <v>234</v>
      </c>
      <c r="L764" s="170" t="s">
        <v>752</v>
      </c>
      <c r="M764" s="156" t="s">
        <v>272</v>
      </c>
      <c r="N764" s="159" t="s">
        <v>234</v>
      </c>
      <c r="O764" s="168" t="s">
        <v>234</v>
      </c>
      <c r="P764" s="170" t="s">
        <v>753</v>
      </c>
      <c r="Q764" s="156" t="s">
        <v>272</v>
      </c>
    </row>
    <row r="765" spans="1:17" ht="15" thickBot="1" x14ac:dyDescent="0.35">
      <c r="A765" s="164" t="s">
        <v>295</v>
      </c>
      <c r="B765" s="161" t="s">
        <v>235</v>
      </c>
      <c r="C765" s="165" t="s">
        <v>234</v>
      </c>
      <c r="D765" s="166">
        <v>1194</v>
      </c>
      <c r="E765" s="167" t="s">
        <v>234</v>
      </c>
      <c r="F765" s="161" t="s">
        <v>234</v>
      </c>
      <c r="G765" s="165" t="s">
        <v>234</v>
      </c>
      <c r="H765" s="166">
        <v>2113</v>
      </c>
      <c r="I765" s="167" t="s">
        <v>234</v>
      </c>
      <c r="J765" s="161" t="s">
        <v>234</v>
      </c>
      <c r="K765" s="165" t="s">
        <v>234</v>
      </c>
      <c r="L765" s="166">
        <v>2868</v>
      </c>
      <c r="M765" s="167" t="s">
        <v>234</v>
      </c>
      <c r="N765" s="161" t="s">
        <v>234</v>
      </c>
      <c r="O765" s="165" t="s">
        <v>234</v>
      </c>
      <c r="P765" s="166">
        <v>3448</v>
      </c>
      <c r="Q765" s="167" t="s">
        <v>234</v>
      </c>
    </row>
    <row r="766" spans="1:17" x14ac:dyDescent="0.3">
      <c r="A766" s="171"/>
      <c r="B766" s="171" t="s">
        <v>247</v>
      </c>
      <c r="C766" s="172"/>
      <c r="D766" s="172"/>
      <c r="E766" s="171"/>
      <c r="F766" s="171"/>
      <c r="G766" s="172"/>
      <c r="H766" s="172"/>
      <c r="I766" s="171"/>
      <c r="J766" s="171"/>
      <c r="K766" s="172"/>
      <c r="L766" s="172"/>
      <c r="M766" s="171"/>
      <c r="N766" s="171"/>
      <c r="O766" s="172"/>
      <c r="P766" s="172"/>
      <c r="Q766" s="171"/>
    </row>
    <row r="767" spans="1:17" x14ac:dyDescent="0.3">
      <c r="A767" s="173" t="s">
        <v>296</v>
      </c>
      <c r="B767" s="159" t="s">
        <v>235</v>
      </c>
      <c r="C767" s="168" t="s">
        <v>234</v>
      </c>
      <c r="D767" s="169">
        <v>76948</v>
      </c>
      <c r="E767" s="156" t="s">
        <v>234</v>
      </c>
      <c r="F767" s="159" t="s">
        <v>234</v>
      </c>
      <c r="G767" s="168" t="s">
        <v>234</v>
      </c>
      <c r="H767" s="169">
        <v>67892</v>
      </c>
      <c r="I767" s="156" t="s">
        <v>234</v>
      </c>
      <c r="J767" s="159" t="s">
        <v>234</v>
      </c>
      <c r="K767" s="168" t="s">
        <v>234</v>
      </c>
      <c r="L767" s="169">
        <v>67311</v>
      </c>
      <c r="M767" s="156" t="s">
        <v>234</v>
      </c>
      <c r="N767" s="159" t="s">
        <v>234</v>
      </c>
      <c r="O767" s="168" t="s">
        <v>234</v>
      </c>
      <c r="P767" s="169">
        <v>24982</v>
      </c>
      <c r="Q767" s="156" t="s">
        <v>234</v>
      </c>
    </row>
    <row r="768" spans="1:17" ht="15" thickBot="1" x14ac:dyDescent="0.35">
      <c r="A768" s="164" t="s">
        <v>297</v>
      </c>
      <c r="B768" s="161" t="s">
        <v>235</v>
      </c>
      <c r="C768" s="165" t="s">
        <v>234</v>
      </c>
      <c r="D768" s="166">
        <v>30778</v>
      </c>
      <c r="E768" s="167" t="s">
        <v>234</v>
      </c>
      <c r="F768" s="161" t="s">
        <v>234</v>
      </c>
      <c r="G768" s="165" t="s">
        <v>234</v>
      </c>
      <c r="H768" s="166">
        <v>27158</v>
      </c>
      <c r="I768" s="167" t="s">
        <v>234</v>
      </c>
      <c r="J768" s="161" t="s">
        <v>234</v>
      </c>
      <c r="K768" s="165" t="s">
        <v>234</v>
      </c>
      <c r="L768" s="166">
        <v>26924</v>
      </c>
      <c r="M768" s="167" t="s">
        <v>234</v>
      </c>
      <c r="N768" s="161" t="s">
        <v>234</v>
      </c>
      <c r="O768" s="165" t="s">
        <v>234</v>
      </c>
      <c r="P768" s="166">
        <v>15922</v>
      </c>
      <c r="Q768" s="167" t="s">
        <v>234</v>
      </c>
    </row>
    <row r="769" spans="1:17" x14ac:dyDescent="0.3">
      <c r="A769" s="171"/>
      <c r="B769" s="171" t="s">
        <v>247</v>
      </c>
      <c r="C769" s="172"/>
      <c r="D769" s="172"/>
      <c r="E769" s="171"/>
      <c r="F769" s="171"/>
      <c r="G769" s="172"/>
      <c r="H769" s="172"/>
      <c r="I769" s="171"/>
      <c r="J769" s="171"/>
      <c r="K769" s="172"/>
      <c r="L769" s="172"/>
      <c r="M769" s="171"/>
      <c r="N769" s="171"/>
      <c r="O769" s="172"/>
      <c r="P769" s="172"/>
      <c r="Q769" s="171"/>
    </row>
    <row r="770" spans="1:17" ht="15" thickBot="1" x14ac:dyDescent="0.35">
      <c r="A770" s="173" t="s">
        <v>298</v>
      </c>
      <c r="B770" s="159" t="s">
        <v>235</v>
      </c>
      <c r="C770" s="168" t="s">
        <v>239</v>
      </c>
      <c r="D770" s="169">
        <v>46170</v>
      </c>
      <c r="E770" s="156" t="s">
        <v>234</v>
      </c>
      <c r="F770" s="159" t="s">
        <v>234</v>
      </c>
      <c r="G770" s="168" t="s">
        <v>239</v>
      </c>
      <c r="H770" s="169">
        <v>40734</v>
      </c>
      <c r="I770" s="156" t="s">
        <v>234</v>
      </c>
      <c r="J770" s="159" t="s">
        <v>234</v>
      </c>
      <c r="K770" s="168" t="s">
        <v>239</v>
      </c>
      <c r="L770" s="169">
        <v>40387</v>
      </c>
      <c r="M770" s="156" t="s">
        <v>234</v>
      </c>
      <c r="N770" s="159" t="s">
        <v>234</v>
      </c>
      <c r="O770" s="168" t="s">
        <v>239</v>
      </c>
      <c r="P770" s="169">
        <v>9060</v>
      </c>
      <c r="Q770" s="156" t="s">
        <v>234</v>
      </c>
    </row>
    <row r="771" spans="1:17" ht="15" thickTop="1" x14ac:dyDescent="0.3">
      <c r="A771" s="171"/>
      <c r="B771" s="171" t="s">
        <v>247</v>
      </c>
      <c r="C771" s="174"/>
      <c r="D771" s="174"/>
      <c r="E771" s="171"/>
      <c r="F771" s="171"/>
      <c r="G771" s="174"/>
      <c r="H771" s="174"/>
      <c r="I771" s="171"/>
      <c r="J771" s="171"/>
      <c r="K771" s="174"/>
      <c r="L771" s="174"/>
      <c r="M771" s="171"/>
      <c r="N771" s="171"/>
      <c r="O771" s="174"/>
      <c r="P771" s="174"/>
      <c r="Q771" s="171"/>
    </row>
    <row r="772" spans="1:17" ht="15" thickBot="1" x14ac:dyDescent="0.35">
      <c r="A772" s="164" t="s">
        <v>299</v>
      </c>
      <c r="B772" s="161" t="s">
        <v>235</v>
      </c>
      <c r="C772" s="165" t="s">
        <v>239</v>
      </c>
      <c r="D772" s="176">
        <v>0.37</v>
      </c>
      <c r="E772" s="167" t="s">
        <v>234</v>
      </c>
      <c r="F772" s="161" t="s">
        <v>234</v>
      </c>
      <c r="G772" s="165" t="s">
        <v>239</v>
      </c>
      <c r="H772" s="176">
        <v>0.31</v>
      </c>
      <c r="I772" s="167" t="s">
        <v>234</v>
      </c>
      <c r="J772" s="161" t="s">
        <v>234</v>
      </c>
      <c r="K772" s="165" t="s">
        <v>239</v>
      </c>
      <c r="L772" s="176">
        <v>0.31</v>
      </c>
      <c r="M772" s="167" t="s">
        <v>234</v>
      </c>
      <c r="N772" s="161" t="s">
        <v>234</v>
      </c>
      <c r="O772" s="165" t="s">
        <v>239</v>
      </c>
      <c r="P772" s="176">
        <v>7.0000000000000007E-2</v>
      </c>
      <c r="Q772" s="167" t="s">
        <v>234</v>
      </c>
    </row>
    <row r="773" spans="1:17" ht="15" thickTop="1" x14ac:dyDescent="0.3">
      <c r="A773" s="171"/>
      <c r="B773" s="171" t="s">
        <v>247</v>
      </c>
      <c r="C773" s="174"/>
      <c r="D773" s="174"/>
      <c r="E773" s="171"/>
      <c r="F773" s="171"/>
      <c r="G773" s="174"/>
      <c r="H773" s="174"/>
      <c r="I773" s="171"/>
      <c r="J773" s="171"/>
      <c r="K773" s="174"/>
      <c r="L773" s="174"/>
      <c r="M773" s="171"/>
      <c r="N773" s="171"/>
      <c r="O773" s="174"/>
      <c r="P773" s="174"/>
      <c r="Q773" s="171"/>
    </row>
    <row r="774" spans="1:17" ht="15" thickBot="1" x14ac:dyDescent="0.35">
      <c r="A774" s="163" t="s">
        <v>301</v>
      </c>
      <c r="B774" s="159" t="s">
        <v>235</v>
      </c>
      <c r="C774" s="168" t="s">
        <v>239</v>
      </c>
      <c r="D774" s="170">
        <v>0.34</v>
      </c>
      <c r="E774" s="156" t="s">
        <v>234</v>
      </c>
      <c r="F774" s="159" t="s">
        <v>234</v>
      </c>
      <c r="G774" s="168" t="s">
        <v>239</v>
      </c>
      <c r="H774" s="170">
        <v>0.28999999999999998</v>
      </c>
      <c r="I774" s="156" t="s">
        <v>234</v>
      </c>
      <c r="J774" s="159" t="s">
        <v>234</v>
      </c>
      <c r="K774" s="168" t="s">
        <v>239</v>
      </c>
      <c r="L774" s="170">
        <v>0.28999999999999998</v>
      </c>
      <c r="M774" s="156" t="s">
        <v>234</v>
      </c>
      <c r="N774" s="159" t="s">
        <v>234</v>
      </c>
      <c r="O774" s="168" t="s">
        <v>239</v>
      </c>
      <c r="P774" s="170">
        <v>0.06</v>
      </c>
      <c r="Q774" s="156" t="s">
        <v>234</v>
      </c>
    </row>
    <row r="775" spans="1:17" ht="15" thickTop="1" x14ac:dyDescent="0.3">
      <c r="A775" s="171"/>
      <c r="B775" s="171" t="s">
        <v>247</v>
      </c>
      <c r="C775" s="174"/>
      <c r="D775" s="174"/>
      <c r="E775" s="171"/>
      <c r="F775" s="171"/>
      <c r="G775" s="174"/>
      <c r="H775" s="174"/>
      <c r="I775" s="171"/>
      <c r="J775" s="171"/>
      <c r="K775" s="174"/>
      <c r="L775" s="174"/>
      <c r="M775" s="171"/>
      <c r="N775" s="171"/>
      <c r="O775" s="174"/>
      <c r="P775" s="174"/>
      <c r="Q775" s="171"/>
    </row>
    <row r="776" spans="1:17" ht="15" thickBot="1" x14ac:dyDescent="0.35">
      <c r="A776" s="164" t="s">
        <v>303</v>
      </c>
      <c r="B776" s="161" t="s">
        <v>235</v>
      </c>
      <c r="C776" s="165" t="s">
        <v>239</v>
      </c>
      <c r="D776" s="176">
        <v>0.1</v>
      </c>
      <c r="E776" s="167" t="s">
        <v>234</v>
      </c>
      <c r="F776" s="161" t="s">
        <v>234</v>
      </c>
      <c r="G776" s="165" t="s">
        <v>239</v>
      </c>
      <c r="H776" s="176">
        <v>0.13</v>
      </c>
      <c r="I776" s="167" t="s">
        <v>234</v>
      </c>
      <c r="J776" s="161" t="s">
        <v>234</v>
      </c>
      <c r="K776" s="165" t="s">
        <v>239</v>
      </c>
      <c r="L776" s="176">
        <v>0.13</v>
      </c>
      <c r="M776" s="167" t="s">
        <v>234</v>
      </c>
      <c r="N776" s="161" t="s">
        <v>234</v>
      </c>
      <c r="O776" s="165" t="s">
        <v>239</v>
      </c>
      <c r="P776" s="176">
        <v>0.13</v>
      </c>
      <c r="Q776" s="167" t="s">
        <v>234</v>
      </c>
    </row>
    <row r="777" spans="1:17" ht="15" thickTop="1" x14ac:dyDescent="0.3">
      <c r="A777" s="171"/>
      <c r="B777" s="171" t="s">
        <v>247</v>
      </c>
      <c r="C777" s="174"/>
      <c r="D777" s="174"/>
      <c r="E777" s="171"/>
      <c r="F777" s="171"/>
      <c r="G777" s="174"/>
      <c r="H777" s="174"/>
      <c r="I777" s="171"/>
      <c r="J777" s="171"/>
      <c r="K777" s="174"/>
      <c r="L777" s="174"/>
      <c r="M777" s="171"/>
      <c r="N777" s="171"/>
      <c r="O777" s="174"/>
      <c r="P777" s="174"/>
      <c r="Q777" s="171"/>
    </row>
    <row r="778" spans="1:17" x14ac:dyDescent="0.3">
      <c r="A778" s="155" t="s">
        <v>754</v>
      </c>
    </row>
    <row r="779" spans="1:17" x14ac:dyDescent="0.3">
      <c r="A779" s="156" t="s">
        <v>457</v>
      </c>
    </row>
    <row r="780" spans="1:17" x14ac:dyDescent="0.3">
      <c r="A780" s="156" t="s">
        <v>755</v>
      </c>
    </row>
    <row r="781" spans="1:17" x14ac:dyDescent="0.3">
      <c r="A781" s="156" t="s">
        <v>756</v>
      </c>
    </row>
    <row r="782" spans="1:17" x14ac:dyDescent="0.3">
      <c r="A782" s="178" t="s">
        <v>234</v>
      </c>
    </row>
    <row r="783" spans="1:17" x14ac:dyDescent="0.3">
      <c r="A783" s="179">
        <v>56</v>
      </c>
    </row>
    <row r="787" spans="1:1" x14ac:dyDescent="0.3">
      <c r="A787" s="180" t="s">
        <v>279</v>
      </c>
    </row>
    <row r="789" spans="1:1" x14ac:dyDescent="0.3">
      <c r="A789" s="155" t="s">
        <v>757</v>
      </c>
    </row>
    <row r="790" spans="1:1" x14ac:dyDescent="0.3">
      <c r="A790" s="156" t="s">
        <v>758</v>
      </c>
    </row>
    <row r="791" spans="1:1" x14ac:dyDescent="0.3">
      <c r="A791" s="155" t="s">
        <v>759</v>
      </c>
    </row>
    <row r="792" spans="1:1" x14ac:dyDescent="0.3">
      <c r="A792" s="155" t="s">
        <v>760</v>
      </c>
    </row>
    <row r="793" spans="1:1" x14ac:dyDescent="0.3">
      <c r="A793" s="156" t="s">
        <v>761</v>
      </c>
    </row>
    <row r="794" spans="1:1" x14ac:dyDescent="0.3">
      <c r="A794" s="155" t="s">
        <v>762</v>
      </c>
    </row>
    <row r="795" spans="1:1" x14ac:dyDescent="0.3">
      <c r="A795" s="156" t="s">
        <v>763</v>
      </c>
    </row>
    <row r="796" spans="1:1" x14ac:dyDescent="0.3">
      <c r="A796" s="155" t="s">
        <v>764</v>
      </c>
    </row>
    <row r="797" spans="1:1" x14ac:dyDescent="0.3">
      <c r="A797" s="156" t="s">
        <v>765</v>
      </c>
    </row>
    <row r="798" spans="1:1" x14ac:dyDescent="0.3">
      <c r="A798" s="156" t="s">
        <v>766</v>
      </c>
    </row>
    <row r="799" spans="1:1" x14ac:dyDescent="0.3">
      <c r="A799" s="155" t="s">
        <v>767</v>
      </c>
    </row>
    <row r="800" spans="1:1" x14ac:dyDescent="0.3">
      <c r="A800" s="156" t="s">
        <v>768</v>
      </c>
    </row>
    <row r="801" spans="1:1" x14ac:dyDescent="0.3">
      <c r="A801" s="178" t="s">
        <v>234</v>
      </c>
    </row>
    <row r="802" spans="1:1" x14ac:dyDescent="0.3">
      <c r="A802" s="179">
        <v>57</v>
      </c>
    </row>
    <row r="806" spans="1:1" x14ac:dyDescent="0.3">
      <c r="A806" s="180" t="s">
        <v>279</v>
      </c>
    </row>
    <row r="808" spans="1:1" x14ac:dyDescent="0.3">
      <c r="A808" s="198" t="s">
        <v>769</v>
      </c>
    </row>
    <row r="809" spans="1:1" x14ac:dyDescent="0.3">
      <c r="A809" s="155" t="s">
        <v>770</v>
      </c>
    </row>
    <row r="810" spans="1:1" x14ac:dyDescent="0.3">
      <c r="A810" s="156" t="s">
        <v>771</v>
      </c>
    </row>
    <row r="811" spans="1:1" x14ac:dyDescent="0.3">
      <c r="A811" s="156" t="s">
        <v>772</v>
      </c>
    </row>
    <row r="812" spans="1:1" x14ac:dyDescent="0.3">
      <c r="A812" s="155" t="s">
        <v>773</v>
      </c>
    </row>
    <row r="813" spans="1:1" x14ac:dyDescent="0.3">
      <c r="A813" s="156" t="s">
        <v>774</v>
      </c>
    </row>
    <row r="814" spans="1:1" x14ac:dyDescent="0.3">
      <c r="A814" s="155" t="s">
        <v>775</v>
      </c>
    </row>
    <row r="815" spans="1:1" x14ac:dyDescent="0.3">
      <c r="A815" s="156" t="s">
        <v>776</v>
      </c>
    </row>
    <row r="816" spans="1:1" x14ac:dyDescent="0.3">
      <c r="A816" s="155" t="s">
        <v>777</v>
      </c>
    </row>
    <row r="817" spans="1:1" x14ac:dyDescent="0.3">
      <c r="A817" s="156" t="s">
        <v>774</v>
      </c>
    </row>
    <row r="818" spans="1:1" x14ac:dyDescent="0.3">
      <c r="A818" s="155" t="s">
        <v>778</v>
      </c>
    </row>
    <row r="819" spans="1:1" x14ac:dyDescent="0.3">
      <c r="A819" s="156" t="s">
        <v>774</v>
      </c>
    </row>
    <row r="820" spans="1:1" x14ac:dyDescent="0.3">
      <c r="A820" s="178" t="s">
        <v>234</v>
      </c>
    </row>
  </sheetData>
  <mergeCells count="204">
    <mergeCell ref="B750:E750"/>
    <mergeCell ref="F750:I750"/>
    <mergeCell ref="J750:M750"/>
    <mergeCell ref="N750:Q750"/>
    <mergeCell ref="A751:A752"/>
    <mergeCell ref="B751:B752"/>
    <mergeCell ref="C751:D751"/>
    <mergeCell ref="E751:E752"/>
    <mergeCell ref="F751:F752"/>
    <mergeCell ref="G751:H751"/>
    <mergeCell ref="Q751:Q752"/>
    <mergeCell ref="C752:D752"/>
    <mergeCell ref="G752:H752"/>
    <mergeCell ref="K752:L752"/>
    <mergeCell ref="O752:P752"/>
    <mergeCell ref="I751:I752"/>
    <mergeCell ref="J751:J752"/>
    <mergeCell ref="K751:L751"/>
    <mergeCell ref="M751:M752"/>
    <mergeCell ref="N751:N752"/>
    <mergeCell ref="O751:P751"/>
    <mergeCell ref="Q723:Q724"/>
    <mergeCell ref="C724:D724"/>
    <mergeCell ref="G724:H724"/>
    <mergeCell ref="K724:L724"/>
    <mergeCell ref="O724:P724"/>
    <mergeCell ref="G723:H723"/>
    <mergeCell ref="I723:I724"/>
    <mergeCell ref="J723:J724"/>
    <mergeCell ref="K723:L723"/>
    <mergeCell ref="M723:M724"/>
    <mergeCell ref="N723:N724"/>
    <mergeCell ref="C643:D643"/>
    <mergeCell ref="J643:K643"/>
    <mergeCell ref="O643:P643"/>
    <mergeCell ref="C676:D676"/>
    <mergeCell ref="G676:H676"/>
    <mergeCell ref="A723:A724"/>
    <mergeCell ref="B723:B724"/>
    <mergeCell ref="C723:D723"/>
    <mergeCell ref="E723:E724"/>
    <mergeCell ref="F723:F724"/>
    <mergeCell ref="O723:P723"/>
    <mergeCell ref="A640:D640"/>
    <mergeCell ref="H640:K640"/>
    <mergeCell ref="M640:P640"/>
    <mergeCell ref="A641:D641"/>
    <mergeCell ref="E641:E642"/>
    <mergeCell ref="L641:L642"/>
    <mergeCell ref="K610:L610"/>
    <mergeCell ref="F611:G611"/>
    <mergeCell ref="K611:L611"/>
    <mergeCell ref="F612:G612"/>
    <mergeCell ref="K612:L612"/>
    <mergeCell ref="F613:G613"/>
    <mergeCell ref="K613:L613"/>
    <mergeCell ref="M641:M642"/>
    <mergeCell ref="F641:F642"/>
    <mergeCell ref="G641:G642"/>
    <mergeCell ref="I641:I642"/>
    <mergeCell ref="J641:K641"/>
    <mergeCell ref="N641:N642"/>
    <mergeCell ref="O641:P641"/>
    <mergeCell ref="A642:D642"/>
    <mergeCell ref="J642:K642"/>
    <mergeCell ref="O642:P642"/>
    <mergeCell ref="C577:D577"/>
    <mergeCell ref="F577:G577"/>
    <mergeCell ref="I577:J577"/>
    <mergeCell ref="A610:A613"/>
    <mergeCell ref="B610:B613"/>
    <mergeCell ref="D610:D613"/>
    <mergeCell ref="E610:E613"/>
    <mergeCell ref="F610:G610"/>
    <mergeCell ref="H610:H613"/>
    <mergeCell ref="J610:J613"/>
    <mergeCell ref="H523:H524"/>
    <mergeCell ref="I547:I548"/>
    <mergeCell ref="J547:K547"/>
    <mergeCell ref="C548:D548"/>
    <mergeCell ref="J548:K548"/>
    <mergeCell ref="B554:D554"/>
    <mergeCell ref="E554:F554"/>
    <mergeCell ref="G554:H554"/>
    <mergeCell ref="I554:K554"/>
    <mergeCell ref="I523:I524"/>
    <mergeCell ref="C525:D525"/>
    <mergeCell ref="G525:H525"/>
    <mergeCell ref="C497:D497"/>
    <mergeCell ref="G497:H497"/>
    <mergeCell ref="C410:D410"/>
    <mergeCell ref="F410:G410"/>
    <mergeCell ref="C435:D435"/>
    <mergeCell ref="F435:G435"/>
    <mergeCell ref="C457:D457"/>
    <mergeCell ref="G457:H457"/>
    <mergeCell ref="A547:A548"/>
    <mergeCell ref="B547:B548"/>
    <mergeCell ref="C547:D547"/>
    <mergeCell ref="E547:E548"/>
    <mergeCell ref="F547:F548"/>
    <mergeCell ref="G547:G548"/>
    <mergeCell ref="H547:H548"/>
    <mergeCell ref="B522:E522"/>
    <mergeCell ref="F522:I522"/>
    <mergeCell ref="A523:A524"/>
    <mergeCell ref="B523:B524"/>
    <mergeCell ref="C523:C524"/>
    <mergeCell ref="D523:D524"/>
    <mergeCell ref="E523:E524"/>
    <mergeCell ref="F523:F524"/>
    <mergeCell ref="G523:G524"/>
    <mergeCell ref="O390:O391"/>
    <mergeCell ref="C391:D391"/>
    <mergeCell ref="F391:G391"/>
    <mergeCell ref="J391:K391"/>
    <mergeCell ref="M391:N391"/>
    <mergeCell ref="K457:L457"/>
    <mergeCell ref="C473:D473"/>
    <mergeCell ref="G473:H473"/>
    <mergeCell ref="K473:L473"/>
    <mergeCell ref="C358:D358"/>
    <mergeCell ref="F358:G358"/>
    <mergeCell ref="C389:G389"/>
    <mergeCell ref="J389:N389"/>
    <mergeCell ref="A390:A391"/>
    <mergeCell ref="B390:B391"/>
    <mergeCell ref="C390:D390"/>
    <mergeCell ref="E390:E391"/>
    <mergeCell ref="F390:G390"/>
    <mergeCell ref="H390:H391"/>
    <mergeCell ref="I390:I391"/>
    <mergeCell ref="J390:K390"/>
    <mergeCell ref="L390:L391"/>
    <mergeCell ref="M390:N390"/>
    <mergeCell ref="C290:D290"/>
    <mergeCell ref="F290:G290"/>
    <mergeCell ref="I290:J290"/>
    <mergeCell ref="L290:M290"/>
    <mergeCell ref="C180:D180"/>
    <mergeCell ref="G180:H180"/>
    <mergeCell ref="K180:L180"/>
    <mergeCell ref="C288:G288"/>
    <mergeCell ref="I288:M288"/>
    <mergeCell ref="A289:A290"/>
    <mergeCell ref="B289:B290"/>
    <mergeCell ref="C289:D289"/>
    <mergeCell ref="E289:E290"/>
    <mergeCell ref="F289:G289"/>
    <mergeCell ref="Q120:R120"/>
    <mergeCell ref="U120:V120"/>
    <mergeCell ref="F121:G121"/>
    <mergeCell ref="I121:J121"/>
    <mergeCell ref="M121:N121"/>
    <mergeCell ref="Q121:R121"/>
    <mergeCell ref="U121:V121"/>
    <mergeCell ref="L118:L121"/>
    <mergeCell ref="M118:N118"/>
    <mergeCell ref="O118:O121"/>
    <mergeCell ref="Q118:R118"/>
    <mergeCell ref="S118:S121"/>
    <mergeCell ref="T118:T121"/>
    <mergeCell ref="U118:V118"/>
    <mergeCell ref="E118:E121"/>
    <mergeCell ref="H289:H290"/>
    <mergeCell ref="I289:J289"/>
    <mergeCell ref="K289:K290"/>
    <mergeCell ref="L289:M289"/>
    <mergeCell ref="W118:W121"/>
    <mergeCell ref="F119:G119"/>
    <mergeCell ref="I119:J119"/>
    <mergeCell ref="M119:N119"/>
    <mergeCell ref="Q119:R119"/>
    <mergeCell ref="U119:V119"/>
    <mergeCell ref="P118:P121"/>
    <mergeCell ref="I120:J120"/>
    <mergeCell ref="M120:N120"/>
    <mergeCell ref="F118:G118"/>
    <mergeCell ref="H118:H121"/>
    <mergeCell ref="F120:G120"/>
    <mergeCell ref="I118:J118"/>
    <mergeCell ref="K118:K121"/>
    <mergeCell ref="K74:L74"/>
    <mergeCell ref="B93:E93"/>
    <mergeCell ref="F93:I93"/>
    <mergeCell ref="J93:M93"/>
    <mergeCell ref="E47:E49"/>
    <mergeCell ref="F47:F49"/>
    <mergeCell ref="G47:G49"/>
    <mergeCell ref="H47:H49"/>
    <mergeCell ref="B47:B49"/>
    <mergeCell ref="C9:D9"/>
    <mergeCell ref="G9:H9"/>
    <mergeCell ref="B29:E29"/>
    <mergeCell ref="F29:H29"/>
    <mergeCell ref="C30:D30"/>
    <mergeCell ref="G30:H30"/>
    <mergeCell ref="C47:C49"/>
    <mergeCell ref="D47:D49"/>
    <mergeCell ref="A118:A121"/>
    <mergeCell ref="B118:B121"/>
    <mergeCell ref="D118:D121"/>
    <mergeCell ref="C74:D74"/>
    <mergeCell ref="G74:H74"/>
  </mergeCells>
  <hyperlinks>
    <hyperlink ref="A66" location="D10K_HTM_TOC" display="D10K_HTM_TOC" xr:uid="{B9466214-B56D-412A-B14A-F73D7CDCD06C}"/>
    <hyperlink ref="A110" location="D10K_HTM_TOC" display="D10K_HTM_TOC" xr:uid="{A8D417ED-6596-4679-BCBC-C5B095C4C4BF}"/>
    <hyperlink ref="A172" location="D10K_HTM_TOC" display="D10K_HTM_TOC" xr:uid="{B8F8E8EB-BC8E-4E34-9087-39F45829F0B0}"/>
    <hyperlink ref="A263" location="D10K_HTM_TOC" display="D10K_HTM_TOC" xr:uid="{DFAD6A90-B544-4309-A04D-430F22C8D589}"/>
    <hyperlink ref="A283" location="D10K_HTM_TOC" display="D10K_HTM_TOC" xr:uid="{9F9271C7-2A9A-4E0C-8873-62915B8C1D18}"/>
    <hyperlink ref="A310" location="D10K_HTM_TOC" display="D10K_HTM_TOC" xr:uid="{053654FE-B53E-4626-B419-1F85826EC1CB}"/>
    <hyperlink ref="A327" location="D10K_HTM_TOC" display="D10K_HTM_TOC" xr:uid="{A46482FC-47FE-460F-87AC-564538511F15}"/>
    <hyperlink ref="A348" location="D10K_HTM_TOC" display="D10K_HTM_TOC" xr:uid="{E43A62AD-090C-4362-9814-74D5DEBDBDAB}"/>
    <hyperlink ref="A375" location="D10K_HTM_TOC" display="D10K_HTM_TOC" xr:uid="{AFDEDC24-6CAE-4D00-B380-7E4C9C95AA98}"/>
    <hyperlink ref="A404" location="D10K_HTM_TOC" display="D10K_HTM_TOC" xr:uid="{863DB905-B765-468D-8A6E-A5EC103AA3B1}"/>
    <hyperlink ref="A430" location="D10K_HTM_TOC" display="D10K_HTM_TOC" xr:uid="{95489008-EC3E-4D09-AA37-9DED64387F74}"/>
    <hyperlink ref="A492" location="D10K_HTM_TOC" display="D10K_HTM_TOC" xr:uid="{3E23047C-A44C-4B27-8474-06B298F9FFA7}"/>
    <hyperlink ref="A540" location="D10K_HTM_TOC" display="D10K_HTM_TOC" xr:uid="{7BB5E2DA-5973-412D-B408-147A013A98FB}"/>
    <hyperlink ref="A572" location="D10K_HTM_TOC" display="D10K_HTM_TOC" xr:uid="{CFF4872F-0B43-4239-A4AF-52A022562307}"/>
    <hyperlink ref="A605" location="D10K_HTM_TOC" display="D10K_HTM_TOC" xr:uid="{C2C45F87-9BF8-4C3C-9219-A5FD4E74A707}"/>
    <hyperlink ref="A660" location="D10K_HTM_TOC" display="D10K_HTM_TOC" xr:uid="{0519E4A8-3FEC-4AC9-80AC-379D5CE48ABD}"/>
    <hyperlink ref="A703" location="D10K_HTM_TOC" display="D10K_HTM_TOC" xr:uid="{D58B9A7A-0CC1-467C-B3FC-F68F50D3D5B4}"/>
    <hyperlink ref="A718" location="D10K_HTM_TOC" display="D10K_HTM_TOC" xr:uid="{2EE19A10-448B-4F73-A36E-A110FBADF9A8}"/>
    <hyperlink ref="A787" location="D10K_HTM_TOC" display="D10K_HTM_TOC" xr:uid="{32EE0C1A-470F-46EC-974A-22A5F880B5BA}"/>
    <hyperlink ref="A806" location="D10K_HTM_TOC" display="D10K_HTM_TOC" xr:uid="{A6FFAAF7-8B7E-4187-B428-4A8FEAC0DF09}"/>
    <hyperlink ref="B1" r:id="rId1" xr:uid="{11246246-3097-42A9-A251-B3A627F46D33}"/>
    <hyperlink ref="A1" r:id="rId2" xr:uid="{9B4E7E30-E23B-427F-B76F-B0E594676D2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EE95-C043-4ABB-A64D-B916E0324A80}">
  <sheetPr>
    <tabColor rgb="FF0000FF"/>
  </sheetPr>
  <dimension ref="A1:R35"/>
  <sheetViews>
    <sheetView zoomScale="70" zoomScaleNormal="70" workbookViewId="0"/>
  </sheetViews>
  <sheetFormatPr defaultRowHeight="14.4" x14ac:dyDescent="0.3"/>
  <cols>
    <col min="1" max="1" width="39.44140625" bestFit="1" customWidth="1"/>
    <col min="2" max="2" width="16" bestFit="1" customWidth="1"/>
    <col min="3" max="3" width="15.6640625" bestFit="1" customWidth="1"/>
    <col min="4" max="4" width="16.33203125" bestFit="1" customWidth="1"/>
    <col min="5" max="5" width="2.109375" customWidth="1"/>
    <col min="6" max="6" width="24.44140625" bestFit="1" customWidth="1"/>
    <col min="7" max="7" width="2.6640625" bestFit="1" customWidth="1"/>
    <col min="8" max="8" width="24.44140625" bestFit="1" customWidth="1"/>
    <col min="9" max="9" width="2.6640625" bestFit="1" customWidth="1"/>
    <col min="10" max="10" width="24.33203125" bestFit="1" customWidth="1"/>
    <col min="11" max="11" width="4.5546875" bestFit="1" customWidth="1"/>
    <col min="12" max="12" width="28.5546875" bestFit="1" customWidth="1"/>
    <col min="13" max="13" width="13.33203125" bestFit="1" customWidth="1"/>
    <col min="14" max="14" width="11.6640625" bestFit="1" customWidth="1"/>
    <col min="15" max="15" width="9.44140625" bestFit="1" customWidth="1"/>
  </cols>
  <sheetData>
    <row r="1" spans="1:18" x14ac:dyDescent="0.3">
      <c r="A1" s="146" t="s">
        <v>779</v>
      </c>
      <c r="B1" s="146"/>
      <c r="C1" s="146"/>
      <c r="D1" s="146"/>
      <c r="F1" t="s">
        <v>808</v>
      </c>
    </row>
    <row r="2" spans="1:18" x14ac:dyDescent="0.3">
      <c r="A2" s="146" t="s">
        <v>781</v>
      </c>
      <c r="B2" s="146"/>
      <c r="C2" s="146"/>
      <c r="D2" s="146"/>
    </row>
    <row r="3" spans="1:18" x14ac:dyDescent="0.3">
      <c r="A3" s="202" t="s">
        <v>782</v>
      </c>
      <c r="B3" s="203">
        <v>38984</v>
      </c>
      <c r="C3" s="203">
        <v>38620</v>
      </c>
      <c r="D3" s="203">
        <v>38256</v>
      </c>
      <c r="F3" s="199" t="s">
        <v>151</v>
      </c>
      <c r="G3" s="113" t="s">
        <v>35</v>
      </c>
      <c r="H3" s="200" t="s">
        <v>186</v>
      </c>
      <c r="I3" s="113" t="s">
        <v>37</v>
      </c>
      <c r="J3" s="201" t="s">
        <v>187</v>
      </c>
      <c r="K3" s="131" t="s">
        <v>780</v>
      </c>
      <c r="L3" s="113"/>
    </row>
    <row r="4" spans="1:18" x14ac:dyDescent="0.3">
      <c r="A4" s="207" t="s">
        <v>104</v>
      </c>
      <c r="B4" s="148">
        <v>5607376</v>
      </c>
      <c r="C4" s="148">
        <v>4701289</v>
      </c>
      <c r="D4" s="148">
        <v>3864950</v>
      </c>
      <c r="F4" s="126"/>
      <c r="G4" s="113"/>
      <c r="H4" s="126"/>
      <c r="I4" s="113"/>
      <c r="J4" s="126"/>
      <c r="K4" s="113"/>
      <c r="L4" s="113"/>
    </row>
    <row r="5" spans="1:18" ht="15" thickBot="1" x14ac:dyDescent="0.35">
      <c r="A5" s="208" t="s">
        <v>169</v>
      </c>
      <c r="B5" s="148">
        <v>3647734</v>
      </c>
      <c r="C5" s="148">
        <v>3052184</v>
      </c>
      <c r="D5" s="148">
        <v>2523816</v>
      </c>
      <c r="F5" s="199" t="s">
        <v>151</v>
      </c>
      <c r="G5" s="113" t="s">
        <v>35</v>
      </c>
      <c r="H5" s="204" t="s">
        <v>188</v>
      </c>
      <c r="I5" s="113" t="s">
        <v>155</v>
      </c>
      <c r="J5" s="205" t="s">
        <v>156</v>
      </c>
      <c r="K5" s="113" t="s">
        <v>155</v>
      </c>
      <c r="L5" s="206" t="s">
        <v>161</v>
      </c>
    </row>
    <row r="6" spans="1:18" x14ac:dyDescent="0.3">
      <c r="A6" s="207" t="s">
        <v>783</v>
      </c>
      <c r="B6" s="210">
        <v>1484410</v>
      </c>
      <c r="C6" s="210">
        <v>1285613</v>
      </c>
      <c r="D6" s="210">
        <v>1004089</v>
      </c>
      <c r="F6" s="126"/>
      <c r="G6" s="113"/>
      <c r="H6" s="126"/>
      <c r="I6" s="113"/>
      <c r="J6" s="126"/>
      <c r="K6" s="113"/>
      <c r="L6" s="126"/>
      <c r="O6" s="211"/>
    </row>
    <row r="7" spans="1:18" ht="15" thickBot="1" x14ac:dyDescent="0.35">
      <c r="A7" s="207" t="s">
        <v>784</v>
      </c>
      <c r="B7" s="149">
        <v>156223</v>
      </c>
      <c r="C7" s="149">
        <v>133759</v>
      </c>
      <c r="D7" s="149">
        <v>115157</v>
      </c>
      <c r="E7" s="156" t="s">
        <v>234</v>
      </c>
      <c r="F7" s="209" t="s">
        <v>188</v>
      </c>
      <c r="G7" s="113" t="s">
        <v>35</v>
      </c>
      <c r="H7" s="136" t="s">
        <v>189</v>
      </c>
      <c r="I7" s="113" t="s">
        <v>37</v>
      </c>
      <c r="J7" s="136" t="s">
        <v>106</v>
      </c>
      <c r="K7" s="113" t="s">
        <v>155</v>
      </c>
      <c r="L7" s="136" t="s">
        <v>110</v>
      </c>
      <c r="M7" s="159" t="s">
        <v>234</v>
      </c>
      <c r="N7" s="168" t="s">
        <v>234</v>
      </c>
      <c r="P7" s="156" t="s">
        <v>234</v>
      </c>
      <c r="Q7" s="159" t="s">
        <v>234</v>
      </c>
      <c r="R7" s="168" t="s">
        <v>234</v>
      </c>
    </row>
    <row r="8" spans="1:18" x14ac:dyDescent="0.3">
      <c r="A8" s="212" t="s">
        <v>785</v>
      </c>
      <c r="B8" s="213">
        <f>B4-SUM(B5:B7)</f>
        <v>319009</v>
      </c>
      <c r="C8" s="213">
        <f>C4-SUM(C5:C7)</f>
        <v>229733</v>
      </c>
      <c r="D8" s="213">
        <f>D4-SUM(D5:D7)</f>
        <v>221888</v>
      </c>
      <c r="F8" s="126"/>
      <c r="G8" s="113"/>
      <c r="H8" s="126"/>
      <c r="I8" s="113"/>
      <c r="J8" s="126"/>
      <c r="K8" s="113"/>
      <c r="L8" s="126"/>
    </row>
    <row r="9" spans="1:18" ht="15" thickBot="1" x14ac:dyDescent="0.35">
      <c r="A9" s="208" t="s">
        <v>786</v>
      </c>
      <c r="B9" s="214">
        <v>20736</v>
      </c>
      <c r="C9" s="214">
        <v>9623</v>
      </c>
      <c r="D9" s="214">
        <v>6456</v>
      </c>
      <c r="F9" s="205" t="s">
        <v>156</v>
      </c>
      <c r="G9" s="113" t="s">
        <v>35</v>
      </c>
      <c r="H9" s="122" t="s">
        <v>190</v>
      </c>
      <c r="I9" s="113" t="s">
        <v>155</v>
      </c>
      <c r="J9" s="122" t="s">
        <v>191</v>
      </c>
      <c r="K9" s="113" t="s">
        <v>37</v>
      </c>
      <c r="L9" s="122" t="s">
        <v>106</v>
      </c>
    </row>
    <row r="10" spans="1:18" x14ac:dyDescent="0.3">
      <c r="A10" s="212" t="s">
        <v>787</v>
      </c>
      <c r="B10" s="215">
        <f>SUM(B8:B9)</f>
        <v>339745</v>
      </c>
      <c r="C10" s="215">
        <f>SUM(C8:C9)</f>
        <v>239356</v>
      </c>
      <c r="D10" s="215">
        <f>SUM(D8:D9)</f>
        <v>228344</v>
      </c>
      <c r="F10" s="126"/>
      <c r="G10" s="113"/>
      <c r="H10" s="126"/>
      <c r="I10" s="113"/>
      <c r="J10" s="126"/>
      <c r="K10" s="113"/>
      <c r="L10" s="126"/>
      <c r="O10" s="211"/>
    </row>
    <row r="11" spans="1:18" ht="15" thickBot="1" x14ac:dyDescent="0.35">
      <c r="A11" s="208" t="s">
        <v>204</v>
      </c>
      <c r="B11" s="214">
        <v>32</v>
      </c>
      <c r="C11" s="214">
        <v>2223</v>
      </c>
      <c r="D11" s="214">
        <v>7249</v>
      </c>
      <c r="F11" s="206" t="s">
        <v>161</v>
      </c>
      <c r="G11" s="113" t="s">
        <v>35</v>
      </c>
      <c r="H11" s="122" t="s">
        <v>192</v>
      </c>
      <c r="I11" s="113" t="s">
        <v>155</v>
      </c>
      <c r="J11" s="122" t="s">
        <v>193</v>
      </c>
      <c r="K11" s="113"/>
      <c r="L11" s="126"/>
    </row>
    <row r="12" spans="1:18" x14ac:dyDescent="0.3">
      <c r="A12" s="212" t="s">
        <v>788</v>
      </c>
      <c r="B12" s="216">
        <v>339713</v>
      </c>
      <c r="C12" s="216">
        <v>237133</v>
      </c>
      <c r="D12" s="216">
        <v>221095</v>
      </c>
      <c r="F12" s="126"/>
      <c r="G12" s="113"/>
      <c r="H12" s="126"/>
      <c r="I12" s="113"/>
      <c r="J12" s="126"/>
      <c r="K12" s="113"/>
      <c r="L12" s="126"/>
    </row>
    <row r="13" spans="1:18" ht="15" thickBot="1" x14ac:dyDescent="0.35">
      <c r="A13" s="208" t="s">
        <v>789</v>
      </c>
      <c r="B13" s="214">
        <v>135885</v>
      </c>
      <c r="C13" s="214">
        <v>100782</v>
      </c>
      <c r="D13" s="214">
        <v>88438</v>
      </c>
      <c r="F13" s="200" t="s">
        <v>186</v>
      </c>
      <c r="G13" s="113" t="s">
        <v>35</v>
      </c>
      <c r="H13" s="136" t="s">
        <v>179</v>
      </c>
      <c r="I13" s="113" t="s">
        <v>155</v>
      </c>
      <c r="J13" s="136" t="s">
        <v>194</v>
      </c>
      <c r="K13" s="113"/>
      <c r="L13" s="113"/>
    </row>
    <row r="14" spans="1:18" ht="15" thickBot="1" x14ac:dyDescent="0.35">
      <c r="A14" s="217" t="s">
        <v>111</v>
      </c>
      <c r="B14" s="218">
        <v>203828</v>
      </c>
      <c r="C14" s="218">
        <v>136351</v>
      </c>
      <c r="D14" s="218">
        <v>132657</v>
      </c>
      <c r="F14" s="126"/>
      <c r="G14" s="113"/>
      <c r="H14" s="126"/>
      <c r="I14" s="113"/>
      <c r="J14" s="126"/>
      <c r="K14" s="113"/>
      <c r="L14" s="113"/>
      <c r="M14" s="220"/>
    </row>
    <row r="15" spans="1:18" ht="15" thickTop="1" x14ac:dyDescent="0.3">
      <c r="F15" s="201" t="s">
        <v>187</v>
      </c>
      <c r="G15" s="113" t="s">
        <v>35</v>
      </c>
      <c r="H15" s="136" t="s">
        <v>171</v>
      </c>
      <c r="I15" s="113" t="s">
        <v>155</v>
      </c>
      <c r="J15" s="136" t="s">
        <v>195</v>
      </c>
      <c r="K15" s="113"/>
      <c r="L15" s="136"/>
    </row>
    <row r="16" spans="1:18" x14ac:dyDescent="0.3">
      <c r="A16" s="207" t="s">
        <v>171</v>
      </c>
      <c r="B16" s="221">
        <v>358075</v>
      </c>
      <c r="F16" s="126"/>
      <c r="G16" s="113"/>
      <c r="H16" s="127"/>
      <c r="I16" s="113"/>
      <c r="J16" s="127">
        <f>B33-C33-B17</f>
        <v>192714</v>
      </c>
      <c r="K16" s="113"/>
      <c r="L16" s="219"/>
    </row>
    <row r="17" spans="1:10" x14ac:dyDescent="0.3">
      <c r="A17" s="207" t="s">
        <v>790</v>
      </c>
      <c r="B17" s="210">
        <f>B14-B16</f>
        <v>-154247</v>
      </c>
    </row>
    <row r="19" spans="1:10" x14ac:dyDescent="0.3">
      <c r="A19" s="146" t="s">
        <v>779</v>
      </c>
      <c r="B19" s="146"/>
      <c r="C19" s="146"/>
      <c r="D19" s="223"/>
    </row>
    <row r="20" spans="1:10" x14ac:dyDescent="0.3">
      <c r="A20" s="146" t="s">
        <v>781</v>
      </c>
      <c r="B20" s="146"/>
      <c r="C20" s="146"/>
      <c r="D20" s="223"/>
    </row>
    <row r="21" spans="1:10" x14ac:dyDescent="0.3">
      <c r="A21" s="207" t="s">
        <v>782</v>
      </c>
      <c r="B21" s="224">
        <v>38984</v>
      </c>
      <c r="C21" s="224">
        <v>38620</v>
      </c>
      <c r="D21" s="224">
        <v>38256</v>
      </c>
    </row>
    <row r="22" spans="1:10" ht="15" thickBot="1" x14ac:dyDescent="0.35">
      <c r="A22" s="225" t="s">
        <v>10</v>
      </c>
      <c r="B22" s="85"/>
      <c r="C22" s="85"/>
      <c r="D22" s="85"/>
      <c r="F22" s="85" t="str">
        <f>YEAR(B21)&amp;" "&amp;$A$23</f>
        <v>2006 Current Assets</v>
      </c>
      <c r="H22" s="85" t="str">
        <f>YEAR(C21)&amp;" "&amp;$A$23</f>
        <v>2005 Current Assets</v>
      </c>
      <c r="J22" s="85" t="str">
        <f>YEAR(D21)&amp;" "&amp;$A$23</f>
        <v>2004 Current Assets</v>
      </c>
    </row>
    <row r="23" spans="1:10" ht="15" thickBot="1" x14ac:dyDescent="0.35">
      <c r="A23" s="226" t="s">
        <v>63</v>
      </c>
      <c r="B23" s="227">
        <v>623981</v>
      </c>
      <c r="C23" s="227">
        <v>672529</v>
      </c>
      <c r="D23" s="227">
        <v>485572</v>
      </c>
      <c r="F23" s="85"/>
      <c r="H23" s="85"/>
      <c r="J23" s="85"/>
    </row>
    <row r="24" spans="1:10" ht="15" thickBot="1" x14ac:dyDescent="0.35">
      <c r="A24" s="228" t="s">
        <v>22</v>
      </c>
      <c r="B24" s="229">
        <v>1419015</v>
      </c>
      <c r="C24" s="229">
        <v>1216767</v>
      </c>
      <c r="D24" s="229">
        <v>1062144</v>
      </c>
    </row>
    <row r="25" spans="1:10" ht="15" thickBot="1" x14ac:dyDescent="0.35">
      <c r="A25" s="230" t="s">
        <v>27</v>
      </c>
      <c r="B25" s="231">
        <f>SUM(B23:B24)</f>
        <v>2042996</v>
      </c>
      <c r="C25" s="231">
        <f>SUM(C23:C24)</f>
        <v>1889296</v>
      </c>
      <c r="D25" s="231">
        <f>SUM(D23:D24)</f>
        <v>1547716</v>
      </c>
    </row>
    <row r="26" spans="1:10" ht="15.6" thickTop="1" thickBot="1" x14ac:dyDescent="0.35">
      <c r="A26" s="225" t="s">
        <v>791</v>
      </c>
      <c r="B26" s="85"/>
      <c r="C26" s="85"/>
      <c r="D26" s="85"/>
    </row>
    <row r="27" spans="1:10" x14ac:dyDescent="0.3">
      <c r="A27" s="228" t="s">
        <v>13</v>
      </c>
      <c r="B27" s="227">
        <v>509770</v>
      </c>
      <c r="C27" s="227">
        <v>418383</v>
      </c>
      <c r="D27" s="227">
        <v>334950</v>
      </c>
    </row>
    <row r="28" spans="1:10" ht="15" thickBot="1" x14ac:dyDescent="0.35">
      <c r="A28" s="228" t="s">
        <v>792</v>
      </c>
      <c r="B28" s="232">
        <v>129083</v>
      </c>
      <c r="C28" s="232">
        <v>105237</v>
      </c>
      <c r="D28" s="232">
        <v>244111</v>
      </c>
    </row>
    <row r="29" spans="1:10" ht="15" thickBot="1" x14ac:dyDescent="0.35">
      <c r="A29" s="217" t="s">
        <v>23</v>
      </c>
      <c r="B29" s="227">
        <f>SUM(B27:B28)</f>
        <v>638853</v>
      </c>
      <c r="C29" s="227">
        <f>SUM(C27:C28)</f>
        <v>523620</v>
      </c>
      <c r="D29" s="227">
        <f>SUM(D27:D28)</f>
        <v>579061</v>
      </c>
    </row>
    <row r="30" spans="1:10" ht="15" thickTop="1" x14ac:dyDescent="0.3">
      <c r="A30" s="233" t="s">
        <v>793</v>
      </c>
      <c r="B30" s="234"/>
      <c r="C30" s="234"/>
      <c r="D30" s="234"/>
    </row>
    <row r="31" spans="1:10" x14ac:dyDescent="0.3">
      <c r="A31" s="235" t="s">
        <v>794</v>
      </c>
      <c r="B31" s="221">
        <v>1054883</v>
      </c>
      <c r="C31" s="221">
        <v>879377</v>
      </c>
      <c r="D31" s="221">
        <v>537160</v>
      </c>
    </row>
    <row r="32" spans="1:10" ht="15" thickBot="1" x14ac:dyDescent="0.35">
      <c r="A32" s="228" t="s">
        <v>26</v>
      </c>
      <c r="B32" s="221">
        <v>349260</v>
      </c>
      <c r="C32" s="221">
        <v>486299</v>
      </c>
      <c r="D32" s="221">
        <v>431495</v>
      </c>
    </row>
    <row r="33" spans="1:4" ht="15" thickBot="1" x14ac:dyDescent="0.35">
      <c r="A33" s="236" t="s">
        <v>795</v>
      </c>
      <c r="B33" s="229">
        <f>SUM(B31:B32)</f>
        <v>1404143</v>
      </c>
      <c r="C33" s="229">
        <f>SUM(C31:C32)</f>
        <v>1365676</v>
      </c>
      <c r="D33" s="229">
        <f>SUM(D31:D32)</f>
        <v>968655</v>
      </c>
    </row>
    <row r="34" spans="1:4" ht="15" thickBot="1" x14ac:dyDescent="0.35">
      <c r="A34" s="217" t="str">
        <f>A33&amp;" and "&amp;A29</f>
        <v>Total Stockholder Equity and Total Liabilities</v>
      </c>
      <c r="B34" s="237">
        <f>SUM(B33,B29)</f>
        <v>2042996</v>
      </c>
      <c r="C34" s="237">
        <f>SUM(C33,C29)</f>
        <v>1889296</v>
      </c>
      <c r="D34" s="237">
        <f>SUM(D33,D29)</f>
        <v>1547716</v>
      </c>
    </row>
    <row r="35" spans="1:4" ht="15" thickTop="1" x14ac:dyDescent="0.3">
      <c r="B35" t="b">
        <f>B34=B25</f>
        <v>1</v>
      </c>
      <c r="C35" t="b">
        <f>C34=C25</f>
        <v>1</v>
      </c>
      <c r="D35" t="b">
        <f>D34=D25</f>
        <v>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5249-441E-4524-9CEC-629127F66216}">
  <sheetPr>
    <tabColor rgb="FFFF0000"/>
  </sheetPr>
  <dimension ref="A1:G16"/>
  <sheetViews>
    <sheetView workbookViewId="0"/>
  </sheetViews>
  <sheetFormatPr defaultRowHeight="14.4" x14ac:dyDescent="0.3"/>
  <cols>
    <col min="1" max="1" width="22.6640625" bestFit="1" customWidth="1"/>
    <col min="2" max="2" width="2.6640625" bestFit="1" customWidth="1"/>
    <col min="3" max="3" width="22.6640625" bestFit="1" customWidth="1"/>
    <col min="4" max="4" width="2.6640625" bestFit="1" customWidth="1"/>
    <col min="5" max="5" width="22.6640625" bestFit="1" customWidth="1"/>
    <col min="6" max="6" width="4.5546875" bestFit="1" customWidth="1"/>
    <col min="7" max="7" width="26.88671875" bestFit="1" customWidth="1"/>
  </cols>
  <sheetData>
    <row r="1" spans="1:7" x14ac:dyDescent="0.3">
      <c r="A1" s="199" t="s">
        <v>151</v>
      </c>
      <c r="B1" s="113" t="s">
        <v>35</v>
      </c>
      <c r="C1" s="200" t="s">
        <v>186</v>
      </c>
      <c r="D1" s="113" t="s">
        <v>37</v>
      </c>
      <c r="E1" s="201" t="s">
        <v>187</v>
      </c>
      <c r="F1" s="131" t="s">
        <v>780</v>
      </c>
      <c r="G1" s="113"/>
    </row>
    <row r="2" spans="1:7" x14ac:dyDescent="0.3">
      <c r="A2" s="126">
        <f>C2+E2</f>
        <v>141547</v>
      </c>
      <c r="B2" s="113"/>
      <c r="C2" s="126">
        <f>A12</f>
        <v>-23814</v>
      </c>
      <c r="D2" s="113"/>
      <c r="E2" s="126">
        <f>A14</f>
        <v>165361</v>
      </c>
      <c r="F2" s="113"/>
      <c r="G2" s="113"/>
    </row>
    <row r="3" spans="1:7" x14ac:dyDescent="0.3">
      <c r="A3" s="199" t="s">
        <v>151</v>
      </c>
      <c r="B3" s="113" t="s">
        <v>35</v>
      </c>
      <c r="C3" s="204" t="s">
        <v>188</v>
      </c>
      <c r="D3" s="113" t="s">
        <v>155</v>
      </c>
      <c r="E3" s="205" t="s">
        <v>156</v>
      </c>
      <c r="F3" s="113" t="s">
        <v>155</v>
      </c>
      <c r="G3" s="206" t="s">
        <v>161</v>
      </c>
    </row>
    <row r="4" spans="1:7" x14ac:dyDescent="0.3">
      <c r="A4" s="126">
        <f>C4-E4-G4</f>
        <v>141547</v>
      </c>
      <c r="B4" s="113"/>
      <c r="C4" s="126">
        <f>A6</f>
        <v>360083</v>
      </c>
      <c r="D4" s="113"/>
      <c r="E4" s="126">
        <f>A8</f>
        <v>358471</v>
      </c>
      <c r="F4" s="113"/>
      <c r="G4" s="126">
        <f>A10</f>
        <v>-139935</v>
      </c>
    </row>
    <row r="5" spans="1:7" x14ac:dyDescent="0.3">
      <c r="A5" s="209" t="s">
        <v>188</v>
      </c>
      <c r="B5" s="113" t="s">
        <v>35</v>
      </c>
      <c r="C5" s="136" t="s">
        <v>189</v>
      </c>
      <c r="D5" s="113" t="s">
        <v>37</v>
      </c>
      <c r="E5" s="136" t="s">
        <v>106</v>
      </c>
      <c r="F5" s="113" t="s">
        <v>155</v>
      </c>
      <c r="G5" s="136" t="s">
        <v>110</v>
      </c>
    </row>
    <row r="6" spans="1:7" x14ac:dyDescent="0.3">
      <c r="A6" s="126">
        <f>C6+E6-G6</f>
        <v>360083</v>
      </c>
      <c r="B6" s="113"/>
      <c r="C6" s="126">
        <f>'WFMI Cash Flows'!B10</f>
        <v>339745</v>
      </c>
      <c r="D6" s="113"/>
      <c r="E6" s="126">
        <f>'WFMI Cash Flows'!B7</f>
        <v>156223</v>
      </c>
      <c r="F6" s="113"/>
      <c r="G6" s="126">
        <f>'WFMI Cash Flows'!B13</f>
        <v>135885</v>
      </c>
    </row>
    <row r="7" spans="1:7" x14ac:dyDescent="0.3">
      <c r="A7" s="205" t="s">
        <v>156</v>
      </c>
      <c r="B7" s="113" t="s">
        <v>35</v>
      </c>
      <c r="C7" s="122" t="s">
        <v>190</v>
      </c>
      <c r="D7" s="113" t="s">
        <v>155</v>
      </c>
      <c r="E7" s="122" t="s">
        <v>191</v>
      </c>
      <c r="F7" s="113" t="s">
        <v>37</v>
      </c>
      <c r="G7" s="122" t="s">
        <v>106</v>
      </c>
    </row>
    <row r="8" spans="1:7" x14ac:dyDescent="0.3">
      <c r="A8" s="126">
        <f>C8-E8+G8</f>
        <v>358471</v>
      </c>
      <c r="B8" s="113"/>
      <c r="C8" s="126">
        <f>'WFMI Cash Flows'!B24</f>
        <v>1419015</v>
      </c>
      <c r="D8" s="113"/>
      <c r="E8" s="126">
        <f>'WFMI Cash Flows'!C24</f>
        <v>1216767</v>
      </c>
      <c r="F8" s="113"/>
      <c r="G8" s="126">
        <f>E6</f>
        <v>156223</v>
      </c>
    </row>
    <row r="9" spans="1:7" x14ac:dyDescent="0.3">
      <c r="A9" s="206" t="s">
        <v>161</v>
      </c>
      <c r="B9" s="113" t="s">
        <v>35</v>
      </c>
      <c r="C9" s="122" t="s">
        <v>192</v>
      </c>
      <c r="D9" s="113" t="s">
        <v>155</v>
      </c>
      <c r="E9" s="122" t="s">
        <v>193</v>
      </c>
      <c r="F9" s="113"/>
      <c r="G9" s="126"/>
    </row>
    <row r="10" spans="1:7" x14ac:dyDescent="0.3">
      <c r="A10" s="126">
        <f>C10-E10</f>
        <v>-139935</v>
      </c>
      <c r="B10" s="113"/>
      <c r="C10" s="126">
        <f>'WFMI Cash Flows'!B23-'WFMI Cash Flows'!B27</f>
        <v>114211</v>
      </c>
      <c r="D10" s="113"/>
      <c r="E10" s="126">
        <f>'WFMI Cash Flows'!C23-'WFMI Cash Flows'!C27</f>
        <v>254146</v>
      </c>
      <c r="F10" s="113"/>
      <c r="G10" s="126"/>
    </row>
    <row r="11" spans="1:7" x14ac:dyDescent="0.3">
      <c r="A11" s="200" t="s">
        <v>186</v>
      </c>
      <c r="B11" s="113" t="s">
        <v>35</v>
      </c>
      <c r="C11" s="136" t="s">
        <v>179</v>
      </c>
      <c r="D11" s="113" t="s">
        <v>155</v>
      </c>
      <c r="E11" s="136" t="s">
        <v>194</v>
      </c>
      <c r="F11" s="113"/>
      <c r="G11" s="113"/>
    </row>
    <row r="12" spans="1:7" x14ac:dyDescent="0.3">
      <c r="A12" s="126">
        <f>C12-E12</f>
        <v>-23814</v>
      </c>
      <c r="B12" s="113"/>
      <c r="C12" s="126">
        <f>'WFMI Cash Flows'!B11</f>
        <v>32</v>
      </c>
      <c r="D12" s="113"/>
      <c r="E12" s="126">
        <f>'WFMI Cash Flows'!B28-'WFMI Cash Flows'!C28</f>
        <v>23846</v>
      </c>
      <c r="F12" s="113"/>
      <c r="G12" s="113"/>
    </row>
    <row r="13" spans="1:7" x14ac:dyDescent="0.3">
      <c r="A13" s="201" t="s">
        <v>187</v>
      </c>
      <c r="B13" s="113" t="s">
        <v>35</v>
      </c>
      <c r="C13" s="136" t="s">
        <v>171</v>
      </c>
      <c r="D13" s="113" t="s">
        <v>155</v>
      </c>
      <c r="E13" s="136" t="s">
        <v>195</v>
      </c>
      <c r="F13" s="113" t="s">
        <v>37</v>
      </c>
      <c r="G13" s="136" t="s">
        <v>796</v>
      </c>
    </row>
    <row r="14" spans="1:7" x14ac:dyDescent="0.3">
      <c r="A14" s="126">
        <f>C14-E14+G14</f>
        <v>165361</v>
      </c>
      <c r="B14" s="113"/>
      <c r="C14" s="127">
        <f>'WFMI Cash Flows'!B16</f>
        <v>358075</v>
      </c>
      <c r="D14" s="113"/>
      <c r="E14" s="127">
        <f>'WFMI Cash Flows'!B33-'WFMI Cash Flows'!C33</f>
        <v>38467</v>
      </c>
      <c r="F14" s="113"/>
      <c r="G14" s="219">
        <f>'WFMI Cash Flows'!B17</f>
        <v>-154247</v>
      </c>
    </row>
    <row r="16" spans="1:7" x14ac:dyDescent="0.3">
      <c r="G16" s="2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Topics</vt:lpstr>
      <vt:lpstr>Assumptions</vt:lpstr>
      <vt:lpstr>Balance Sheet</vt:lpstr>
      <vt:lpstr>Balance Sheet (an)</vt:lpstr>
      <vt:lpstr>BasicBS</vt:lpstr>
      <vt:lpstr>BasicBS (an)</vt:lpstr>
      <vt:lpstr>Working Capital</vt:lpstr>
      <vt:lpstr>Working Capital (an)</vt:lpstr>
      <vt:lpstr>Build BS</vt:lpstr>
      <vt:lpstr>Build BS (an)</vt:lpstr>
      <vt:lpstr>NCS</vt:lpstr>
      <vt:lpstr>NCS (an)</vt:lpstr>
      <vt:lpstr>Liquidity</vt:lpstr>
      <vt:lpstr>Debt v Equity</vt:lpstr>
      <vt:lpstr>Debt</vt:lpstr>
      <vt:lpstr>Market v Book Value</vt:lpstr>
      <vt:lpstr>Show MV and BV</vt:lpstr>
      <vt:lpstr>Show MV and BV (an)</vt:lpstr>
      <vt:lpstr>Income Statement</vt:lpstr>
      <vt:lpstr>Income Statement (an)</vt:lpstr>
      <vt:lpstr>Depreciation</vt:lpstr>
      <vt:lpstr>Depreciation (an)</vt:lpstr>
      <vt:lpstr>Accounting</vt:lpstr>
      <vt:lpstr>Accounting (an)</vt:lpstr>
      <vt:lpstr>Cash Flows</vt:lpstr>
      <vt:lpstr>Cash Flow Identities</vt:lpstr>
      <vt:lpstr>In Class Example</vt:lpstr>
      <vt:lpstr>In Class Example (an)</vt:lpstr>
      <vt:lpstr>Why Debt Good</vt:lpstr>
      <vt:lpstr>Why Debt Good (an)</vt:lpstr>
      <vt:lpstr>Taxes</vt:lpstr>
      <vt:lpstr>Taxes (an)</vt:lpstr>
      <vt:lpstr>2005 C Corporation Tax Rates</vt:lpstr>
      <vt:lpstr>NotInVideo=&gt;</vt:lpstr>
      <vt:lpstr>Dole Example (T)</vt:lpstr>
      <vt:lpstr>Dole Example (an)</vt:lpstr>
      <vt:lpstr>WFMIexample==&gt;&gt;</vt:lpstr>
      <vt:lpstr>SEC Financials</vt:lpstr>
      <vt:lpstr>WFMI Cash Flows</vt:lpstr>
      <vt:lpstr>Cash Flow (an)</vt:lpstr>
      <vt:lpstr>'In Class Example'!Print_Area</vt:lpstr>
      <vt:lpstr>'In Class Example (an)'!Print_Area</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 Public Workstation</dc:creator>
  <cp:lastModifiedBy>Girvin, Michael</cp:lastModifiedBy>
  <dcterms:created xsi:type="dcterms:W3CDTF">2007-09-24T20:42:42Z</dcterms:created>
  <dcterms:modified xsi:type="dcterms:W3CDTF">2025-01-10T00:15:18Z</dcterms:modified>
</cp:coreProperties>
</file>