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35" windowHeight="7620" activeTab="0"/>
  </bookViews>
  <sheets>
    <sheet name="Interest Rates (Ex14,15,16)" sheetId="1" r:id="rId1"/>
    <sheet name="Interest Rates (Ex14,15,16an)" sheetId="2" r:id="rId2"/>
    <sheet name="Ex(17)" sheetId="3" r:id="rId3"/>
    <sheet name="Ex(17an)" sheetId="4" r:id="rId4"/>
    <sheet name="Payday Loans Ex(18)" sheetId="5" r:id="rId5"/>
    <sheet name="Payday Loans Ex(18an)" sheetId="6" r:id="rId6"/>
    <sheet name="Ex(19)" sheetId="7" r:id="rId7"/>
    <sheet name="Ex(19an)" sheetId="8" r:id="rId8"/>
    <sheet name="Ordinary or Due" sheetId="9" r:id="rId9"/>
    <sheet name="Ex(20)" sheetId="10" r:id="rId10"/>
    <sheet name="Ex(20an)" sheetId="11" r:id="rId11"/>
    <sheet name="Ex(21)" sheetId="12" r:id="rId12"/>
    <sheet name="Ex(21an)" sheetId="13" r:id="rId13"/>
    <sheet name="Ex(22)" sheetId="14" r:id="rId14"/>
    <sheet name="Ex(22an)" sheetId="15" r:id="rId15"/>
    <sheet name="Ex(23)" sheetId="16" r:id="rId16"/>
    <sheet name="Ex(23an)" sheetId="17" r:id="rId17"/>
    <sheet name="Ex(24)" sheetId="18" r:id="rId18"/>
    <sheet name="Ex(24an)" sheetId="19" r:id="rId19"/>
    <sheet name="Ex(25)" sheetId="20" r:id="rId20"/>
    <sheet name="Ex(25an)" sheetId="21" r:id="rId21"/>
    <sheet name="Ex(26)" sheetId="22" r:id="rId22"/>
    <sheet name="Ex(26an)" sheetId="23" r:id="rId23"/>
    <sheet name="Ex(27)" sheetId="24" r:id="rId24"/>
    <sheet name="Ex(27an)" sheetId="25" r:id="rId25"/>
    <sheet name="Ex(28&amp;29)" sheetId="26" r:id="rId26"/>
    <sheet name="Ex(28&amp;29an)" sheetId="27" r:id="rId27"/>
    <sheet name="Ex(30)" sheetId="28" r:id="rId28"/>
    <sheet name="Ex(30an)" sheetId="29" r:id="rId29"/>
    <sheet name="Ex(31)" sheetId="30" r:id="rId30"/>
    <sheet name="Ex(31an)" sheetId="31" r:id="rId31"/>
    <sheet name="Ex(32)" sheetId="32" r:id="rId32"/>
    <sheet name="Ex(32an)" sheetId="33" r:id="rId33"/>
    <sheet name="Ex(33)" sheetId="34" r:id="rId34"/>
    <sheet name="Ex(33an)" sheetId="35" r:id="rId35"/>
    <sheet name="Ex(34)" sheetId="36" r:id="rId36"/>
    <sheet name="Ex(34an)" sheetId="37" r:id="rId37"/>
    <sheet name="Ex(35)" sheetId="38" r:id="rId38"/>
    <sheet name="Ex(35an)" sheetId="39" r:id="rId39"/>
    <sheet name="EX(36)DCF" sheetId="40" r:id="rId40"/>
    <sheet name="EX(36an)DCF" sheetId="41" r:id="rId41"/>
    <sheet name="Ex(37)" sheetId="42" r:id="rId42"/>
    <sheet name="Ex(38)" sheetId="43" r:id="rId43"/>
    <sheet name="Ex(38an)" sheetId="44" r:id="rId44"/>
    <sheet name="AmortizationMed-termBusEx(39)" sheetId="45" r:id="rId45"/>
    <sheet name="AmortizationMed-termBusEx(39an)" sheetId="46" r:id="rId46"/>
    <sheet name="AmortizedConsumerLoanEx(40)" sheetId="47" r:id="rId47"/>
    <sheet name="AmortizedConsumerLoanEx(40an)" sheetId="48" r:id="rId48"/>
    <sheet name="Pure Discount Loan Ex(41)" sheetId="49" r:id="rId49"/>
    <sheet name="Pure Discount Loan Ex(41an)" sheetId="50" r:id="rId50"/>
    <sheet name="Balloon PMT Ex(42)" sheetId="51" r:id="rId51"/>
    <sheet name="Balloon PMT Ex(42an)" sheetId="52" r:id="rId52"/>
    <sheet name="Ex((43)" sheetId="53" r:id="rId53"/>
    <sheet name="Ex((43an)" sheetId="54" r:id="rId54"/>
    <sheet name="Homework Template ==&gt;" sheetId="55" r:id="rId55"/>
    <sheet name="STP 5.1" sheetId="56" r:id="rId56"/>
    <sheet name="STP 5.2" sheetId="57" r:id="rId57"/>
    <sheet name="STP 5.3" sheetId="58" r:id="rId58"/>
    <sheet name="STP 5.4" sheetId="59" r:id="rId59"/>
    <sheet name="STP 5.5" sheetId="60" r:id="rId60"/>
    <sheet name="STP 5.6" sheetId="61" r:id="rId61"/>
    <sheet name="Q&amp;P(7)" sheetId="62" r:id="rId62"/>
    <sheet name="Q&amp;P(12)" sheetId="63" r:id="rId63"/>
    <sheet name="Q&amp;P(13)" sheetId="64" r:id="rId64"/>
    <sheet name="Q&amp;P(19)" sheetId="65" r:id="rId65"/>
    <sheet name="Q&amp;P(20)" sheetId="66" r:id="rId66"/>
    <sheet name="Q&amp;P(31)" sheetId="67" r:id="rId67"/>
    <sheet name="Q&amp;P(35)" sheetId="68" r:id="rId68"/>
    <sheet name="Q&amp;P(39)" sheetId="69" r:id="rId69"/>
    <sheet name="Q&amp;P(43)" sheetId="70" r:id="rId70"/>
    <sheet name="Q&amp;P(49)" sheetId="71" r:id="rId71"/>
    <sheet name="Q&amp;P(55)" sheetId="72" r:id="rId72"/>
    <sheet name="Sheet2" sheetId="73" r:id="rId73"/>
    <sheet name="HW solutions ==&gt;" sheetId="74" r:id="rId74"/>
    <sheet name="STP 5.1 (an)" sheetId="75" r:id="rId75"/>
    <sheet name="STP 5.2 (an)" sheetId="76" r:id="rId76"/>
    <sheet name="STP 5.3 (an)" sheetId="77" r:id="rId77"/>
    <sheet name="STP 5.4 (an)" sheetId="78" r:id="rId78"/>
    <sheet name="STP 5.5 (an)" sheetId="79" r:id="rId79"/>
    <sheet name="STP 5.6 (an)" sheetId="80" r:id="rId80"/>
    <sheet name="Q&amp;P(7an)" sheetId="81" r:id="rId81"/>
    <sheet name="Q&amp;P(12an)" sheetId="82" r:id="rId82"/>
    <sheet name="Q&amp;P(13an)" sheetId="83" r:id="rId83"/>
    <sheet name="Q&amp;P(19an)" sheetId="84" r:id="rId84"/>
    <sheet name="Q&amp;P(20an)" sheetId="85" r:id="rId85"/>
    <sheet name="Q&amp;P(31an)" sheetId="86" r:id="rId86"/>
    <sheet name="Q&amp;P(35an)" sheetId="87" r:id="rId87"/>
    <sheet name="Q&amp;P(39an)" sheetId="88" r:id="rId88"/>
    <sheet name="Q&amp;P(43an)" sheetId="89" r:id="rId89"/>
    <sheet name="Q&amp;P(49an)" sheetId="90" r:id="rId90"/>
    <sheet name="Q&amp;P(55an)" sheetId="91" r:id="rId91"/>
    <sheet name="Orgin of functions" sheetId="92" r:id="rId92"/>
  </sheets>
  <definedNames/>
  <calcPr fullCalcOnLoad="1"/>
</workbook>
</file>

<file path=xl/sharedStrings.xml><?xml version="1.0" encoding="utf-8"?>
<sst xmlns="http://schemas.openxmlformats.org/spreadsheetml/2006/main" count="1025" uniqueCount="279">
  <si>
    <t>Example 14:</t>
  </si>
  <si>
    <t>APR = Annual Percentage Rate = i =</t>
  </si>
  <si>
    <t># of Compounding Periods per Year = n =</t>
  </si>
  <si>
    <t>Example 15:</t>
  </si>
  <si>
    <t>n =</t>
  </si>
  <si>
    <t>Monthly Rate =</t>
  </si>
  <si>
    <t>Example 16:</t>
  </si>
  <si>
    <t>APR =</t>
  </si>
  <si>
    <r>
      <t xml:space="preserve">EAR = Effective Annual Rate (Real Rate that has n = 1) = </t>
    </r>
    <r>
      <rPr>
        <b/>
        <sz val="16"/>
        <color indexed="8"/>
        <rFont val="Calibri"/>
        <family val="2"/>
      </rPr>
      <t>(1+i/n)^n - 1</t>
    </r>
  </si>
  <si>
    <r>
      <t xml:space="preserve">APR = Annual Percentage Rate (Required by the Truth-in-lending laws) = </t>
    </r>
    <r>
      <rPr>
        <b/>
        <sz val="16"/>
        <color indexed="8"/>
        <rFont val="Calibri"/>
        <family val="2"/>
      </rPr>
      <t>APR = i = i/n*n</t>
    </r>
    <r>
      <rPr>
        <sz val="11"/>
        <color indexed="8"/>
        <rFont val="Calibri"/>
        <family val="2"/>
      </rPr>
      <t xml:space="preserve"> =</t>
    </r>
  </si>
  <si>
    <r>
      <t xml:space="preserve">Period Rate = </t>
    </r>
    <r>
      <rPr>
        <b/>
        <sz val="16"/>
        <color indexed="8"/>
        <rFont val="Calibri"/>
        <family val="2"/>
      </rPr>
      <t>i/n</t>
    </r>
    <r>
      <rPr>
        <sz val="11"/>
        <color indexed="8"/>
        <rFont val="Calibri"/>
        <family val="2"/>
      </rPr>
      <t xml:space="preserve"> =</t>
    </r>
  </si>
  <si>
    <r>
      <t xml:space="preserve">Note: APR is also called: </t>
    </r>
    <r>
      <rPr>
        <b/>
        <sz val="12"/>
        <color indexed="8"/>
        <rFont val="Calibri"/>
        <family val="2"/>
      </rPr>
      <t>Nominal Rate</t>
    </r>
    <r>
      <rPr>
        <sz val="11"/>
        <color indexed="8"/>
        <rFont val="Calibri"/>
        <family val="2"/>
      </rPr>
      <t>, Quotes Rate, Stated Rate, Annual Interest Rate.</t>
    </r>
  </si>
  <si>
    <t xml:space="preserve"> =(1+C12/C13)^C13-1</t>
  </si>
  <si>
    <t xml:space="preserve"> =EFFECT(C12,C13)</t>
  </si>
  <si>
    <r>
      <t>EAR</t>
    </r>
    <r>
      <rPr>
        <vertAlign val="subscript"/>
        <sz val="11"/>
        <color indexed="8"/>
        <rFont val="Calibri"/>
        <family val="2"/>
      </rPr>
      <t>Excel</t>
    </r>
    <r>
      <rPr>
        <sz val="11"/>
        <color indexed="8"/>
        <rFont val="Calibri"/>
        <family val="2"/>
      </rPr>
      <t xml:space="preserve"> = EFFECT(Nominal_Rate, Npery), where Nominal_Rate = APR = i and Npery = n</t>
    </r>
  </si>
  <si>
    <t>APR = i =</t>
  </si>
  <si>
    <r>
      <t>APR</t>
    </r>
    <r>
      <rPr>
        <vertAlign val="subscript"/>
        <sz val="11"/>
        <color indexed="8"/>
        <rFont val="Calibri"/>
        <family val="2"/>
      </rPr>
      <t>1</t>
    </r>
    <r>
      <rPr>
        <sz val="11"/>
        <color indexed="8"/>
        <rFont val="Calibri"/>
        <family val="2"/>
      </rPr>
      <t xml:space="preserve"> = i =</t>
    </r>
  </si>
  <si>
    <r>
      <t>n</t>
    </r>
    <r>
      <rPr>
        <vertAlign val="subscript"/>
        <sz val="11"/>
        <color indexed="8"/>
        <rFont val="Calibri"/>
        <family val="2"/>
      </rPr>
      <t>1</t>
    </r>
    <r>
      <rPr>
        <sz val="11"/>
        <color indexed="8"/>
        <rFont val="Calibri"/>
        <family val="2"/>
      </rPr>
      <t xml:space="preserve"> =</t>
    </r>
  </si>
  <si>
    <r>
      <t>APR</t>
    </r>
    <r>
      <rPr>
        <vertAlign val="subscript"/>
        <sz val="11"/>
        <color indexed="8"/>
        <rFont val="Calibri"/>
        <family val="2"/>
      </rPr>
      <t>2</t>
    </r>
    <r>
      <rPr>
        <sz val="11"/>
        <color indexed="8"/>
        <rFont val="Calibri"/>
        <family val="2"/>
      </rPr>
      <t xml:space="preserve"> = i =</t>
    </r>
  </si>
  <si>
    <r>
      <t>n</t>
    </r>
    <r>
      <rPr>
        <vertAlign val="subscript"/>
        <sz val="11"/>
        <color indexed="8"/>
        <rFont val="Calibri"/>
        <family val="2"/>
      </rPr>
      <t>2</t>
    </r>
    <r>
      <rPr>
        <sz val="11"/>
        <color indexed="8"/>
        <rFont val="Calibri"/>
        <family val="2"/>
      </rPr>
      <t xml:space="preserve"> =</t>
    </r>
  </si>
  <si>
    <r>
      <t>EAR</t>
    </r>
    <r>
      <rPr>
        <vertAlign val="subscript"/>
        <sz val="11"/>
        <color indexed="8"/>
        <rFont val="Calibri"/>
        <family val="2"/>
      </rPr>
      <t>1</t>
    </r>
  </si>
  <si>
    <r>
      <t>EAR</t>
    </r>
    <r>
      <rPr>
        <vertAlign val="subscript"/>
        <sz val="11"/>
        <color indexed="8"/>
        <rFont val="Calibri"/>
        <family val="2"/>
      </rPr>
      <t>2</t>
    </r>
  </si>
  <si>
    <t>MoneyTreeLoaning will:</t>
  </si>
  <si>
    <t>What is the APR and EAR?</t>
  </si>
  <si>
    <t>Days in Future =</t>
  </si>
  <si>
    <t>Check Amount =</t>
  </si>
  <si>
    <t>You get Today =</t>
  </si>
  <si>
    <t>Days in Year =</t>
  </si>
  <si>
    <t>EAR =</t>
  </si>
  <si>
    <t>FV</t>
  </si>
  <si>
    <t>PV</t>
  </si>
  <si>
    <t>If the EAR is 14.5% and you know that the number of compounding periods per year are 2, what is the APR?</t>
  </si>
  <si>
    <t>PMT =</t>
  </si>
  <si>
    <t>Due = 1, Ordinary = 0</t>
  </si>
  <si>
    <t>FV =</t>
  </si>
  <si>
    <t>x =</t>
  </si>
  <si>
    <t>x -1 =</t>
  </si>
  <si>
    <t>Relationship between Ordinary Annuity and Annuity Due:</t>
  </si>
  <si>
    <t>Annuity Due value (at total periods = n - 1) + one extra payment at the end = Ordinary Annuity value (at total periods = n)</t>
  </si>
  <si>
    <t>Annuity Due value = Ordinary Annuity * (1 + i/n)</t>
  </si>
  <si>
    <t>Ordinary Annuity * (1 + i/n) =</t>
  </si>
  <si>
    <t>Annuity Due value (at total periods = n - 1) + one extra payment at the end</t>
  </si>
  <si>
    <t>Ordinary Annuity value (at total periods = n)</t>
  </si>
  <si>
    <t>Annuity Due value</t>
  </si>
  <si>
    <t>Begin</t>
  </si>
  <si>
    <t>End, but it would have to sit in the account one extra period to be equal to an Annuity Due</t>
  </si>
  <si>
    <t>Equal Payments Made At Equal Time Intervals = PMT =</t>
  </si>
  <si>
    <t>We could solve this by taking the FV of each value and then adding them up:</t>
  </si>
  <si>
    <t>FV = PMT*((1+i/n)^(i*n)-1)/(i/n) =</t>
  </si>
  <si>
    <t>0 for Ordinary Annuity, or, 1 for Annuity Due</t>
  </si>
  <si>
    <t>FV = FV(i/n,n*x,PMT,,0 or 1) =</t>
  </si>
  <si>
    <t>Ordinary FV factor (from Tables) = ((1+i/n)^(i*n)-1)/(i/n) =</t>
  </si>
  <si>
    <t>Total Interest Earned =</t>
  </si>
  <si>
    <t>Difference between Ordinary and Due =</t>
  </si>
  <si>
    <t>Words:</t>
  </si>
  <si>
    <t>Monthly PMT =</t>
  </si>
  <si>
    <t xml:space="preserve">x = </t>
  </si>
  <si>
    <t>n for account is =</t>
  </si>
  <si>
    <t>Solve for EAR first =</t>
  </si>
  <si>
    <t>check</t>
  </si>
  <si>
    <t>n for PMT =</t>
  </si>
  <si>
    <t>Then from APR (i), find period Rate ==&gt;</t>
  </si>
  <si>
    <t>Then from EAR, find APR (i) ==&gt;</t>
  </si>
  <si>
    <t>Type= 0 or 1 ==&gt;</t>
  </si>
  <si>
    <t>But what if we invest cash flows that are not equal in amount?</t>
  </si>
  <si>
    <t>Time</t>
  </si>
  <si>
    <t>Cash Flow</t>
  </si>
  <si>
    <t>Exponent</t>
  </si>
  <si>
    <t>FV amount for Cash Flow</t>
  </si>
  <si>
    <t>FV Factor</t>
  </si>
  <si>
    <t>i/n =</t>
  </si>
  <si>
    <t>n*x</t>
  </si>
  <si>
    <t>Ordinary = 0, Due = 1</t>
  </si>
  <si>
    <t>If I want to be a millionaire given the below investment data, how much should I invest at the end of each period?</t>
  </si>
  <si>
    <t>Savings Plan for Daughter's college:</t>
  </si>
  <si>
    <t>i =</t>
  </si>
  <si>
    <t>FV check</t>
  </si>
  <si>
    <t>Inverse check</t>
  </si>
  <si>
    <t>PV =</t>
  </si>
  <si>
    <t>The long way:</t>
  </si>
  <si>
    <t>Amount</t>
  </si>
  <si>
    <t>Age now =</t>
  </si>
  <si>
    <t>Age when you retire =</t>
  </si>
  <si>
    <t>Total Paid out =</t>
  </si>
  <si>
    <t>Total Interest Received =</t>
  </si>
  <si>
    <t>Total Received =</t>
  </si>
  <si>
    <t>with ROUNDING:</t>
  </si>
  <si>
    <t>Solve for Future Value =</t>
  </si>
  <si>
    <t>Total Paid in =</t>
  </si>
  <si>
    <t>i = Discount Rate =</t>
  </si>
  <si>
    <t>i = APR (or Discount Rate)</t>
  </si>
  <si>
    <t>i = APR =</t>
  </si>
  <si>
    <t xml:space="preserve">n = </t>
  </si>
  <si>
    <t>What is you monthly mortgage payment given the following financial details:</t>
  </si>
  <si>
    <t>Age when you got get PMT any more =</t>
  </si>
  <si>
    <t>Loan amount = PV =</t>
  </si>
  <si>
    <t xml:space="preserve">n </t>
  </si>
  <si>
    <t>APR = i/n*n =</t>
  </si>
  <si>
    <t>Given the below financial details for a loan, what is the APR and EAR?</t>
  </si>
  <si>
    <t xml:space="preserve"> =RATE(B5*B4,-B3,B2,,0)</t>
  </si>
  <si>
    <t xml:space="preserve"> =EFFECT(B7,B5*B4)</t>
  </si>
  <si>
    <t xml:space="preserve"> =(1+B7/B5)^B5-1</t>
  </si>
  <si>
    <t>Balance = PV =</t>
  </si>
  <si>
    <t>Minimum Monthly PMT =</t>
  </si>
  <si>
    <t>How long to pay off your credit Card if you pay only the minimum PMT required?</t>
  </si>
  <si>
    <t>n*x = NPER function =</t>
  </si>
  <si>
    <t>x = n*x/n =</t>
  </si>
  <si>
    <t>Perpetuity (consol) = Annuity where cash flow continues forever (Preferred Stock is considered a perpetuity)</t>
  </si>
  <si>
    <t>Quarterly Dividend = PMT =</t>
  </si>
  <si>
    <t>Quarterly Discount Rate =</t>
  </si>
  <si>
    <t>PV of Perpetuity = PMT/(i/n) =</t>
  </si>
  <si>
    <t>Price for machine =</t>
  </si>
  <si>
    <t>Net Cash Flow Year 0</t>
  </si>
  <si>
    <t>Net Cash Flow Year 1</t>
  </si>
  <si>
    <t>Net Cash Flow Year 2</t>
  </si>
  <si>
    <t>Net Cash Flow Year 3</t>
  </si>
  <si>
    <t>Net Cash Flow Year 4</t>
  </si>
  <si>
    <t>Net Cash Flow Year 5</t>
  </si>
  <si>
    <t>Net Cash Flow Year 6</t>
  </si>
  <si>
    <t>Net Cash Flow Year 7</t>
  </si>
  <si>
    <t>Net Cash Flow Year 8</t>
  </si>
  <si>
    <t>Net Cash Flow Year 9</t>
  </si>
  <si>
    <t>Net Cash Flow Year 10</t>
  </si>
  <si>
    <t>NPV</t>
  </si>
  <si>
    <t>Discount Rate = Cost of Capital =</t>
  </si>
  <si>
    <t>Should be buy a machine if it has the following net cash flows for the next 10 years?</t>
  </si>
  <si>
    <t>If NPV &gt; Price, then yes!</t>
  </si>
  <si>
    <t>see handout</t>
  </si>
  <si>
    <t>Borrow = PV =</t>
  </si>
  <si>
    <t xml:space="preserve">i = </t>
  </si>
  <si>
    <t>Interest Only Loans (Corporate Bonds):</t>
  </si>
  <si>
    <t>Semiannual Interest =</t>
  </si>
  <si>
    <t>Interest Paid</t>
  </si>
  <si>
    <t>Principal Paid</t>
  </si>
  <si>
    <t>Loan</t>
  </si>
  <si>
    <t>Annual rate</t>
  </si>
  <si>
    <t>Periodic Rate</t>
  </si>
  <si>
    <t>Years</t>
  </si>
  <si>
    <t>Payment periods per year</t>
  </si>
  <si>
    <t>Total Periods</t>
  </si>
  <si>
    <t>Period PMT</t>
  </si>
  <si>
    <t>Periods</t>
  </si>
  <si>
    <t>Periodic Interest Payment</t>
  </si>
  <si>
    <t>Principal Repayment</t>
  </si>
  <si>
    <t>Principal Balance</t>
  </si>
  <si>
    <t>Repayment of Loan</t>
  </si>
  <si>
    <t>Implicit Periodic Interest
(Tax Advantage = Interest*Marginal Rate==&gt; Actual cash flow = Interest*(1-tax rate))</t>
  </si>
  <si>
    <t>Original Loan</t>
  </si>
  <si>
    <t>Annual Rate</t>
  </si>
  <si>
    <t>Number
Compound
per year</t>
  </si>
  <si>
    <t>Pay off loan after how many years:</t>
  </si>
  <si>
    <t>PV = Loan =</t>
  </si>
  <si>
    <t>i/n</t>
  </si>
  <si>
    <t>x*n =</t>
  </si>
  <si>
    <t>PMT</t>
  </si>
  <si>
    <t>Balance</t>
  </si>
  <si>
    <t>Total Paid</t>
  </si>
  <si>
    <t>Total Interest</t>
  </si>
  <si>
    <t>Price =</t>
  </si>
  <si>
    <t>Down =</t>
  </si>
  <si>
    <t>&lt;== this amount is due</t>
  </si>
  <si>
    <t>http://www2.odn.ne.jp/excel/functioninenglish.html</t>
  </si>
  <si>
    <t>Npery is truncated to an integer.</t>
  </si>
  <si>
    <t>If either argument is nonnumeric, EFFECT returns the #VALUE! error value.</t>
  </si>
  <si>
    <t>If nominal_rate ≤ 0 or if npery &lt; 1, EFFECT returns the #NUM! error value.</t>
  </si>
  <si>
    <t>EFFECT is calculated as follows:</t>
  </si>
  <si>
    <t>Excel Help:</t>
  </si>
  <si>
    <t>&lt;== correct because math formula does not truncate to an integer</t>
  </si>
  <si>
    <t>&lt;== Incorrect because the EFFECT function truncates npery to an integer</t>
  </si>
  <si>
    <t>They say contract worth:</t>
  </si>
  <si>
    <t>Cash Flow Time 0</t>
  </si>
  <si>
    <t>Cash Flow Time 1</t>
  </si>
  <si>
    <t>Cash Flow Time 2</t>
  </si>
  <si>
    <t>Cash Flow Time 3</t>
  </si>
  <si>
    <t>Discount Rate =</t>
  </si>
  <si>
    <t>PV of each Amount</t>
  </si>
  <si>
    <t>NPV function</t>
  </si>
  <si>
    <t xml:space="preserve"> =NPV(B2,B5:B14)</t>
  </si>
  <si>
    <t>Key is to not include Time 0 value. From Excel Help: "Value1, value2, ... must be equally spaced in time and occur at the end of each period."</t>
  </si>
  <si>
    <t>Interest Rate = Discount Rate = i = APR =</t>
  </si>
  <si>
    <t>Periods that amount grows</t>
  </si>
  <si>
    <t>New Bal.</t>
  </si>
  <si>
    <t>Periods Left</t>
  </si>
  <si>
    <t>Values for NPV</t>
  </si>
  <si>
    <t>Method 1</t>
  </si>
  <si>
    <t>Method 2</t>
  </si>
  <si>
    <t>Totals</t>
  </si>
  <si>
    <r>
      <t xml:space="preserve">Key is to not include Time 0 value. From Excel: "Value1, value2, ... must be equally spaced in time and occur at the </t>
    </r>
    <r>
      <rPr>
        <b/>
        <u val="single"/>
        <sz val="11"/>
        <color indexed="8"/>
        <rFont val="Calibri"/>
        <family val="2"/>
      </rPr>
      <t>end</t>
    </r>
    <r>
      <rPr>
        <sz val="11"/>
        <color indexed="8"/>
        <rFont val="Calibri"/>
        <family val="2"/>
      </rPr>
      <t xml:space="preserve"> of each period."
Also:
Cash Flows are Opposite to other Financial Functions.</t>
    </r>
  </si>
  <si>
    <r>
      <t xml:space="preserve">Key is to not include Time 0 value. From Excel: "Value1, value2, ... must be equally spaced in time and occur at the </t>
    </r>
    <r>
      <rPr>
        <b/>
        <u val="single"/>
        <sz val="11"/>
        <color indexed="8"/>
        <rFont val="Calibri"/>
        <family val="2"/>
      </rPr>
      <t>end</t>
    </r>
    <r>
      <rPr>
        <sz val="11"/>
        <color indexed="8"/>
        <rFont val="Calibri"/>
        <family val="2"/>
      </rPr>
      <t xml:space="preserve"> of each period."
Also:
Cash Flows are Opposite to other Financial Functions.</t>
    </r>
  </si>
  <si>
    <t>Ex 1</t>
  </si>
  <si>
    <t>Cash Flows and the NPV function</t>
  </si>
  <si>
    <t>check PV of FV</t>
  </si>
  <si>
    <t>Cash Flow (out (+) and in (-) of wallet)</t>
  </si>
  <si>
    <t>Cash Flows for NPV are 1) Into Investment is +, 2) Out of Investment is -</t>
  </si>
  <si>
    <t>Return = Discount Rate =</t>
  </si>
  <si>
    <t>Type =</t>
  </si>
  <si>
    <t>What is the Max that we will pay (If price is less than or equal to, we will buy) = PV =</t>
  </si>
  <si>
    <t>Principal = PV =</t>
  </si>
  <si>
    <t>n* x =</t>
  </si>
  <si>
    <t>Cost = PV =</t>
  </si>
  <si>
    <t>Total Payments = n*x =</t>
  </si>
  <si>
    <t>x = (n*x)/n =</t>
  </si>
  <si>
    <t>Cost</t>
  </si>
  <si>
    <t>Down</t>
  </si>
  <si>
    <t>Down %</t>
  </si>
  <si>
    <t>EAR</t>
  </si>
  <si>
    <t>APR</t>
  </si>
  <si>
    <t>n</t>
  </si>
  <si>
    <t>Price</t>
  </si>
  <si>
    <t>Price = PV =</t>
  </si>
  <si>
    <t>APR = I =</t>
  </si>
  <si>
    <t>Total Periods = n*x =</t>
  </si>
  <si>
    <t>Intro Rate =</t>
  </si>
  <si>
    <t>Intro Rate Length =</t>
  </si>
  <si>
    <t>months</t>
  </si>
  <si>
    <t>Regular Rate =</t>
  </si>
  <si>
    <t>Regular Rate n =</t>
  </si>
  <si>
    <t>Start Balance = PV =</t>
  </si>
  <si>
    <t>Months in year</t>
  </si>
  <si>
    <t>Intro Rate i/n =</t>
  </si>
  <si>
    <t>Total Interest Paid =</t>
  </si>
  <si>
    <t>Salary Arrangement 1</t>
  </si>
  <si>
    <t>Salary Arrangement 2</t>
  </si>
  <si>
    <t>Current Cash Paid =</t>
  </si>
  <si>
    <t>n*x =</t>
  </si>
  <si>
    <t>Type = 1 or 0 =</t>
  </si>
  <si>
    <t>Because the cash flows are at different points in time, in order to compare them, we must bring all cash flows to the same point in time so that we can compare them. It does not matter whether you use PV or FV, both will lead to the same conclusion.</t>
  </si>
  <si>
    <t>Difference</t>
  </si>
  <si>
    <t>Select the Bigger Amount</t>
  </si>
  <si>
    <t>Type = 0 or 1 =</t>
  </si>
  <si>
    <t>I = APR =</t>
  </si>
  <si>
    <t>n*x = NPER =</t>
  </si>
  <si>
    <t>x = n*x/x =</t>
  </si>
  <si>
    <t>years</t>
  </si>
  <si>
    <t>estimate check:</t>
  </si>
  <si>
    <t>estimate FV check</t>
  </si>
  <si>
    <t>Buy:</t>
  </si>
  <si>
    <t>New Warehouse</t>
  </si>
  <si>
    <t>Loan % =</t>
  </si>
  <si>
    <t>Loan Amount =</t>
  </si>
  <si>
    <t>i/n = RATE =</t>
  </si>
  <si>
    <t>We cannot use a math formula to check for this because the exponent is greater than 5. We must use trial and error, Excel, or a Financial calculator.</t>
  </si>
  <si>
    <t>Time Now =</t>
  </si>
  <si>
    <t>Time of First Payment =</t>
  </si>
  <si>
    <t>Time of Last Payment =</t>
  </si>
  <si>
    <t>x for investment =</t>
  </si>
  <si>
    <t>Time 0</t>
  </si>
  <si>
    <t>Time 1</t>
  </si>
  <si>
    <t>Time 2</t>
  </si>
  <si>
    <t>Time 3</t>
  </si>
  <si>
    <t>Time 4</t>
  </si>
  <si>
    <t>Time 5</t>
  </si>
  <si>
    <t>Time 6</t>
  </si>
  <si>
    <t>Time 7</t>
  </si>
  <si>
    <t>Time 8</t>
  </si>
  <si>
    <t>Time 9</t>
  </si>
  <si>
    <t>Time 10</t>
  </si>
  <si>
    <t>Time 11</t>
  </si>
  <si>
    <t>Time 12</t>
  </si>
  <si>
    <t>Time 13</t>
  </si>
  <si>
    <t>Time 14</t>
  </si>
  <si>
    <t>Time 15</t>
  </si>
  <si>
    <t>Time 16</t>
  </si>
  <si>
    <t>Time 17</t>
  </si>
  <si>
    <t>Time 18</t>
  </si>
  <si>
    <t>Time 19</t>
  </si>
  <si>
    <t>Time 20</t>
  </si>
  <si>
    <t>NPV =</t>
  </si>
  <si>
    <t>Ordinary = end of period</t>
  </si>
  <si>
    <t>Total Years =</t>
  </si>
  <si>
    <t>&lt;== this is the hard thing to figure out for this problem</t>
  </si>
  <si>
    <t>Total Interest =</t>
  </si>
  <si>
    <t>Interest Paid in Third Year =</t>
  </si>
  <si>
    <t>Principal Reduction</t>
  </si>
  <si>
    <t>Period Rate = i/n =</t>
  </si>
  <si>
    <t>Investment will pay PMT (example: Debt instrument) in Future =</t>
  </si>
  <si>
    <t>When cash flows occur at different times, it does not make sense to say that they are worth a certain amount. Why? Because of the time value of money. The only way that you can say what a series of cash flows are worth is to either calculate the Present Value or the Future Value, so that all the cash flows are at one point in Time</t>
  </si>
  <si>
    <t>Amount Received</t>
  </si>
  <si>
    <t>Type</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</si>
</sst>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
    <numFmt numFmtId="166" formatCode="0.000%"/>
    <numFmt numFmtId="167" formatCode="0.0000%"/>
    <numFmt numFmtId="168" formatCode="0.00000%"/>
    <numFmt numFmtId="169" formatCode="0.000000%"/>
    <numFmt numFmtId="170" formatCode="0.0000000%"/>
    <numFmt numFmtId="171" formatCode="[$-409]dddd\,\ mmmm\ dd\,\ yyyy"/>
    <numFmt numFmtId="172" formatCode="[$-409]h:mm:ss\ AM/PM"/>
    <numFmt numFmtId="173" formatCode="&quot;Yes&quot;;&quot;Yes&quot;;&quot;No&quot;"/>
    <numFmt numFmtId="174" formatCode="&quot;True&quot;;&quot;True&quot;;&quot;False&quot;"/>
    <numFmt numFmtId="175" formatCode="&quot;On&quot;;&quot;On&quot;;&quot;Off&quot;"/>
    <numFmt numFmtId="176" formatCode="[$€-2]\ #,##0.00_);[Red]\([$€-2]\ #,##0.00\)"/>
    <numFmt numFmtId="177" formatCode="0.0000000"/>
    <numFmt numFmtId="178" formatCode="&quot;$&quot;#,##0.000_);[Red]\(&quot;$&quot;#,##0.000\)"/>
    <numFmt numFmtId="179" formatCode="&quot;$&quot;#,##0.0000_);[Red]\(&quot;$&quot;#,##0.0000\)"/>
    <numFmt numFmtId="180" formatCode="&quot;$&quot;#,##0.00000_);[Red]\(&quot;$&quot;#,##0.00000\)"/>
    <numFmt numFmtId="181" formatCode="&quot;$&quot;#,##0.000000_);[Red]\(&quot;$&quot;#,##0.000000\)"/>
    <numFmt numFmtId="182" formatCode="&quot;$&quot;#,##0.0000000_);[Red]\(&quot;$&quot;#,##0.0000000\)"/>
    <numFmt numFmtId="183" formatCode="0.000"/>
    <numFmt numFmtId="184" formatCode="0.0000"/>
    <numFmt numFmtId="185" formatCode="0.00000"/>
    <numFmt numFmtId="186" formatCode="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0000000000000000"/>
    <numFmt numFmtId="197" formatCode="0.000000000000000000"/>
    <numFmt numFmtId="198" formatCode="0.0000000000000000000"/>
    <numFmt numFmtId="199" formatCode="0.00000000000000000000"/>
    <numFmt numFmtId="200" formatCode="0.000000000000000000000"/>
    <numFmt numFmtId="201" formatCode="0.0000000000000000000000"/>
    <numFmt numFmtId="202" formatCode="0.0"/>
    <numFmt numFmtId="203" formatCode="_(&quot;$&quot;* #,##0.000_);_(&quot;$&quot;* \(#,##0.000\);_(&quot;$&quot;* &quot;-&quot;??_);_(@_)"/>
    <numFmt numFmtId="204" formatCode="_(&quot;$&quot;* #,##0.0000_);_(&quot;$&quot;* \(#,##0.0000\);_(&quot;$&quot;* &quot;-&quot;??_);_(@_)"/>
    <numFmt numFmtId="205" formatCode="_(&quot;$&quot;* #,##0.0000_);_(&quot;$&quot;* \(#,##0.0000\);_(&quot;$&quot;* &quot;-&quot;????_);_(@_)"/>
    <numFmt numFmtId="206" formatCode="&quot;$&quot;#,##0.00"/>
    <numFmt numFmtId="207" formatCode="0.00000000000000000000000"/>
    <numFmt numFmtId="208" formatCode="0.000000000000000000000000"/>
    <numFmt numFmtId="209" formatCode="0.0000000000000000000000000"/>
    <numFmt numFmtId="210" formatCode="0.00000000000000000000000000"/>
    <numFmt numFmtId="211" formatCode="0.000000000000000000000000000"/>
    <numFmt numFmtId="212" formatCode="0.0000000000000000000000000000"/>
    <numFmt numFmtId="213" formatCode="0.00000000000000000000000000000"/>
    <numFmt numFmtId="214" formatCode="0.000000000000000000000000000000"/>
    <numFmt numFmtId="215" formatCode="0.0000000000000000000000000000000"/>
    <numFmt numFmtId="216" formatCode="0.00000000000000000000000000000000"/>
    <numFmt numFmtId="217" formatCode="0.000000000000000000000000000000000"/>
    <numFmt numFmtId="218" formatCode="0.0000000000000000000000000000000000"/>
  </numFmts>
  <fonts count="32">
    <font>
      <sz val="11"/>
      <color indexed="8"/>
      <name val="Calibri"/>
      <family val="2"/>
    </font>
    <font>
      <b/>
      <sz val="12"/>
      <color indexed="8"/>
      <name val="Calibri"/>
      <family val="2"/>
    </font>
    <font>
      <b/>
      <sz val="16"/>
      <color indexed="8"/>
      <name val="Calibri"/>
      <family val="2"/>
    </font>
    <font>
      <vertAlign val="subscript"/>
      <sz val="11"/>
      <color indexed="8"/>
      <name val="Calibri"/>
      <family val="2"/>
    </font>
    <font>
      <sz val="10"/>
      <name val="Arial"/>
      <family val="0"/>
    </font>
    <font>
      <sz val="16"/>
      <name val="Arial"/>
      <family val="2"/>
    </font>
    <font>
      <sz val="10"/>
      <color indexed="9"/>
      <name val="Arial"/>
      <family val="2"/>
    </font>
    <font>
      <sz val="13.2"/>
      <name val="Arial"/>
      <family val="2"/>
    </font>
    <font>
      <b/>
      <u val="single"/>
      <sz val="11"/>
      <color indexed="8"/>
      <name val="Calibri"/>
      <family val="2"/>
    </font>
    <font>
      <sz val="11"/>
      <name val="Calibri"/>
      <family val="2"/>
    </font>
    <font>
      <sz val="13.2"/>
      <color indexed="63"/>
      <name val="Arial"/>
      <family val="2"/>
    </font>
    <font>
      <sz val="20"/>
      <color indexed="8"/>
      <name val="Calibri"/>
      <family val="2"/>
    </font>
    <font>
      <sz val="11"/>
      <color indexed="9"/>
      <name val="Calibri"/>
      <family val="2"/>
    </font>
    <font>
      <sz val="8"/>
      <name val="Calibri"/>
      <family val="2"/>
    </font>
    <font>
      <u val="single"/>
      <sz val="11"/>
      <color indexed="36"/>
      <name val="Calibri"/>
      <family val="2"/>
    </font>
    <font>
      <sz val="11"/>
      <color indexed="30"/>
      <name val="Calibri"/>
      <family val="2"/>
    </font>
    <font>
      <sz val="11"/>
      <color indexed="20"/>
      <name val="Calibri"/>
      <family val="2"/>
    </font>
    <font>
      <b/>
      <sz val="11"/>
      <color indexed="52"/>
      <name val="Calibri"/>
      <family val="2"/>
    </font>
    <font>
      <b/>
      <sz val="11"/>
      <color indexed="30"/>
      <name val="Calibri"/>
      <family val="2"/>
    </font>
    <font>
      <i/>
      <sz val="11"/>
      <color indexed="23"/>
      <name val="Calibri"/>
      <family val="2"/>
    </font>
    <font>
      <sz val="11"/>
      <color indexed="17"/>
      <name val="Calibri"/>
      <family val="2"/>
    </font>
    <font>
      <b/>
      <sz val="15"/>
      <color indexed="12"/>
      <name val="Calibri"/>
      <family val="2"/>
    </font>
    <font>
      <b/>
      <sz val="13"/>
      <color indexed="12"/>
      <name val="Calibri"/>
      <family val="2"/>
    </font>
    <font>
      <b/>
      <sz val="11"/>
      <color indexed="1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12"/>
      <name val="Cambria"/>
      <family val="2"/>
    </font>
    <font>
      <b/>
      <sz val="11"/>
      <color indexed="8"/>
      <name val="Calibri"/>
      <family val="2"/>
    </font>
    <font>
      <sz val="11"/>
      <color indexed="10"/>
      <name val="Calibri"/>
      <family val="2"/>
    </font>
  </fonts>
  <fills count="22">
    <fill>
      <patternFill/>
    </fill>
    <fill>
      <patternFill patternType="gray125"/>
    </fill>
    <fill>
      <patternFill patternType="solid">
        <fgColor indexed="15"/>
        <bgColor indexed="64"/>
      </patternFill>
    </fill>
    <fill>
      <patternFill patternType="solid">
        <fgColor indexed="26"/>
        <bgColor indexed="64"/>
      </patternFill>
    </fill>
    <fill>
      <patternFill patternType="solid">
        <fgColor indexed="9"/>
        <bgColor indexed="64"/>
      </patternFill>
    </fill>
    <fill>
      <patternFill patternType="solid">
        <fgColor indexed="14"/>
        <bgColor indexed="64"/>
      </patternFill>
    </fill>
    <fill>
      <patternFill patternType="solid">
        <fgColor indexed="31"/>
        <bgColor indexed="64"/>
      </patternFill>
    </fill>
    <fill>
      <patternFill patternType="solid">
        <fgColor indexed="43"/>
        <bgColor indexed="64"/>
      </patternFill>
    </fill>
    <fill>
      <patternFill patternType="solid">
        <fgColor indexed="42"/>
        <bgColor indexed="64"/>
      </patternFill>
    </fill>
    <fill>
      <patternFill patternType="solid">
        <fgColor indexed="24"/>
        <bgColor indexed="64"/>
      </patternFill>
    </fill>
    <fill>
      <patternFill patternType="solid">
        <fgColor indexed="11"/>
        <bgColor indexed="64"/>
      </patternFill>
    </fill>
    <fill>
      <patternFill patternType="solid">
        <fgColor indexed="13"/>
        <bgColor indexed="64"/>
      </patternFill>
    </fill>
    <fill>
      <patternFill patternType="solid">
        <fgColor indexed="51"/>
        <bgColor indexed="64"/>
      </patternFill>
    </fill>
    <fill>
      <patternFill patternType="solid">
        <fgColor indexed="44"/>
        <bgColor indexed="64"/>
      </patternFill>
    </fill>
    <fill>
      <patternFill patternType="solid">
        <fgColor indexed="12"/>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7"/>
        <bgColor indexed="64"/>
      </patternFill>
    </fill>
    <fill>
      <patternFill patternType="solid">
        <fgColor indexed="29"/>
        <bgColor indexed="64"/>
      </patternFill>
    </fill>
    <fill>
      <patternFill patternType="solid">
        <fgColor indexed="30"/>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13"/>
      </bottom>
    </border>
    <border>
      <left>
        <color indexed="63"/>
      </left>
      <right>
        <color indexed="63"/>
      </right>
      <top>
        <color indexed="63"/>
      </top>
      <bottom style="thick">
        <color indexed="11"/>
      </bottom>
    </border>
    <border>
      <left>
        <color indexed="63"/>
      </left>
      <right>
        <color indexed="63"/>
      </right>
      <top>
        <color indexed="63"/>
      </top>
      <bottom style="medium">
        <color indexed="11"/>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13"/>
      </top>
      <bottom style="double">
        <color indexed="1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medium"/>
      <bottom style="double"/>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2"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8" borderId="0" applyNumberFormat="0" applyBorder="0" applyAlignment="0" applyProtection="0"/>
    <xf numFmtId="0" fontId="0" fillId="5" borderId="0" applyNumberFormat="0" applyBorder="0" applyAlignment="0" applyProtection="0"/>
    <xf numFmtId="0" fontId="0"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4" borderId="0" applyNumberFormat="0" applyBorder="0" applyAlignment="0" applyProtection="0"/>
    <xf numFmtId="0" fontId="15" fillId="8" borderId="0" applyNumberFormat="0" applyBorder="0" applyAlignment="0" applyProtection="0"/>
    <xf numFmtId="0" fontId="15" fillId="5"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4" borderId="0" applyNumberFormat="0" applyBorder="0" applyAlignment="0" applyProtection="0"/>
    <xf numFmtId="0" fontId="15" fillId="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7" fillId="16" borderId="1" applyNumberFormat="0" applyAlignment="0" applyProtection="0"/>
    <xf numFmtId="0" fontId="18"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0" fontId="19" fillId="0" borderId="0" applyNumberFormat="0" applyFill="0" applyBorder="0" applyAlignment="0" applyProtection="0"/>
    <xf numFmtId="0" fontId="14" fillId="0" borderId="0" applyNumberFormat="0" applyFill="0" applyBorder="0" applyAlignment="0" applyProtection="0"/>
    <xf numFmtId="0" fontId="20" fillId="8"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18" borderId="1" applyNumberFormat="0" applyAlignment="0" applyProtection="0"/>
    <xf numFmtId="0" fontId="26" fillId="0" borderId="6" applyNumberFormat="0" applyFill="0" applyAlignment="0" applyProtection="0"/>
    <xf numFmtId="0" fontId="27" fillId="7" borderId="0" applyNumberFormat="0" applyBorder="0" applyAlignment="0" applyProtection="0"/>
    <xf numFmtId="0" fontId="4" fillId="0" borderId="0">
      <alignment/>
      <protection/>
    </xf>
    <xf numFmtId="0" fontId="4" fillId="0" borderId="0">
      <alignment/>
      <protection/>
    </xf>
    <xf numFmtId="0" fontId="0" fillId="3" borderId="7" applyNumberFormat="0" applyFont="0" applyAlignment="0" applyProtection="0"/>
    <xf numFmtId="0" fontId="28" fillId="1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174">
    <xf numFmtId="0" fontId="0" fillId="0" borderId="0" xfId="0" applyAlignment="1">
      <alignment/>
    </xf>
    <xf numFmtId="0" fontId="0" fillId="8" borderId="10" xfId="0" applyFill="1" applyBorder="1" applyAlignment="1">
      <alignment/>
    </xf>
    <xf numFmtId="0" fontId="0" fillId="0" borderId="0" xfId="0" applyAlignment="1">
      <alignment wrapText="1"/>
    </xf>
    <xf numFmtId="0" fontId="0" fillId="19" borderId="11" xfId="0" applyFill="1" applyBorder="1" applyAlignment="1">
      <alignment/>
    </xf>
    <xf numFmtId="0" fontId="0" fillId="0" borderId="10" xfId="0" applyBorder="1" applyAlignment="1">
      <alignment wrapText="1"/>
    </xf>
    <xf numFmtId="0" fontId="0" fillId="0" borderId="10" xfId="0" applyBorder="1" applyAlignment="1">
      <alignment/>
    </xf>
    <xf numFmtId="0" fontId="0" fillId="11" borderId="10" xfId="0" applyFill="1" applyBorder="1" applyAlignment="1">
      <alignment horizontal="centerContinuous" wrapText="1"/>
    </xf>
    <xf numFmtId="10" fontId="0" fillId="8" borderId="10" xfId="62" applyNumberFormat="1" applyFont="1" applyFill="1" applyBorder="1" applyAlignment="1">
      <alignment horizontal="centerContinuous" wrapText="1"/>
    </xf>
    <xf numFmtId="0" fontId="0" fillId="8" borderId="10" xfId="0" applyFill="1" applyBorder="1" applyAlignment="1">
      <alignment horizontal="centerContinuous" wrapText="1"/>
    </xf>
    <xf numFmtId="10" fontId="0" fillId="0" borderId="10" xfId="0" applyNumberFormat="1" applyBorder="1" applyAlignment="1">
      <alignment/>
    </xf>
    <xf numFmtId="0" fontId="0" fillId="8" borderId="11" xfId="0" applyFill="1" applyBorder="1" applyAlignment="1">
      <alignment/>
    </xf>
    <xf numFmtId="0" fontId="0" fillId="0" borderId="12" xfId="0" applyBorder="1" applyAlignment="1">
      <alignment/>
    </xf>
    <xf numFmtId="0" fontId="0" fillId="0" borderId="13" xfId="0" applyBorder="1" applyAlignment="1">
      <alignment/>
    </xf>
    <xf numFmtId="10" fontId="9" fillId="8" borderId="11" xfId="62" applyNumberFormat="1" applyFont="1" applyFill="1" applyBorder="1" applyAlignment="1">
      <alignment horizontal="centerContinuous" wrapText="1"/>
    </xf>
    <xf numFmtId="0" fontId="9" fillId="8" borderId="14" xfId="0" applyFont="1" applyFill="1" applyBorder="1" applyAlignment="1">
      <alignment horizontal="centerContinuous" wrapText="1"/>
    </xf>
    <xf numFmtId="0" fontId="9" fillId="8" borderId="15" xfId="0" applyFont="1" applyFill="1" applyBorder="1" applyAlignment="1">
      <alignment horizontal="centerContinuous" wrapText="1"/>
    </xf>
    <xf numFmtId="165" fontId="0" fillId="0" borderId="0" xfId="0" applyNumberFormat="1" applyAlignment="1">
      <alignment/>
    </xf>
    <xf numFmtId="2" fontId="0" fillId="8" borderId="10" xfId="0" applyNumberFormat="1" applyFill="1" applyBorder="1" applyAlignment="1">
      <alignment/>
    </xf>
    <xf numFmtId="165" fontId="0" fillId="8" borderId="10" xfId="63" applyNumberFormat="1" applyFont="1" applyFill="1" applyBorder="1" applyAlignment="1">
      <alignment/>
    </xf>
    <xf numFmtId="0" fontId="0" fillId="11" borderId="16" xfId="0" applyFill="1" applyBorder="1" applyAlignment="1">
      <alignment horizontal="centerContinuous" wrapText="1"/>
    </xf>
    <xf numFmtId="0" fontId="0" fillId="8" borderId="10" xfId="0" applyNumberFormat="1" applyFill="1" applyBorder="1" applyAlignment="1">
      <alignment/>
    </xf>
    <xf numFmtId="0" fontId="4" fillId="0" borderId="0" xfId="58">
      <alignment/>
      <protection/>
    </xf>
    <xf numFmtId="10" fontId="4" fillId="0" borderId="10" xfId="58" applyNumberFormat="1" applyBorder="1">
      <alignment/>
      <protection/>
    </xf>
    <xf numFmtId="0" fontId="4" fillId="0" borderId="10" xfId="58" applyBorder="1">
      <alignment/>
      <protection/>
    </xf>
    <xf numFmtId="0" fontId="4" fillId="0" borderId="0" xfId="58" applyBorder="1">
      <alignment/>
      <protection/>
    </xf>
    <xf numFmtId="8" fontId="4" fillId="0" borderId="10" xfId="58" applyNumberFormat="1" applyBorder="1">
      <alignment/>
      <protection/>
    </xf>
    <xf numFmtId="0" fontId="4" fillId="0" borderId="0" xfId="58" applyAlignment="1">
      <alignment wrapText="1"/>
      <protection/>
    </xf>
    <xf numFmtId="0" fontId="4" fillId="0" borderId="10" xfId="58" applyBorder="1" applyAlignment="1">
      <alignment horizontal="right"/>
      <protection/>
    </xf>
    <xf numFmtId="0" fontId="4" fillId="0" borderId="10" xfId="58" applyFont="1" applyBorder="1">
      <alignment/>
      <protection/>
    </xf>
    <xf numFmtId="0" fontId="4" fillId="8" borderId="10" xfId="58" applyFill="1" applyBorder="1" applyAlignment="1">
      <alignment horizontal="centerContinuous" wrapText="1"/>
      <protection/>
    </xf>
    <xf numFmtId="0" fontId="0" fillId="0" borderId="0" xfId="0" applyBorder="1" applyAlignment="1">
      <alignment/>
    </xf>
    <xf numFmtId="0" fontId="4" fillId="0" borderId="0" xfId="58" applyBorder="1" applyAlignment="1">
      <alignment wrapText="1"/>
      <protection/>
    </xf>
    <xf numFmtId="0" fontId="4" fillId="0" borderId="0" xfId="58" applyFont="1" applyBorder="1">
      <alignment/>
      <protection/>
    </xf>
    <xf numFmtId="8" fontId="4" fillId="0" borderId="0" xfId="58" applyNumberFormat="1" applyBorder="1">
      <alignment/>
      <protection/>
    </xf>
    <xf numFmtId="0" fontId="4" fillId="0" borderId="12" xfId="58" applyBorder="1">
      <alignment/>
      <protection/>
    </xf>
    <xf numFmtId="0" fontId="4" fillId="8" borderId="12" xfId="58" applyFill="1" applyBorder="1" applyAlignment="1">
      <alignment horizontal="centerContinuous" wrapText="1"/>
      <protection/>
    </xf>
    <xf numFmtId="0" fontId="5" fillId="11" borderId="10" xfId="58" applyFont="1" applyFill="1" applyBorder="1" applyAlignment="1">
      <alignment horizontal="centerContinuous" wrapText="1"/>
      <protection/>
    </xf>
    <xf numFmtId="0" fontId="4" fillId="0" borderId="10" xfId="58" applyBorder="1" applyAlignment="1">
      <alignment horizontal="left"/>
      <protection/>
    </xf>
    <xf numFmtId="0" fontId="4" fillId="0" borderId="12" xfId="58" applyBorder="1" applyAlignment="1">
      <alignment horizontal="left"/>
      <protection/>
    </xf>
    <xf numFmtId="0" fontId="4" fillId="8" borderId="10" xfId="58" applyFont="1" applyFill="1" applyBorder="1" applyAlignment="1">
      <alignment horizontal="centerContinuous" wrapText="1"/>
      <protection/>
    </xf>
    <xf numFmtId="0" fontId="0" fillId="0" borderId="17" xfId="0" applyBorder="1" applyAlignment="1">
      <alignment/>
    </xf>
    <xf numFmtId="0" fontId="0" fillId="8" borderId="16" xfId="0" applyFill="1" applyBorder="1" applyAlignment="1">
      <alignment/>
    </xf>
    <xf numFmtId="0" fontId="0" fillId="0" borderId="0" xfId="0" applyFill="1" applyBorder="1" applyAlignment="1">
      <alignment wrapText="1"/>
    </xf>
    <xf numFmtId="0" fontId="0" fillId="11" borderId="15" xfId="0" applyFill="1" applyBorder="1" applyAlignment="1">
      <alignment horizontal="centerContinuous" wrapText="1"/>
    </xf>
    <xf numFmtId="0" fontId="0" fillId="19" borderId="10" xfId="0" applyFill="1" applyBorder="1" applyAlignment="1">
      <alignment/>
    </xf>
    <xf numFmtId="0" fontId="0" fillId="0" borderId="10" xfId="0" applyFill="1" applyBorder="1" applyAlignment="1">
      <alignment wrapText="1"/>
    </xf>
    <xf numFmtId="8" fontId="0" fillId="8" borderId="10" xfId="0" applyNumberFormat="1" applyFill="1" applyBorder="1" applyAlignment="1">
      <alignment/>
    </xf>
    <xf numFmtId="44" fontId="0" fillId="8" borderId="10" xfId="44" applyFont="1" applyFill="1" applyBorder="1" applyAlignment="1">
      <alignment/>
    </xf>
    <xf numFmtId="0" fontId="0" fillId="8" borderId="11" xfId="0" applyFill="1" applyBorder="1" applyAlignment="1">
      <alignment horizontal="centerContinuous" wrapText="1"/>
    </xf>
    <xf numFmtId="0" fontId="0" fillId="8" borderId="14" xfId="0" applyFill="1" applyBorder="1" applyAlignment="1">
      <alignment horizontal="centerContinuous" wrapText="1"/>
    </xf>
    <xf numFmtId="0" fontId="0" fillId="8" borderId="15" xfId="0" applyFill="1" applyBorder="1" applyAlignment="1">
      <alignment horizontal="centerContinuous" wrapText="1"/>
    </xf>
    <xf numFmtId="177" fontId="0" fillId="0" borderId="0" xfId="0" applyNumberFormat="1" applyAlignment="1">
      <alignment/>
    </xf>
    <xf numFmtId="8" fontId="0" fillId="0" borderId="0" xfId="0" applyNumberFormat="1" applyAlignment="1">
      <alignment/>
    </xf>
    <xf numFmtId="0" fontId="0" fillId="0" borderId="10" xfId="0" applyFill="1" applyBorder="1" applyAlignment="1">
      <alignment/>
    </xf>
    <xf numFmtId="43" fontId="0" fillId="0" borderId="10" xfId="42" applyFont="1" applyFill="1" applyBorder="1" applyAlignment="1">
      <alignment/>
    </xf>
    <xf numFmtId="43" fontId="0" fillId="0" borderId="16" xfId="42" applyFont="1" applyFill="1" applyBorder="1" applyAlignment="1">
      <alignment/>
    </xf>
    <xf numFmtId="43" fontId="0" fillId="0" borderId="17" xfId="42" applyFont="1" applyBorder="1" applyAlignment="1">
      <alignment/>
    </xf>
    <xf numFmtId="43" fontId="0" fillId="0" borderId="10" xfId="42" applyFont="1" applyBorder="1" applyAlignment="1">
      <alignment/>
    </xf>
    <xf numFmtId="170" fontId="0" fillId="8" borderId="10" xfId="0" applyNumberFormat="1" applyFill="1" applyBorder="1" applyAlignment="1">
      <alignment/>
    </xf>
    <xf numFmtId="43" fontId="0" fillId="0" borderId="16" xfId="42" applyFont="1" applyBorder="1" applyAlignment="1">
      <alignment/>
    </xf>
    <xf numFmtId="8" fontId="0" fillId="0" borderId="10" xfId="0" applyNumberFormat="1" applyBorder="1" applyAlignment="1">
      <alignment/>
    </xf>
    <xf numFmtId="8" fontId="0" fillId="0" borderId="0" xfId="0" applyNumberFormat="1" applyAlignment="1">
      <alignment wrapText="1"/>
    </xf>
    <xf numFmtId="179" fontId="0" fillId="0" borderId="17" xfId="0" applyNumberFormat="1" applyBorder="1" applyAlignment="1">
      <alignment/>
    </xf>
    <xf numFmtId="179" fontId="0" fillId="8" borderId="10" xfId="0" applyNumberFormat="1" applyFill="1" applyBorder="1" applyAlignment="1">
      <alignment/>
    </xf>
    <xf numFmtId="179" fontId="0" fillId="8" borderId="16" xfId="0" applyNumberFormat="1" applyFill="1" applyBorder="1" applyAlignment="1">
      <alignment/>
    </xf>
    <xf numFmtId="0" fontId="0" fillId="8" borderId="18" xfId="0" applyFill="1" applyBorder="1" applyAlignment="1">
      <alignment horizontal="centerContinuous" wrapText="1"/>
    </xf>
    <xf numFmtId="188" fontId="0" fillId="0" borderId="10" xfId="0" applyNumberFormat="1" applyBorder="1" applyAlignment="1">
      <alignment/>
    </xf>
    <xf numFmtId="201" fontId="0" fillId="8" borderId="10" xfId="0" applyNumberFormat="1" applyFill="1" applyBorder="1" applyAlignment="1">
      <alignment/>
    </xf>
    <xf numFmtId="44" fontId="0" fillId="8" borderId="10" xfId="44" applyNumberFormat="1" applyFont="1" applyFill="1" applyBorder="1" applyAlignment="1">
      <alignment/>
    </xf>
    <xf numFmtId="8" fontId="0" fillId="8" borderId="10" xfId="44" applyNumberFormat="1" applyFont="1" applyFill="1" applyBorder="1" applyAlignment="1">
      <alignment/>
    </xf>
    <xf numFmtId="8" fontId="0" fillId="0" borderId="10" xfId="44" applyNumberFormat="1" applyFont="1" applyFill="1" applyBorder="1" applyAlignment="1">
      <alignment/>
    </xf>
    <xf numFmtId="0" fontId="0" fillId="11" borderId="14" xfId="0" applyFill="1" applyBorder="1" applyAlignment="1">
      <alignment horizontal="centerContinuous" wrapText="1"/>
    </xf>
    <xf numFmtId="8" fontId="0" fillId="8" borderId="16" xfId="0" applyNumberFormat="1" applyFill="1" applyBorder="1" applyAlignment="1">
      <alignment/>
    </xf>
    <xf numFmtId="0" fontId="0" fillId="0" borderId="19" xfId="0" applyFill="1" applyBorder="1" applyAlignment="1">
      <alignment/>
    </xf>
    <xf numFmtId="8" fontId="0" fillId="0" borderId="20" xfId="0" applyNumberFormat="1" applyBorder="1" applyAlignment="1">
      <alignment/>
    </xf>
    <xf numFmtId="43" fontId="0" fillId="8" borderId="10" xfId="42" applyFont="1" applyFill="1" applyBorder="1" applyAlignment="1">
      <alignment/>
    </xf>
    <xf numFmtId="43" fontId="0" fillId="0" borderId="0" xfId="42" applyFont="1" applyAlignment="1">
      <alignment/>
    </xf>
    <xf numFmtId="43" fontId="0" fillId="8" borderId="16" xfId="42" applyFont="1" applyFill="1" applyBorder="1" applyAlignment="1">
      <alignment/>
    </xf>
    <xf numFmtId="8" fontId="0" fillId="8" borderId="10" xfId="42" applyNumberFormat="1" applyFont="1" applyFill="1" applyBorder="1" applyAlignment="1">
      <alignment/>
    </xf>
    <xf numFmtId="43" fontId="0" fillId="0" borderId="12" xfId="42" applyFont="1" applyBorder="1" applyAlignment="1">
      <alignment/>
    </xf>
    <xf numFmtId="164" fontId="0" fillId="0" borderId="10" xfId="62" applyNumberFormat="1" applyFont="1" applyBorder="1" applyAlignment="1">
      <alignment/>
    </xf>
    <xf numFmtId="10" fontId="0" fillId="0" borderId="10" xfId="62" applyNumberFormat="1" applyFont="1" applyBorder="1" applyAlignment="1">
      <alignment/>
    </xf>
    <xf numFmtId="0" fontId="0" fillId="11" borderId="11" xfId="0" applyFill="1" applyBorder="1" applyAlignment="1">
      <alignment horizontal="centerContinuous" wrapText="1"/>
    </xf>
    <xf numFmtId="0" fontId="0" fillId="11" borderId="21" xfId="0" applyFill="1" applyBorder="1" applyAlignment="1">
      <alignment horizontal="centerContinuous" wrapText="1"/>
    </xf>
    <xf numFmtId="0" fontId="0" fillId="11" borderId="22" xfId="0" applyFill="1" applyBorder="1" applyAlignment="1">
      <alignment horizontal="centerContinuous" wrapText="1"/>
    </xf>
    <xf numFmtId="0" fontId="0" fillId="0" borderId="13" xfId="0" applyFill="1" applyBorder="1" applyAlignment="1">
      <alignment/>
    </xf>
    <xf numFmtId="0" fontId="0" fillId="11" borderId="10" xfId="0" applyFill="1" applyBorder="1" applyAlignment="1">
      <alignment/>
    </xf>
    <xf numFmtId="4" fontId="0" fillId="0" borderId="10" xfId="0" applyNumberFormat="1" applyBorder="1" applyAlignment="1">
      <alignment/>
    </xf>
    <xf numFmtId="0" fontId="6" fillId="14" borderId="10" xfId="59" applyFont="1" applyFill="1" applyBorder="1">
      <alignment/>
      <protection/>
    </xf>
    <xf numFmtId="0" fontId="4" fillId="0" borderId="10" xfId="59" applyBorder="1">
      <alignment/>
      <protection/>
    </xf>
    <xf numFmtId="0" fontId="4" fillId="0" borderId="0" xfId="59">
      <alignment/>
      <protection/>
    </xf>
    <xf numFmtId="8" fontId="4" fillId="0" borderId="10" xfId="59" applyNumberFormat="1" applyBorder="1">
      <alignment/>
      <protection/>
    </xf>
    <xf numFmtId="0" fontId="4" fillId="11" borderId="10" xfId="59" applyFill="1" applyBorder="1" applyAlignment="1">
      <alignment horizontal="centerContinuous" wrapText="1"/>
      <protection/>
    </xf>
    <xf numFmtId="8" fontId="4" fillId="8" borderId="10" xfId="59" applyNumberFormat="1" applyFill="1" applyBorder="1">
      <alignment/>
      <protection/>
    </xf>
    <xf numFmtId="0" fontId="4" fillId="8" borderId="10" xfId="59" applyFill="1" applyBorder="1">
      <alignment/>
      <protection/>
    </xf>
    <xf numFmtId="43" fontId="0" fillId="0" borderId="10" xfId="0" applyNumberFormat="1" applyBorder="1" applyAlignment="1">
      <alignment/>
    </xf>
    <xf numFmtId="0" fontId="0" fillId="11" borderId="10" xfId="0" applyFill="1" applyBorder="1" applyAlignment="1">
      <alignment wrapText="1"/>
    </xf>
    <xf numFmtId="206" fontId="4" fillId="11" borderId="10" xfId="59" applyNumberFormat="1" applyFill="1" applyBorder="1" applyProtection="1">
      <alignment/>
      <protection locked="0"/>
    </xf>
    <xf numFmtId="10" fontId="4" fillId="11" borderId="10" xfId="59" applyNumberFormat="1" applyFill="1" applyBorder="1" applyProtection="1">
      <alignment/>
      <protection locked="0"/>
    </xf>
    <xf numFmtId="0" fontId="4" fillId="11" borderId="10" xfId="59" applyFill="1" applyBorder="1" applyProtection="1">
      <alignment/>
      <protection locked="0"/>
    </xf>
    <xf numFmtId="206" fontId="4" fillId="0" borderId="0" xfId="59" applyNumberFormat="1">
      <alignment/>
      <protection/>
    </xf>
    <xf numFmtId="0" fontId="4" fillId="0" borderId="0" xfId="59" applyAlignment="1">
      <alignment wrapText="1"/>
      <protection/>
    </xf>
    <xf numFmtId="0" fontId="6" fillId="14" borderId="10" xfId="59" applyFont="1" applyFill="1" applyBorder="1" applyAlignment="1" applyProtection="1">
      <alignment wrapText="1"/>
      <protection locked="0"/>
    </xf>
    <xf numFmtId="0" fontId="6" fillId="14" borderId="10" xfId="59" applyFont="1" applyFill="1" applyBorder="1" applyAlignment="1">
      <alignment wrapText="1"/>
      <protection/>
    </xf>
    <xf numFmtId="0" fontId="4" fillId="0" borderId="10" xfId="59" applyBorder="1" applyProtection="1">
      <alignment/>
      <protection locked="0"/>
    </xf>
    <xf numFmtId="43" fontId="4" fillId="0" borderId="10" xfId="59" applyNumberFormat="1" applyBorder="1">
      <alignment/>
      <protection/>
    </xf>
    <xf numFmtId="0" fontId="6" fillId="14" borderId="10" xfId="59" applyFont="1" applyFill="1" applyBorder="1" applyProtection="1">
      <alignment/>
      <protection locked="0"/>
    </xf>
    <xf numFmtId="206" fontId="4" fillId="0" borderId="10" xfId="59" applyNumberFormat="1" applyBorder="1">
      <alignment/>
      <protection/>
    </xf>
    <xf numFmtId="8" fontId="4" fillId="11" borderId="10" xfId="59" applyNumberFormat="1" applyFill="1" applyBorder="1" applyProtection="1">
      <alignment/>
      <protection locked="0"/>
    </xf>
    <xf numFmtId="9" fontId="4" fillId="0" borderId="0" xfId="59" applyNumberFormat="1">
      <alignment/>
      <protection/>
    </xf>
    <xf numFmtId="206" fontId="4" fillId="7" borderId="10" xfId="59" applyNumberFormat="1" applyFont="1" applyFill="1" applyBorder="1">
      <alignment/>
      <protection/>
    </xf>
    <xf numFmtId="206" fontId="4" fillId="0" borderId="10" xfId="59" applyNumberFormat="1" applyFont="1" applyBorder="1">
      <alignment/>
      <protection/>
    </xf>
    <xf numFmtId="0" fontId="6" fillId="14" borderId="10" xfId="0" applyFont="1" applyFill="1" applyBorder="1" applyAlignment="1">
      <alignment/>
    </xf>
    <xf numFmtId="206" fontId="0" fillId="0" borderId="10" xfId="0" applyNumberFormat="1" applyBorder="1" applyAlignment="1">
      <alignment/>
    </xf>
    <xf numFmtId="0" fontId="6" fillId="14" borderId="10" xfId="0" applyFont="1" applyFill="1" applyBorder="1" applyAlignment="1">
      <alignment wrapText="1"/>
    </xf>
    <xf numFmtId="43" fontId="0" fillId="8" borderId="10" xfId="0" applyNumberFormat="1" applyFill="1" applyBorder="1" applyAlignment="1">
      <alignment/>
    </xf>
    <xf numFmtId="43" fontId="4" fillId="8" borderId="10" xfId="59" applyNumberFormat="1" applyFill="1" applyBorder="1">
      <alignment/>
      <protection/>
    </xf>
    <xf numFmtId="206" fontId="4" fillId="8" borderId="10" xfId="59" applyNumberFormat="1" applyFill="1" applyBorder="1">
      <alignment/>
      <protection/>
    </xf>
    <xf numFmtId="206" fontId="0" fillId="8" borderId="10" xfId="0" applyNumberFormat="1" applyFill="1" applyBorder="1" applyAlignment="1">
      <alignment/>
    </xf>
    <xf numFmtId="0" fontId="24" fillId="0" borderId="0" xfId="54" applyAlignment="1" applyProtection="1">
      <alignment/>
      <protection/>
    </xf>
    <xf numFmtId="0" fontId="10" fillId="0" borderId="0" xfId="0" applyFont="1" applyAlignment="1">
      <alignment horizontal="left" indent="1"/>
    </xf>
    <xf numFmtId="0" fontId="7" fillId="11" borderId="0" xfId="0" applyFont="1" applyFill="1" applyAlignment="1">
      <alignment horizontal="left" indent="1"/>
    </xf>
    <xf numFmtId="0" fontId="9" fillId="11" borderId="0" xfId="0" applyFont="1" applyFill="1" applyAlignment="1">
      <alignment/>
    </xf>
    <xf numFmtId="0" fontId="7" fillId="0" borderId="0" xfId="0" applyFont="1" applyFill="1" applyAlignment="1">
      <alignment horizontal="left" indent="1"/>
    </xf>
    <xf numFmtId="0" fontId="9" fillId="0" borderId="0" xfId="0" applyFont="1" applyFill="1" applyAlignment="1">
      <alignment/>
    </xf>
    <xf numFmtId="2" fontId="0" fillId="0" borderId="10" xfId="0" applyNumberFormat="1" applyFill="1" applyBorder="1" applyAlignment="1">
      <alignment/>
    </xf>
    <xf numFmtId="2" fontId="0" fillId="0" borderId="0" xfId="0" applyNumberFormat="1" applyAlignment="1">
      <alignment/>
    </xf>
    <xf numFmtId="0" fontId="11" fillId="0" borderId="0" xfId="0" applyFont="1" applyAlignment="1">
      <alignment/>
    </xf>
    <xf numFmtId="4" fontId="0" fillId="0" borderId="0" xfId="0" applyNumberFormat="1" applyAlignment="1">
      <alignment/>
    </xf>
    <xf numFmtId="0" fontId="0" fillId="19" borderId="10" xfId="0" applyFill="1" applyBorder="1" applyAlignment="1">
      <alignment horizontal="centerContinuous" wrapText="1"/>
    </xf>
    <xf numFmtId="0" fontId="4" fillId="19" borderId="10" xfId="59" applyFill="1" applyBorder="1" applyAlignment="1">
      <alignment horizontal="centerContinuous" wrapText="1"/>
      <protection/>
    </xf>
    <xf numFmtId="0" fontId="0" fillId="19" borderId="15" xfId="0" applyFill="1" applyBorder="1" applyAlignment="1">
      <alignment horizontal="centerContinuous" wrapText="1"/>
    </xf>
    <xf numFmtId="0" fontId="12" fillId="20" borderId="10" xfId="0" applyFont="1" applyFill="1" applyBorder="1" applyAlignment="1">
      <alignment horizontal="centerContinuous" wrapText="1"/>
    </xf>
    <xf numFmtId="0" fontId="12" fillId="20" borderId="0" xfId="0" applyFont="1" applyFill="1" applyBorder="1" applyAlignment="1">
      <alignment horizontal="centerContinuous" wrapText="1"/>
    </xf>
    <xf numFmtId="8" fontId="0" fillId="11" borderId="10" xfId="0" applyNumberFormat="1" applyFill="1" applyBorder="1" applyAlignment="1">
      <alignment/>
    </xf>
    <xf numFmtId="0" fontId="0" fillId="0" borderId="16" xfId="0" applyBorder="1" applyAlignment="1">
      <alignment/>
    </xf>
    <xf numFmtId="0" fontId="0" fillId="0" borderId="16" xfId="0" applyBorder="1" applyAlignment="1">
      <alignment wrapText="1"/>
    </xf>
    <xf numFmtId="0" fontId="0" fillId="0" borderId="10" xfId="0" applyNumberFormat="1" applyBorder="1" applyAlignment="1">
      <alignment/>
    </xf>
    <xf numFmtId="0" fontId="0" fillId="0" borderId="16" xfId="0" applyNumberFormat="1" applyBorder="1" applyAlignment="1">
      <alignment/>
    </xf>
    <xf numFmtId="8" fontId="0" fillId="0" borderId="16" xfId="0" applyNumberFormat="1" applyBorder="1" applyAlignment="1">
      <alignment/>
    </xf>
    <xf numFmtId="0" fontId="0" fillId="19" borderId="10" xfId="0" applyFont="1" applyFill="1" applyBorder="1" applyAlignment="1">
      <alignment horizontal="centerContinuous" wrapText="1"/>
    </xf>
    <xf numFmtId="0" fontId="12" fillId="20" borderId="10" xfId="0" applyFont="1" applyFill="1" applyBorder="1" applyAlignment="1">
      <alignment/>
    </xf>
    <xf numFmtId="0" fontId="0" fillId="0" borderId="17" xfId="0" applyBorder="1" applyAlignment="1">
      <alignment/>
    </xf>
    <xf numFmtId="8" fontId="9" fillId="8" borderId="10" xfId="0" applyNumberFormat="1" applyFont="1" applyFill="1" applyBorder="1" applyAlignment="1">
      <alignment/>
    </xf>
    <xf numFmtId="4" fontId="9" fillId="8" borderId="10" xfId="0" applyNumberFormat="1" applyFont="1" applyFill="1" applyBorder="1" applyAlignment="1">
      <alignment/>
    </xf>
    <xf numFmtId="4" fontId="9" fillId="8" borderId="16" xfId="0" applyNumberFormat="1" applyFont="1" applyFill="1" applyBorder="1" applyAlignment="1">
      <alignment/>
    </xf>
    <xf numFmtId="8" fontId="9" fillId="8" borderId="17" xfId="0" applyNumberFormat="1" applyFont="1" applyFill="1" applyBorder="1" applyAlignment="1">
      <alignment/>
    </xf>
    <xf numFmtId="4" fontId="9" fillId="8" borderId="17" xfId="0" applyNumberFormat="1" applyFont="1" applyFill="1" applyBorder="1" applyAlignment="1">
      <alignment/>
    </xf>
    <xf numFmtId="4" fontId="0" fillId="8" borderId="10" xfId="0" applyNumberFormat="1" applyFill="1" applyBorder="1" applyAlignment="1">
      <alignment/>
    </xf>
    <xf numFmtId="10" fontId="0" fillId="0" borderId="10" xfId="62" applyNumberFormat="1" applyFont="1" applyBorder="1" applyAlignment="1">
      <alignment/>
    </xf>
    <xf numFmtId="10" fontId="0" fillId="8" borderId="10" xfId="62" applyNumberFormat="1" applyFont="1" applyFill="1" applyBorder="1" applyAlignment="1">
      <alignment/>
    </xf>
    <xf numFmtId="167" fontId="0" fillId="0" borderId="10" xfId="62" applyNumberFormat="1" applyFont="1" applyBorder="1" applyAlignment="1">
      <alignment/>
    </xf>
    <xf numFmtId="167" fontId="0" fillId="0" borderId="10" xfId="62" applyNumberFormat="1" applyFont="1" applyBorder="1" applyAlignment="1">
      <alignment/>
    </xf>
    <xf numFmtId="0" fontId="0" fillId="0" borderId="11" xfId="0" applyBorder="1" applyAlignment="1">
      <alignment/>
    </xf>
    <xf numFmtId="0" fontId="0" fillId="21" borderId="10" xfId="0" applyFill="1" applyBorder="1" applyAlignment="1">
      <alignment horizontal="centerContinuous" wrapText="1"/>
    </xf>
    <xf numFmtId="177" fontId="0" fillId="8" borderId="10" xfId="0" applyNumberFormat="1" applyFill="1" applyBorder="1" applyAlignment="1">
      <alignment/>
    </xf>
    <xf numFmtId="0" fontId="0" fillId="0" borderId="18" xfId="0" applyBorder="1" applyAlignment="1">
      <alignment horizontal="left"/>
    </xf>
    <xf numFmtId="0" fontId="0" fillId="0" borderId="12" xfId="0" applyBorder="1" applyAlignment="1">
      <alignment horizontal="left"/>
    </xf>
    <xf numFmtId="0" fontId="0" fillId="0" borderId="23" xfId="0" applyBorder="1" applyAlignment="1">
      <alignment horizontal="left"/>
    </xf>
    <xf numFmtId="0" fontId="0" fillId="0" borderId="24" xfId="0" applyBorder="1" applyAlignment="1">
      <alignment/>
    </xf>
    <xf numFmtId="0" fontId="0" fillId="0" borderId="16" xfId="0" applyBorder="1" applyAlignment="1">
      <alignment horizontal="left"/>
    </xf>
    <xf numFmtId="0" fontId="0" fillId="0" borderId="21" xfId="0" applyBorder="1" applyAlignment="1">
      <alignment horizontal="left"/>
    </xf>
    <xf numFmtId="0" fontId="0" fillId="0" borderId="15" xfId="0" applyBorder="1" applyAlignment="1">
      <alignment/>
    </xf>
    <xf numFmtId="0" fontId="12" fillId="14" borderId="10" xfId="0" applyFont="1" applyFill="1" applyBorder="1" applyAlignment="1">
      <alignment/>
    </xf>
    <xf numFmtId="0" fontId="0" fillId="0" borderId="17" xfId="0" applyBorder="1" applyAlignment="1">
      <alignment wrapText="1"/>
    </xf>
    <xf numFmtId="2" fontId="0" fillId="0" borderId="10" xfId="42" applyNumberFormat="1" applyFont="1" applyBorder="1" applyAlignment="1">
      <alignment/>
    </xf>
    <xf numFmtId="2" fontId="0" fillId="8" borderId="10" xfId="42" applyNumberFormat="1" applyFont="1" applyFill="1" applyBorder="1" applyAlignment="1">
      <alignment/>
    </xf>
    <xf numFmtId="2" fontId="0" fillId="8" borderId="16" xfId="42" applyNumberFormat="1" applyFont="1" applyFill="1" applyBorder="1" applyAlignment="1">
      <alignment/>
    </xf>
    <xf numFmtId="2" fontId="0" fillId="0" borderId="17" xfId="42" applyNumberFormat="1" applyFont="1" applyBorder="1" applyAlignment="1">
      <alignment wrapText="1"/>
    </xf>
    <xf numFmtId="2" fontId="0" fillId="0" borderId="10" xfId="42" applyNumberFormat="1" applyFont="1" applyBorder="1" applyAlignment="1">
      <alignment/>
    </xf>
    <xf numFmtId="2" fontId="0" fillId="8" borderId="10" xfId="42" applyNumberFormat="1" applyFont="1" applyFill="1" applyBorder="1" applyAlignment="1">
      <alignment/>
    </xf>
    <xf numFmtId="2" fontId="0" fillId="8" borderId="16" xfId="42" applyNumberFormat="1" applyFont="1" applyFill="1" applyBorder="1" applyAlignment="1">
      <alignment/>
    </xf>
    <xf numFmtId="2" fontId="0" fillId="0" borderId="17" xfId="42" applyNumberFormat="1" applyFont="1" applyBorder="1" applyAlignment="1">
      <alignment wrapText="1"/>
    </xf>
    <xf numFmtId="8" fontId="0" fillId="8" borderId="16" xfId="42" applyNumberFormat="1" applyFont="1" applyFill="1"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Percent 2" xfId="63"/>
    <cellStyle name="Percent 3" xfId="64"/>
    <cellStyle name="Title" xfId="65"/>
    <cellStyle name="Total" xfId="66"/>
    <cellStyle name="Warning Text" xfId="67"/>
  </cellStyles>
  <dxfs count="2">
    <dxf>
      <fill>
        <patternFill>
          <bgColor theme="2"/>
        </patternFill>
      </fill>
    </dxf>
    <dxf>
      <fill>
        <patternFill>
          <bgColor theme="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styles" Target="styles.xml" /><Relationship Id="rId94" Type="http://schemas.openxmlformats.org/officeDocument/2006/relationships/sharedStrings" Target="sharedStrings.xml" /><Relationship Id="rId9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828675</xdr:colOff>
      <xdr:row>18</xdr:row>
      <xdr:rowOff>133350</xdr:rowOff>
    </xdr:from>
    <xdr:to>
      <xdr:col>3</xdr:col>
      <xdr:colOff>419100</xdr:colOff>
      <xdr:row>21</xdr:row>
      <xdr:rowOff>0</xdr:rowOff>
    </xdr:to>
    <xdr:pic>
      <xdr:nvPicPr>
        <xdr:cNvPr id="1" name="Picture 1" descr="Equation"/>
        <xdr:cNvPicPr preferRelativeResize="1">
          <a:picLocks noChangeAspect="1"/>
        </xdr:cNvPicPr>
      </xdr:nvPicPr>
      <xdr:blipFill>
        <a:blip r:embed="rId1"/>
        <a:stretch>
          <a:fillRect/>
        </a:stretch>
      </xdr:blipFill>
      <xdr:spPr>
        <a:xfrm>
          <a:off x="2647950" y="3657600"/>
          <a:ext cx="277177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0000FF"/>
      </a:dk2>
      <a:lt2>
        <a:srgbClr val="FF0000"/>
      </a:lt2>
      <a:accent1>
        <a:srgbClr val="FFFF00"/>
      </a:accent1>
      <a:accent2>
        <a:srgbClr val="FFC000"/>
      </a:accent2>
      <a:accent3>
        <a:srgbClr val="FFFFFF"/>
      </a:accent3>
      <a:accent4>
        <a:srgbClr val="CCFFCC"/>
      </a:accent4>
      <a:accent5>
        <a:srgbClr val="66FFFF"/>
      </a:accent5>
      <a:accent6>
        <a:srgbClr val="0000FF"/>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92.xml.rels><?xml version="1.0" encoding="utf-8" standalone="yes"?><Relationships xmlns="http://schemas.openxmlformats.org/package/2006/relationships"><Relationship Id="rId1" Type="http://schemas.openxmlformats.org/officeDocument/2006/relationships/hyperlink" Target="http://www2.odn.ne.jp/excel/functioninenglish.html" TargetMode="External" /></Relationships>
</file>

<file path=xl/worksheets/sheet1.xml><?xml version="1.0" encoding="utf-8"?>
<worksheet xmlns="http://schemas.openxmlformats.org/spreadsheetml/2006/main" xmlns:r="http://schemas.openxmlformats.org/officeDocument/2006/relationships">
  <sheetPr>
    <tabColor theme="0"/>
  </sheetPr>
  <dimension ref="A1:L15"/>
  <sheetViews>
    <sheetView tabSelected="1" zoomScalePageLayoutView="0" workbookViewId="0" topLeftCell="A1">
      <selection activeCell="C4" sqref="C4"/>
    </sheetView>
  </sheetViews>
  <sheetFormatPr defaultColWidth="9.140625" defaultRowHeight="15"/>
  <cols>
    <col min="1" max="1" width="2.00390625" style="0" bestFit="1" customWidth="1"/>
    <col min="2" max="2" width="46.28125" style="2" customWidth="1"/>
    <col min="4" max="4" width="11.421875" style="0" customWidth="1"/>
    <col min="5" max="5" width="11.140625" style="0" customWidth="1"/>
  </cols>
  <sheetData>
    <row r="1" spans="2:3" ht="14.25">
      <c r="B1" s="6" t="s">
        <v>0</v>
      </c>
      <c r="C1" s="6"/>
    </row>
    <row r="2" spans="2:3" ht="14.25">
      <c r="B2" s="4" t="s">
        <v>1</v>
      </c>
      <c r="C2" s="5">
        <v>0.12</v>
      </c>
    </row>
    <row r="3" spans="2:3" ht="14.25">
      <c r="B3" s="4" t="s">
        <v>2</v>
      </c>
      <c r="C3" s="5">
        <v>12</v>
      </c>
    </row>
    <row r="4" spans="1:3" ht="20.25">
      <c r="A4" s="3">
        <v>1</v>
      </c>
      <c r="B4" s="4" t="s">
        <v>10</v>
      </c>
      <c r="C4" s="1"/>
    </row>
    <row r="6" spans="2:3" ht="14.25">
      <c r="B6" s="6" t="s">
        <v>3</v>
      </c>
      <c r="C6" s="6"/>
    </row>
    <row r="7" spans="2:3" ht="14.25">
      <c r="B7" s="4" t="s">
        <v>5</v>
      </c>
      <c r="C7" s="5">
        <v>0.005</v>
      </c>
    </row>
    <row r="8" spans="2:3" ht="14.25">
      <c r="B8" s="4" t="s">
        <v>4</v>
      </c>
      <c r="C8" s="1"/>
    </row>
    <row r="9" spans="1:5" ht="34.5">
      <c r="A9" s="3">
        <v>2</v>
      </c>
      <c r="B9" s="4" t="s">
        <v>9</v>
      </c>
      <c r="C9" s="1"/>
      <c r="E9" t="s">
        <v>11</v>
      </c>
    </row>
    <row r="11" spans="2:3" ht="14.25">
      <c r="B11" s="6" t="s">
        <v>6</v>
      </c>
      <c r="C11" s="6"/>
    </row>
    <row r="12" spans="2:3" ht="14.25">
      <c r="B12" s="4" t="s">
        <v>15</v>
      </c>
      <c r="C12" s="5">
        <v>0.18</v>
      </c>
    </row>
    <row r="13" spans="2:3" ht="14.25">
      <c r="B13" s="4" t="s">
        <v>4</v>
      </c>
      <c r="C13" s="5">
        <v>12</v>
      </c>
    </row>
    <row r="14" spans="1:12" ht="34.5">
      <c r="A14" s="3">
        <v>3</v>
      </c>
      <c r="B14" s="4" t="s">
        <v>8</v>
      </c>
      <c r="C14" s="1"/>
      <c r="D14" t="s">
        <v>12</v>
      </c>
      <c r="F14" s="7">
        <f>IF(C14="","","The Real Rate for n = 1 is actually "&amp;TEXT(C14,"0.00%")&amp;". However, it is ironic and untruthful to have the APR of "&amp;TEXT($C$12,"0.00%")&amp;" prominently displayed on all debt contracts.")</f>
      </c>
      <c r="G14" s="8"/>
      <c r="H14" s="8"/>
      <c r="I14" s="8"/>
      <c r="J14" s="8"/>
      <c r="K14" s="8"/>
      <c r="L14" s="8"/>
    </row>
    <row r="15" spans="2:12" ht="33">
      <c r="B15" s="4" t="s">
        <v>14</v>
      </c>
      <c r="C15" s="1"/>
      <c r="D15" t="s">
        <v>13</v>
      </c>
      <c r="F15" s="7">
        <f>IF(C15="","","The Real Rate for n = 1 is actually "&amp;TEXT(C15,"0.00%")&amp;". However, it is ironic and untruthful to have the APR of "&amp;TEXT($C$12,"0.00%")&amp;" prominently displayed on all debt contracts.")</f>
      </c>
      <c r="G15" s="8"/>
      <c r="H15" s="8"/>
      <c r="I15" s="8"/>
      <c r="J15" s="8"/>
      <c r="K15" s="8"/>
      <c r="L15" s="8"/>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theme="0"/>
  </sheetPr>
  <dimension ref="A1:K11"/>
  <sheetViews>
    <sheetView zoomScalePageLayoutView="0" workbookViewId="0" topLeftCell="A1">
      <selection activeCell="C8" sqref="C8"/>
    </sheetView>
  </sheetViews>
  <sheetFormatPr defaultColWidth="9.140625" defaultRowHeight="15"/>
  <cols>
    <col min="1" max="1" width="2.00390625" style="0" bestFit="1" customWidth="1"/>
    <col min="2" max="2" width="27.140625" style="2" customWidth="1"/>
    <col min="3" max="3" width="8.140625" style="0" customWidth="1"/>
    <col min="4" max="4" width="3.00390625" style="0" bestFit="1" customWidth="1"/>
    <col min="5" max="5" width="18.7109375" style="0" bestFit="1" customWidth="1"/>
    <col min="6" max="6" width="7.00390625" style="0" bestFit="1" customWidth="1"/>
    <col min="7" max="7" width="2.00390625" style="0" bestFit="1" customWidth="1"/>
    <col min="8" max="9" width="7.7109375" style="0" customWidth="1"/>
    <col min="10" max="10" width="18.7109375" style="0" bestFit="1" customWidth="1"/>
    <col min="11" max="11" width="7.7109375" style="0" customWidth="1"/>
  </cols>
  <sheetData>
    <row r="1" spans="2:11" ht="42.75">
      <c r="B1" s="6" t="str">
        <f>"If you deposit "&amp;DOLLAR(C5)&amp;" at the end of each year for the next "&amp;C4&amp;" years and you can earn "&amp;TEXT(C2,"0.00%")&amp;" compounded "&amp;C3&amp;" time a year, what is the Future Value?"</f>
        <v>If you deposit $50.00 at the end of each year for the next 3 years and you can earn 12.00% compounded 1 time a year, what is the Future Value?</v>
      </c>
      <c r="C1" s="6"/>
      <c r="D1" s="6"/>
      <c r="E1" s="6"/>
      <c r="G1" s="44">
        <v>1</v>
      </c>
      <c r="H1" s="43" t="s">
        <v>47</v>
      </c>
      <c r="I1" s="6"/>
      <c r="J1" s="6"/>
      <c r="K1" s="6"/>
    </row>
    <row r="2" spans="2:11" ht="14.25">
      <c r="B2" s="4" t="s">
        <v>15</v>
      </c>
      <c r="C2" s="5">
        <v>0.12</v>
      </c>
      <c r="H2" s="5">
        <v>0</v>
      </c>
      <c r="I2" s="5"/>
      <c r="J2" s="5"/>
      <c r="K2" s="5"/>
    </row>
    <row r="3" spans="2:11" ht="14.25">
      <c r="B3" s="4" t="s">
        <v>4</v>
      </c>
      <c r="C3" s="5">
        <v>1</v>
      </c>
      <c r="H3" s="5">
        <v>1</v>
      </c>
      <c r="I3" s="5">
        <f>$C$5</f>
        <v>50</v>
      </c>
      <c r="J3" s="5" t="str">
        <f>"*(1+"&amp;$C$2&amp;"/"&amp;$C$3&amp;")^("&amp;$C$3&amp;"*"&amp;ROWS(I3:$I$5)-1&amp;")) ="</f>
        <v>*(1+0.12/1)^(1*2)) =</v>
      </c>
      <c r="K3" s="1">
        <f>I3*(1+$C$2/$C$3)^(ROWS(I3:$I$5)-1)</f>
        <v>62.720000000000006</v>
      </c>
    </row>
    <row r="4" spans="2:11" ht="14.25">
      <c r="B4" s="4" t="s">
        <v>35</v>
      </c>
      <c r="C4" s="5">
        <v>3</v>
      </c>
      <c r="H4" s="5">
        <v>2</v>
      </c>
      <c r="I4" s="5">
        <f>$C$5</f>
        <v>50</v>
      </c>
      <c r="J4" s="5" t="str">
        <f>"*(1+"&amp;$C$2&amp;"/"&amp;$C$3&amp;")^("&amp;$C$3&amp;"*"&amp;ROWS(I4:$I$5)-1&amp;")) ="</f>
        <v>*(1+0.12/1)^(1*1)) =</v>
      </c>
      <c r="K4" s="1">
        <f>I4*(1+$C$2/$C$3)^(ROWS(I4:$I$5)-1)</f>
        <v>56.00000000000001</v>
      </c>
    </row>
    <row r="5" spans="2:11" ht="29.25" thickBot="1">
      <c r="B5" s="4" t="s">
        <v>46</v>
      </c>
      <c r="C5" s="5">
        <v>50</v>
      </c>
      <c r="H5" s="5">
        <v>3</v>
      </c>
      <c r="I5" s="5">
        <f>$C$5</f>
        <v>50</v>
      </c>
      <c r="J5" s="5" t="str">
        <f>"*(1+"&amp;$C$2&amp;"/"&amp;$C$3&amp;")^("&amp;$C$3&amp;"*"&amp;ROWS(I5:$I$5)-1&amp;")) ="</f>
        <v>*(1+0.12/1)^(1*0)) =</v>
      </c>
      <c r="K5" s="41">
        <f>I5*(1+$C$2/$C$3)^(ROWS(I5:$I$5)-1)</f>
        <v>50</v>
      </c>
    </row>
    <row r="6" spans="2:11" ht="29.25" thickBot="1">
      <c r="B6" s="4" t="s">
        <v>49</v>
      </c>
      <c r="C6" s="1">
        <v>0</v>
      </c>
      <c r="H6" s="2"/>
      <c r="K6" s="40">
        <f>SUM(K3:K5)</f>
        <v>168.72000000000003</v>
      </c>
    </row>
    <row r="7" spans="8:11" ht="15" thickTop="1">
      <c r="H7" s="2"/>
      <c r="K7" s="30"/>
    </row>
    <row r="8" spans="1:3" ht="28.5">
      <c r="A8" s="44">
        <v>2</v>
      </c>
      <c r="B8" s="45" t="s">
        <v>48</v>
      </c>
      <c r="C8" s="1"/>
    </row>
    <row r="9" spans="1:3" ht="14.25">
      <c r="A9" s="44">
        <v>3</v>
      </c>
      <c r="B9" s="4" t="s">
        <v>50</v>
      </c>
      <c r="C9" s="46"/>
    </row>
    <row r="11" spans="2:3" ht="28.5">
      <c r="B11" s="4" t="s">
        <v>51</v>
      </c>
      <c r="C11" s="5">
        <f>((1+C2/C3)^(C3*C4)-1)/(C2/C3)</f>
        <v>3.3744000000000036</v>
      </c>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rgb="FFFF0000"/>
  </sheetPr>
  <dimension ref="A1:K11"/>
  <sheetViews>
    <sheetView zoomScalePageLayoutView="0" workbookViewId="0" topLeftCell="A1">
      <selection activeCell="B15" sqref="B15"/>
    </sheetView>
  </sheetViews>
  <sheetFormatPr defaultColWidth="9.140625" defaultRowHeight="15"/>
  <cols>
    <col min="1" max="1" width="2.00390625" style="0" bestFit="1" customWidth="1"/>
    <col min="2" max="2" width="27.140625" style="2" customWidth="1"/>
    <col min="3" max="3" width="8.140625" style="0" customWidth="1"/>
    <col min="4" max="4" width="3.00390625" style="0" bestFit="1" customWidth="1"/>
    <col min="5" max="5" width="18.7109375" style="0" bestFit="1" customWidth="1"/>
    <col min="6" max="6" width="7.00390625" style="0" bestFit="1" customWidth="1"/>
    <col min="7" max="7" width="2.00390625" style="0" bestFit="1" customWidth="1"/>
    <col min="8" max="9" width="7.7109375" style="0" customWidth="1"/>
    <col min="10" max="10" width="18.7109375" style="0" bestFit="1" customWidth="1"/>
    <col min="11" max="11" width="7.7109375" style="0" customWidth="1"/>
  </cols>
  <sheetData>
    <row r="1" spans="2:11" ht="42.75">
      <c r="B1" s="6" t="str">
        <f>"If you deposit "&amp;DOLLAR(C5)&amp;" at the end of each year for the next "&amp;C4&amp;" years and you can earn "&amp;TEXT(C2,"0.00%")&amp;" compounded "&amp;C3&amp;" time a year, what is the Future Value?"</f>
        <v>If you deposit $50.00 at the end of each year for the next 3 years and you can earn 12.00% compounded 1 time a year, what is the Future Value?</v>
      </c>
      <c r="C1" s="6"/>
      <c r="D1" s="6"/>
      <c r="E1" s="6"/>
      <c r="G1" s="44">
        <v>1</v>
      </c>
      <c r="H1" s="43" t="s">
        <v>47</v>
      </c>
      <c r="I1" s="6"/>
      <c r="J1" s="6"/>
      <c r="K1" s="6"/>
    </row>
    <row r="2" spans="2:11" ht="14.25">
      <c r="B2" s="4" t="s">
        <v>15</v>
      </c>
      <c r="C2" s="5">
        <v>0.12</v>
      </c>
      <c r="H2" s="5">
        <v>0</v>
      </c>
      <c r="I2" s="5"/>
      <c r="J2" s="5"/>
      <c r="K2" s="5"/>
    </row>
    <row r="3" spans="2:11" ht="14.25">
      <c r="B3" s="4" t="s">
        <v>4</v>
      </c>
      <c r="C3" s="5">
        <v>1</v>
      </c>
      <c r="H3" s="5">
        <v>1</v>
      </c>
      <c r="I3" s="5">
        <f>$C$5</f>
        <v>50</v>
      </c>
      <c r="J3" s="5" t="str">
        <f>"*(1+"&amp;$C$2&amp;"/"&amp;$C$3&amp;")^("&amp;$C$3&amp;"*"&amp;ROWS(I3:$I$5)-1&amp;")) ="</f>
        <v>*(1+0.12/1)^(1*2)) =</v>
      </c>
      <c r="K3" s="1">
        <f>I3*(1+$C$2/$C$3)^(ROWS(I3:$I$5)-1)</f>
        <v>62.720000000000006</v>
      </c>
    </row>
    <row r="4" spans="2:11" ht="14.25">
      <c r="B4" s="4" t="s">
        <v>35</v>
      </c>
      <c r="C4" s="5">
        <v>3</v>
      </c>
      <c r="H4" s="5">
        <v>2</v>
      </c>
      <c r="I4" s="5">
        <f>$C$5</f>
        <v>50</v>
      </c>
      <c r="J4" s="5" t="str">
        <f>"*(1+"&amp;$C$2&amp;"/"&amp;$C$3&amp;")^("&amp;$C$3&amp;"*"&amp;ROWS(I4:$I$5)-1&amp;")) ="</f>
        <v>*(1+0.12/1)^(1*1)) =</v>
      </c>
      <c r="K4" s="1">
        <f>I4*(1+$C$2/$C$3)^(ROWS(I4:$I$5)-1)</f>
        <v>56.00000000000001</v>
      </c>
    </row>
    <row r="5" spans="2:11" ht="29.25" thickBot="1">
      <c r="B5" s="4" t="s">
        <v>46</v>
      </c>
      <c r="C5" s="5">
        <v>50</v>
      </c>
      <c r="H5" s="5">
        <v>3</v>
      </c>
      <c r="I5" s="5">
        <f>$C$5</f>
        <v>50</v>
      </c>
      <c r="J5" s="5" t="str">
        <f>"*(1+"&amp;$C$2&amp;"/"&amp;$C$3&amp;")^("&amp;$C$3&amp;"*"&amp;ROWS(I5:$I$5)-1&amp;")) ="</f>
        <v>*(1+0.12/1)^(1*0)) =</v>
      </c>
      <c r="K5" s="41">
        <f>I5*(1+$C$2/$C$3)^(ROWS(I5:$I$5)-1)</f>
        <v>50</v>
      </c>
    </row>
    <row r="6" spans="2:11" ht="29.25" thickBot="1">
      <c r="B6" s="4" t="s">
        <v>49</v>
      </c>
      <c r="C6" s="1">
        <v>0</v>
      </c>
      <c r="H6" s="2"/>
      <c r="K6" s="40">
        <f>SUM(K3:K5)</f>
        <v>168.72000000000003</v>
      </c>
    </row>
    <row r="7" spans="8:11" ht="15" thickTop="1">
      <c r="H7" s="2"/>
      <c r="K7" s="30"/>
    </row>
    <row r="8" spans="1:3" ht="28.5">
      <c r="A8" s="44">
        <v>2</v>
      </c>
      <c r="B8" s="45" t="s">
        <v>48</v>
      </c>
      <c r="C8" s="1">
        <f>-C5*((1+C2/C3)^(C3*C4)-1)/(C2/C3)</f>
        <v>-168.72000000000017</v>
      </c>
    </row>
    <row r="9" spans="1:3" ht="14.25">
      <c r="A9" s="44">
        <v>3</v>
      </c>
      <c r="B9" s="4" t="s">
        <v>50</v>
      </c>
      <c r="C9" s="46">
        <f>FV(C2/C3,C3*C4,-C5,,C6)</f>
        <v>168.72000000000017</v>
      </c>
    </row>
    <row r="11" spans="2:3" ht="28.5">
      <c r="B11" s="4" t="s">
        <v>51</v>
      </c>
      <c r="C11" s="5">
        <f>((1+C2/C3)^(C3*C4)-1)/(C2/C3)</f>
        <v>3.3744000000000036</v>
      </c>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0"/>
  </sheetPr>
  <dimension ref="A1:H14"/>
  <sheetViews>
    <sheetView zoomScale="85" zoomScaleNormal="85" zoomScalePageLayoutView="0" workbookViewId="0" topLeftCell="A1">
      <selection activeCell="B6" sqref="B6"/>
    </sheetView>
  </sheetViews>
  <sheetFormatPr defaultColWidth="9.140625" defaultRowHeight="15"/>
  <cols>
    <col min="1" max="1" width="27.140625" style="0" customWidth="1"/>
    <col min="2" max="2" width="15.00390625" style="0" bestFit="1" customWidth="1"/>
    <col min="3" max="3" width="3.00390625" style="0" bestFit="1" customWidth="1"/>
    <col min="4" max="4" width="18.7109375" style="0" bestFit="1" customWidth="1"/>
  </cols>
  <sheetData>
    <row r="1" spans="1:4" ht="42.75">
      <c r="A1" s="6" t="str">
        <f>"If your investment plan requires that you deposit "&amp;DOLLAR(B5)&amp;" at the end of each period for the next "&amp;B4&amp;" years and you can earn "&amp;TEXT(B2,"0.00%")&amp;" compounded "&amp;B3&amp;" time a year, what is the Future Value?"</f>
        <v>If your investment plan requires that you deposit $100.00 at the end of each period for the next 40 years and you can earn 12.00% compounded 12 time a year, what is the Future Value?</v>
      </c>
      <c r="B1" s="6"/>
      <c r="C1" s="6"/>
      <c r="D1" s="6"/>
    </row>
    <row r="2" spans="1:2" ht="14.25">
      <c r="A2" s="4" t="s">
        <v>15</v>
      </c>
      <c r="B2" s="5">
        <v>0.12</v>
      </c>
    </row>
    <row r="3" spans="1:2" ht="14.25">
      <c r="A3" s="4" t="s">
        <v>4</v>
      </c>
      <c r="B3" s="5">
        <v>12</v>
      </c>
    </row>
    <row r="4" spans="1:2" ht="14.25">
      <c r="A4" s="4" t="s">
        <v>35</v>
      </c>
      <c r="B4" s="5">
        <v>40</v>
      </c>
    </row>
    <row r="5" spans="1:2" ht="28.5">
      <c r="A5" s="4" t="s">
        <v>46</v>
      </c>
      <c r="B5" s="5">
        <v>100</v>
      </c>
    </row>
    <row r="6" spans="1:2" ht="28.5">
      <c r="A6" s="4" t="s">
        <v>49</v>
      </c>
      <c r="B6" s="1"/>
    </row>
    <row r="7" ht="14.25">
      <c r="A7" s="2"/>
    </row>
    <row r="8" spans="1:2" ht="28.5">
      <c r="A8" s="45" t="s">
        <v>48</v>
      </c>
      <c r="B8" s="47"/>
    </row>
    <row r="9" spans="1:2" ht="14.25">
      <c r="A9" s="4" t="s">
        <v>50</v>
      </c>
      <c r="B9" s="46"/>
    </row>
    <row r="11" spans="1:2" ht="14.25">
      <c r="A11" s="45" t="s">
        <v>88</v>
      </c>
      <c r="B11" s="47"/>
    </row>
    <row r="12" spans="1:2" ht="14.25">
      <c r="A12" s="45" t="s">
        <v>52</v>
      </c>
      <c r="B12" s="46"/>
    </row>
    <row r="14" spans="1:8" ht="14.25">
      <c r="A14" t="s">
        <v>54</v>
      </c>
      <c r="B14" s="48">
        <f>IF(B9="","","If your investment plan requires that you deposit "&amp;DOLLAR(B5)&amp;" at the end of each period for the next "&amp;B4&amp;" years and you can earn "&amp;TEXT(B2,"0.00%")&amp;" compounded "&amp;B3&amp;" time a year, your Future Value would be "&amp;DOLLAR(FV(B2/B3,B3*B4,-B5,,B6))&amp;".")</f>
      </c>
      <c r="C14" s="49"/>
      <c r="D14" s="49"/>
      <c r="E14" s="49"/>
      <c r="F14" s="49"/>
      <c r="G14" s="49"/>
      <c r="H14" s="50"/>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FF0000"/>
  </sheetPr>
  <dimension ref="A1:H14"/>
  <sheetViews>
    <sheetView zoomScale="85" zoomScaleNormal="85" zoomScalePageLayoutView="0" workbookViewId="0" topLeftCell="A1">
      <selection activeCell="B15" sqref="B15"/>
    </sheetView>
  </sheetViews>
  <sheetFormatPr defaultColWidth="9.140625" defaultRowHeight="15"/>
  <cols>
    <col min="1" max="1" width="27.140625" style="0" customWidth="1"/>
    <col min="2" max="2" width="15.00390625" style="0" bestFit="1" customWidth="1"/>
    <col min="3" max="3" width="3.00390625" style="0" bestFit="1" customWidth="1"/>
    <col min="4" max="4" width="18.7109375" style="0" bestFit="1" customWidth="1"/>
  </cols>
  <sheetData>
    <row r="1" spans="1:4" ht="42.75">
      <c r="A1" s="6" t="str">
        <f>"If your investment plan requires that you deposit "&amp;DOLLAR(B5)&amp;" at the end of each period for the next "&amp;B4&amp;" years and you can earn "&amp;TEXT(B2,"0.00%")&amp;" compounded "&amp;B3&amp;" time a year, what is the Future Value?"</f>
        <v>If your investment plan requires that you deposit $100.00 at the end of each period for the next 40 years and you can earn 12.00% compounded 12 time a year, what is the Future Value?</v>
      </c>
      <c r="B1" s="6"/>
      <c r="C1" s="6"/>
      <c r="D1" s="6"/>
    </row>
    <row r="2" spans="1:2" ht="14.25">
      <c r="A2" s="4" t="s">
        <v>15</v>
      </c>
      <c r="B2" s="5">
        <v>0.12</v>
      </c>
    </row>
    <row r="3" spans="1:2" ht="14.25">
      <c r="A3" s="4" t="s">
        <v>4</v>
      </c>
      <c r="B3" s="5">
        <v>12</v>
      </c>
    </row>
    <row r="4" spans="1:2" ht="14.25">
      <c r="A4" s="4" t="s">
        <v>35</v>
      </c>
      <c r="B4" s="5">
        <v>40</v>
      </c>
    </row>
    <row r="5" spans="1:2" ht="28.5">
      <c r="A5" s="4" t="s">
        <v>46</v>
      </c>
      <c r="B5" s="5">
        <v>100</v>
      </c>
    </row>
    <row r="6" spans="1:2" ht="28.5">
      <c r="A6" s="4" t="s">
        <v>49</v>
      </c>
      <c r="B6" s="1">
        <v>0</v>
      </c>
    </row>
    <row r="7" ht="14.25">
      <c r="A7" s="2"/>
    </row>
    <row r="8" spans="1:2" ht="28.5">
      <c r="A8" s="45" t="s">
        <v>48</v>
      </c>
      <c r="B8" s="47">
        <f>B5*((1+B2/B3)^(B3*B4)-1)/(B2/B3)</f>
        <v>1176477.2510251577</v>
      </c>
    </row>
    <row r="9" spans="1:2" ht="14.25">
      <c r="A9" s="4" t="s">
        <v>50</v>
      </c>
      <c r="B9" s="46">
        <f>FV(B2/B3,B3*B4,-B5,,B6)</f>
        <v>1176477.2510251577</v>
      </c>
    </row>
    <row r="11" spans="1:2" ht="14.25">
      <c r="A11" s="45" t="s">
        <v>88</v>
      </c>
      <c r="B11" s="47">
        <f>B5*B3*B4</f>
        <v>48000</v>
      </c>
    </row>
    <row r="12" spans="1:2" ht="14.25">
      <c r="A12" s="45" t="s">
        <v>52</v>
      </c>
      <c r="B12" s="46">
        <f>B9-B11</f>
        <v>1128477.2510251577</v>
      </c>
    </row>
    <row r="14" spans="1:8" ht="42.75">
      <c r="A14" t="s">
        <v>54</v>
      </c>
      <c r="B14" s="8" t="str">
        <f>IF(B9="","","If your investment plan requires that you deposit "&amp;DOLLAR(B5)&amp;" at the end of each period for the next "&amp;B4&amp;" years and you can earn "&amp;TEXT(B2,"0.00%")&amp;" compounded "&amp;B3&amp;" time a year, your Future Value would be "&amp;DOLLAR(FV(B2/B3,B3*B4,-B5,,B6))&amp;".")</f>
        <v>If your investment plan requires that you deposit $100.00 at the end of each period for the next 40 years and you can earn 12.00% compounded 12 time a year, your Future Value would be $1,176,477.25.</v>
      </c>
      <c r="C14" s="8"/>
      <c r="D14" s="8"/>
      <c r="E14" s="8"/>
      <c r="F14" s="8"/>
      <c r="G14" s="8"/>
      <c r="H14" s="8"/>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0"/>
  </sheetPr>
  <dimension ref="A1:H15"/>
  <sheetViews>
    <sheetView zoomScalePageLayoutView="0" workbookViewId="0" topLeftCell="A1">
      <selection activeCell="C7" sqref="C7"/>
    </sheetView>
  </sheetViews>
  <sheetFormatPr defaultColWidth="9.140625" defaultRowHeight="15"/>
  <cols>
    <col min="1" max="1" width="27.140625" style="0" customWidth="1"/>
    <col min="2" max="2" width="15.00390625" style="0" bestFit="1" customWidth="1"/>
    <col min="3" max="3" width="3.00390625" style="0" bestFit="1" customWidth="1"/>
    <col min="4" max="4" width="18.7109375" style="0" bestFit="1" customWidth="1"/>
  </cols>
  <sheetData>
    <row r="1" spans="1:4" ht="42.75">
      <c r="A1" s="6" t="str">
        <f>"If your investment plan requires that you deposit "&amp;DOLLAR(B5)&amp;" at the beginning of each period for the next "&amp;B4&amp;" years and you can earn "&amp;TEXT(B2,"0.00%")&amp;" compounded "&amp;B3&amp;" time a year, what is the Future Value?"</f>
        <v>If your investment plan requires that you deposit $100.00 at the beginning of each period for the next 40 years and you can earn 12.00% compounded 12 time a year, what is the Future Value?</v>
      </c>
      <c r="B1" s="6"/>
      <c r="C1" s="6"/>
      <c r="D1" s="6"/>
    </row>
    <row r="2" spans="1:2" ht="14.25">
      <c r="A2" s="4" t="s">
        <v>15</v>
      </c>
      <c r="B2" s="5">
        <v>0.12</v>
      </c>
    </row>
    <row r="3" spans="1:2" ht="14.25">
      <c r="A3" s="4" t="s">
        <v>4</v>
      </c>
      <c r="B3" s="5">
        <v>12</v>
      </c>
    </row>
    <row r="4" spans="1:2" ht="14.25">
      <c r="A4" s="4" t="s">
        <v>35</v>
      </c>
      <c r="B4" s="5">
        <v>40</v>
      </c>
    </row>
    <row r="5" spans="1:2" ht="28.5">
      <c r="A5" s="4" t="s">
        <v>46</v>
      </c>
      <c r="B5" s="5">
        <v>100</v>
      </c>
    </row>
    <row r="6" spans="1:2" ht="28.5">
      <c r="A6" s="4" t="s">
        <v>49</v>
      </c>
      <c r="B6" s="1"/>
    </row>
    <row r="7" ht="14.25">
      <c r="A7" s="2"/>
    </row>
    <row r="8" spans="1:2" ht="28.5">
      <c r="A8" s="45" t="s">
        <v>48</v>
      </c>
      <c r="B8" s="47"/>
    </row>
    <row r="9" spans="1:2" ht="14.25">
      <c r="A9" s="4" t="s">
        <v>50</v>
      </c>
      <c r="B9" s="46"/>
    </row>
    <row r="11" spans="1:2" ht="14.25">
      <c r="A11" s="45" t="s">
        <v>88</v>
      </c>
      <c r="B11" s="47"/>
    </row>
    <row r="12" spans="1:2" ht="14.25">
      <c r="A12" s="45" t="s">
        <v>52</v>
      </c>
      <c r="B12" s="46"/>
    </row>
    <row r="13" spans="1:2" ht="28.5">
      <c r="A13" s="45" t="s">
        <v>53</v>
      </c>
      <c r="B13" s="46"/>
    </row>
    <row r="15" spans="1:8" ht="14.25">
      <c r="A15" s="42" t="s">
        <v>54</v>
      </c>
      <c r="B15" s="48">
        <f>IF(B9="","","If your investment plan requires that you deposit "&amp;DOLLAR(B5)&amp;" at the beginning of each period for the next "&amp;B4&amp;" years and you can earn "&amp;TEXT(B2,"0.00%")&amp;" compounded "&amp;B3&amp;" time a year, your Future Value would be "&amp;DOLLAR(FV(B2/B3,B3*B4,-B5,,B6))&amp;".")</f>
      </c>
      <c r="C15" s="49"/>
      <c r="D15" s="49"/>
      <c r="E15" s="49"/>
      <c r="F15" s="49"/>
      <c r="G15" s="49"/>
      <c r="H15" s="50"/>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0000"/>
  </sheetPr>
  <dimension ref="A1:H15"/>
  <sheetViews>
    <sheetView zoomScale="85" zoomScaleNormal="85" zoomScalePageLayoutView="0" workbookViewId="0" topLeftCell="A1">
      <selection activeCell="B14" sqref="B14"/>
    </sheetView>
  </sheetViews>
  <sheetFormatPr defaultColWidth="9.140625" defaultRowHeight="15"/>
  <cols>
    <col min="1" max="1" width="27.140625" style="0" customWidth="1"/>
    <col min="2" max="2" width="15.00390625" style="0" bestFit="1" customWidth="1"/>
    <col min="3" max="3" width="3.00390625" style="0" bestFit="1" customWidth="1"/>
    <col min="4" max="4" width="18.7109375" style="0" bestFit="1" customWidth="1"/>
  </cols>
  <sheetData>
    <row r="1" spans="1:4" ht="42.75">
      <c r="A1" s="6" t="str">
        <f>"If your investment plan requires that you deposit "&amp;DOLLAR(B5)&amp;" at the beginning of each period for the next "&amp;B4&amp;" years and you can earn "&amp;TEXT(B2,"0.00%")&amp;" compounded "&amp;B3&amp;" time a year, what is the Future Value?"</f>
        <v>If your investment plan requires that you deposit $100.00 at the beginning of each period for the next 40 years and you can earn 12.00% compounded 12 time a year, what is the Future Value?</v>
      </c>
      <c r="B1" s="6"/>
      <c r="C1" s="6"/>
      <c r="D1" s="6"/>
    </row>
    <row r="2" spans="1:2" ht="14.25">
      <c r="A2" s="4" t="s">
        <v>15</v>
      </c>
      <c r="B2" s="5">
        <v>0.12</v>
      </c>
    </row>
    <row r="3" spans="1:2" ht="14.25">
      <c r="A3" s="4" t="s">
        <v>4</v>
      </c>
      <c r="B3" s="5">
        <v>12</v>
      </c>
    </row>
    <row r="4" spans="1:2" ht="14.25">
      <c r="A4" s="4" t="s">
        <v>35</v>
      </c>
      <c r="B4" s="5">
        <v>40</v>
      </c>
    </row>
    <row r="5" spans="1:2" ht="28.5">
      <c r="A5" s="4" t="s">
        <v>46</v>
      </c>
      <c r="B5" s="5">
        <v>100</v>
      </c>
    </row>
    <row r="6" spans="1:2" ht="28.5">
      <c r="A6" s="4" t="s">
        <v>49</v>
      </c>
      <c r="B6" s="1">
        <v>1</v>
      </c>
    </row>
    <row r="7" ht="14.25">
      <c r="A7" s="2"/>
    </row>
    <row r="8" spans="1:2" ht="28.5">
      <c r="A8" s="45" t="s">
        <v>48</v>
      </c>
      <c r="B8" s="47">
        <f>B5*((1+B2/B3)^(B3*B4)-1)/(B2/B3)</f>
        <v>1176477.2510251577</v>
      </c>
    </row>
    <row r="9" spans="1:2" ht="14.25">
      <c r="A9" s="4" t="s">
        <v>50</v>
      </c>
      <c r="B9" s="46">
        <f>FV(B2/B3,B3*B4,-B5,,B6)</f>
        <v>1188242.0235354092</v>
      </c>
    </row>
    <row r="11" spans="1:2" ht="14.25">
      <c r="A11" s="45" t="s">
        <v>88</v>
      </c>
      <c r="B11" s="47">
        <f>B5*B3*B4</f>
        <v>48000</v>
      </c>
    </row>
    <row r="12" spans="1:2" ht="14.25">
      <c r="A12" s="45" t="s">
        <v>52</v>
      </c>
      <c r="B12" s="46">
        <f>B9-B11</f>
        <v>1140242.0235354092</v>
      </c>
    </row>
    <row r="13" spans="1:2" ht="28.5">
      <c r="A13" s="45" t="s">
        <v>53</v>
      </c>
      <c r="B13" s="46">
        <f>B12-'Ex(21an)'!B12</f>
        <v>11764.772510251496</v>
      </c>
    </row>
    <row r="15" spans="1:8" ht="42.75">
      <c r="A15" s="42" t="s">
        <v>54</v>
      </c>
      <c r="B15" s="48" t="str">
        <f>IF(B9="","","If your investment plan requires that you deposit "&amp;DOLLAR(B5)&amp;" at the beginning of each period for the next "&amp;B4&amp;" years and you can earn "&amp;TEXT(B2,"0.00%")&amp;" compounded "&amp;B3&amp;" time a year, your Future Value would be "&amp;DOLLAR(FV(B2/B3,B3*B4,-B5,,B6))&amp;".")</f>
        <v>If your investment plan requires that you deposit $100.00 at the beginning of each period for the next 40 years and you can earn 12.00% compounded 12 time a year, your Future Value would be $1,188,242.02.</v>
      </c>
      <c r="C15" s="49"/>
      <c r="D15" s="49"/>
      <c r="E15" s="49"/>
      <c r="F15" s="49"/>
      <c r="G15" s="49"/>
      <c r="H15" s="50"/>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theme="0"/>
  </sheetPr>
  <dimension ref="A1:E15"/>
  <sheetViews>
    <sheetView zoomScalePageLayoutView="0" workbookViewId="0" topLeftCell="A1">
      <selection activeCell="C8" sqref="C8"/>
    </sheetView>
  </sheetViews>
  <sheetFormatPr defaultColWidth="9.140625" defaultRowHeight="15"/>
  <cols>
    <col min="1" max="1" width="2.00390625" style="0" bestFit="1" customWidth="1"/>
    <col min="2" max="2" width="36.140625" style="0" bestFit="1" customWidth="1"/>
    <col min="3" max="3" width="12.00390625" style="0" bestFit="1" customWidth="1"/>
    <col min="4" max="4" width="10.8515625" style="0" customWidth="1"/>
    <col min="5" max="5" width="9.57421875" style="0" bestFit="1" customWidth="1"/>
  </cols>
  <sheetData>
    <row r="1" spans="2:5" ht="28.5">
      <c r="B1" s="83" t="str">
        <f>"Savings Plan that compounds interest "&amp;C4&amp;" times a year, but you put money in "&amp;C9&amp;" times a year."</f>
        <v>Savings Plan that compounds interest 365 times a year, but you put money in 12 times a year.</v>
      </c>
      <c r="C1" s="84"/>
      <c r="D1" s="71"/>
      <c r="E1" s="43"/>
    </row>
    <row r="2" spans="2:3" ht="14.25">
      <c r="B2" s="5" t="s">
        <v>55</v>
      </c>
      <c r="C2" s="5">
        <v>-250</v>
      </c>
    </row>
    <row r="3" spans="2:3" ht="14.25">
      <c r="B3" s="5" t="s">
        <v>56</v>
      </c>
      <c r="C3" s="5">
        <v>25</v>
      </c>
    </row>
    <row r="4" spans="2:3" ht="14.25">
      <c r="B4" s="5" t="s">
        <v>57</v>
      </c>
      <c r="C4" s="5">
        <v>365</v>
      </c>
    </row>
    <row r="5" spans="2:3" ht="14.25">
      <c r="B5" s="5" t="s">
        <v>15</v>
      </c>
      <c r="C5" s="5">
        <v>0.08</v>
      </c>
    </row>
    <row r="6" spans="2:3" ht="14.25">
      <c r="B6" s="5" t="s">
        <v>63</v>
      </c>
      <c r="C6" s="5">
        <v>0</v>
      </c>
    </row>
    <row r="7" ht="14.25">
      <c r="E7" t="s">
        <v>59</v>
      </c>
    </row>
    <row r="8" spans="1:5" ht="14.25">
      <c r="A8" s="5">
        <v>1</v>
      </c>
      <c r="B8" s="5" t="s">
        <v>58</v>
      </c>
      <c r="C8" s="1"/>
      <c r="E8" s="51">
        <f>(1+C5/C4)^C4-1</f>
        <v>0.08327757179281403</v>
      </c>
    </row>
    <row r="9" spans="2:3" ht="14.25">
      <c r="B9" s="5" t="s">
        <v>60</v>
      </c>
      <c r="C9" s="5">
        <v>12</v>
      </c>
    </row>
    <row r="10" spans="1:3" ht="14.25">
      <c r="A10" s="5">
        <v>2</v>
      </c>
      <c r="B10" s="5" t="s">
        <v>62</v>
      </c>
      <c r="C10" s="1"/>
    </row>
    <row r="11" spans="1:3" ht="14.25">
      <c r="A11" s="5">
        <v>3</v>
      </c>
      <c r="B11" s="5" t="s">
        <v>61</v>
      </c>
      <c r="C11" s="1"/>
    </row>
    <row r="12" spans="1:3" ht="14.25">
      <c r="A12" s="5">
        <v>4</v>
      </c>
      <c r="B12" s="5" t="s">
        <v>87</v>
      </c>
      <c r="C12" s="46"/>
    </row>
    <row r="15" spans="1:5" ht="14.25">
      <c r="A15" s="5">
        <v>5</v>
      </c>
      <c r="B15" s="48">
        <f>IF(C12="","","If we have a Savings Plan that compounds interest "&amp;C4&amp;" times a year, but we put "&amp;DOLLAR(-C2)&amp;" in only "&amp;C9&amp;" times a year, the Future Value would be "&amp;DOLLAR(C12)&amp;".")</f>
      </c>
      <c r="C15" s="49"/>
      <c r="D15" s="49"/>
      <c r="E15" s="50"/>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FF0000"/>
  </sheetPr>
  <dimension ref="A1:E15"/>
  <sheetViews>
    <sheetView zoomScalePageLayoutView="0" workbookViewId="0" topLeftCell="A1">
      <selection activeCell="B15" sqref="B15"/>
    </sheetView>
  </sheetViews>
  <sheetFormatPr defaultColWidth="9.140625" defaultRowHeight="15"/>
  <cols>
    <col min="1" max="1" width="2.00390625" style="0" bestFit="1" customWidth="1"/>
    <col min="2" max="2" width="36.140625" style="0" bestFit="1" customWidth="1"/>
    <col min="3" max="3" width="12.00390625" style="0" bestFit="1" customWidth="1"/>
    <col min="4" max="4" width="10.8515625" style="0" customWidth="1"/>
    <col min="5" max="5" width="9.57421875" style="0" bestFit="1" customWidth="1"/>
  </cols>
  <sheetData>
    <row r="1" spans="2:5" ht="28.5">
      <c r="B1" s="83" t="str">
        <f>"Savings Plan that compounds interest "&amp;C4&amp;" times a year, but you put money in "&amp;C9&amp;" times a year."</f>
        <v>Savings Plan that compounds interest 365 times a year, but you put money in 12 times a year.</v>
      </c>
      <c r="C1" s="84"/>
      <c r="D1" s="71"/>
      <c r="E1" s="43"/>
    </row>
    <row r="2" spans="2:3" ht="14.25">
      <c r="B2" s="5" t="s">
        <v>55</v>
      </c>
      <c r="C2" s="5">
        <v>-250</v>
      </c>
    </row>
    <row r="3" spans="2:3" ht="14.25">
      <c r="B3" s="5" t="s">
        <v>56</v>
      </c>
      <c r="C3" s="5">
        <v>25</v>
      </c>
    </row>
    <row r="4" spans="2:3" ht="14.25">
      <c r="B4" s="5" t="s">
        <v>57</v>
      </c>
      <c r="C4" s="5">
        <v>365</v>
      </c>
    </row>
    <row r="5" spans="2:3" ht="14.25">
      <c r="B5" s="5" t="s">
        <v>15</v>
      </c>
      <c r="C5" s="5">
        <v>0.08</v>
      </c>
    </row>
    <row r="6" spans="2:3" ht="14.25">
      <c r="B6" s="5" t="s">
        <v>63</v>
      </c>
      <c r="C6" s="5">
        <v>0</v>
      </c>
    </row>
    <row r="7" ht="14.25">
      <c r="E7" t="s">
        <v>59</v>
      </c>
    </row>
    <row r="8" spans="1:5" ht="14.25">
      <c r="A8" s="5">
        <v>1</v>
      </c>
      <c r="B8" s="5" t="s">
        <v>58</v>
      </c>
      <c r="C8" s="1">
        <f>EFFECT(C5,C4)</f>
        <v>0.08327757179281403</v>
      </c>
      <c r="E8" s="51">
        <f>(1+C5/C4)^C4-1</f>
        <v>0.08327757179281403</v>
      </c>
    </row>
    <row r="9" spans="2:3" ht="14.25">
      <c r="B9" s="5" t="s">
        <v>60</v>
      </c>
      <c r="C9" s="5">
        <v>12</v>
      </c>
    </row>
    <row r="10" spans="1:3" ht="14.25">
      <c r="A10" s="5">
        <v>2</v>
      </c>
      <c r="B10" s="5" t="s">
        <v>62</v>
      </c>
      <c r="C10" s="1">
        <f>NOMINAL(C8,C9)</f>
        <v>0.08025843577482483</v>
      </c>
    </row>
    <row r="11" spans="1:3" ht="14.25">
      <c r="A11" s="5">
        <v>3</v>
      </c>
      <c r="B11" s="5" t="s">
        <v>61</v>
      </c>
      <c r="C11" s="1">
        <f>C10/C9</f>
        <v>0.006688202981235403</v>
      </c>
    </row>
    <row r="12" spans="1:3" ht="14.25">
      <c r="A12" s="5">
        <v>4</v>
      </c>
      <c r="B12" s="5" t="s">
        <v>87</v>
      </c>
      <c r="C12" s="46">
        <f>FV(C11,C9*C3,C2,,C6)</f>
        <v>238757.5934719539</v>
      </c>
    </row>
    <row r="15" spans="1:5" ht="28.5">
      <c r="A15" s="5">
        <v>5</v>
      </c>
      <c r="B15" s="48" t="str">
        <f>IF(C12="","","If we have a Savings Plan that compounds interest "&amp;C4&amp;" times a year, but we put "&amp;DOLLAR(-C2)&amp;" in only "&amp;C9&amp;" times a year, the Future Value would be "&amp;DOLLAR(C12)&amp;".")</f>
        <v>If we have a Savings Plan that compounds interest 365 times a year, but we put $250.00 in only 12 times a year, the Future Value would be $238,757.59.</v>
      </c>
      <c r="C15" s="49"/>
      <c r="D15" s="49"/>
      <c r="E15" s="50"/>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theme="0"/>
  </sheetPr>
  <dimension ref="A1:L12"/>
  <sheetViews>
    <sheetView zoomScalePageLayoutView="0" workbookViewId="0" topLeftCell="A1">
      <selection activeCell="D8" sqref="D8"/>
    </sheetView>
  </sheetViews>
  <sheetFormatPr defaultColWidth="9.140625" defaultRowHeight="15"/>
  <cols>
    <col min="1" max="1" width="11.8515625" style="2" customWidth="1"/>
    <col min="2" max="2" width="11.00390625" style="0" customWidth="1"/>
    <col min="3" max="3" width="20.7109375" style="0" bestFit="1" customWidth="1"/>
    <col min="4" max="4" width="9.421875" style="0" bestFit="1" customWidth="1"/>
    <col min="5" max="5" width="15.00390625" style="0" bestFit="1" customWidth="1"/>
    <col min="6" max="6" width="2.00390625" style="0" bestFit="1" customWidth="1"/>
    <col min="7" max="7" width="9.8515625" style="0" bestFit="1" customWidth="1"/>
    <col min="8" max="9" width="7.7109375" style="0" customWidth="1"/>
    <col min="10" max="12" width="9.57421875" style="0" bestFit="1" customWidth="1"/>
    <col min="13" max="13" width="9.8515625" style="0" bestFit="1" customWidth="1"/>
  </cols>
  <sheetData>
    <row r="1" spans="1:12" ht="42.75">
      <c r="A1" s="6" t="s">
        <v>64</v>
      </c>
      <c r="B1" s="6"/>
      <c r="J1" s="5" t="s">
        <v>59</v>
      </c>
      <c r="K1" s="5" t="s">
        <v>59</v>
      </c>
      <c r="L1" s="5" t="s">
        <v>59</v>
      </c>
    </row>
    <row r="2" spans="1:12" ht="14.25">
      <c r="A2" s="4" t="s">
        <v>15</v>
      </c>
      <c r="B2" s="5">
        <v>0.0725</v>
      </c>
      <c r="J2" s="54">
        <f>B8*(1+$B$2/$B$3)^(ROWS(B8:$B$11)-1)</f>
        <v>616.8249140624999</v>
      </c>
      <c r="K2" s="57">
        <f>FV($B$2/$B$3,ROWS(A8:$A$11)-1,,-B8,0)</f>
        <v>616.8249140624999</v>
      </c>
      <c r="L2" s="57">
        <f>NPV(B2/B3,B8:B11)*(1+B2/B3)^B4</f>
        <v>7487.2092890625</v>
      </c>
    </row>
    <row r="3" spans="1:12" ht="14.25">
      <c r="A3" s="4" t="s">
        <v>4</v>
      </c>
      <c r="B3" s="5">
        <v>1</v>
      </c>
      <c r="J3" s="54">
        <f>B9*(1+$B$2/$B$3)^(ROWS(B9:$B$11)-1)</f>
        <v>1725.3843749999999</v>
      </c>
      <c r="K3" s="57">
        <f>FV($B$2/$B$3,ROWS(A9:$A$11)-1,,-B9,0)</f>
        <v>1725.3843749999999</v>
      </c>
      <c r="L3" s="57"/>
    </row>
    <row r="4" spans="1:12" ht="14.25">
      <c r="A4" s="4" t="s">
        <v>35</v>
      </c>
      <c r="B4" s="5">
        <v>4</v>
      </c>
      <c r="J4" s="54">
        <f>B10*(1+$B$2/$B$3)^(ROWS(B10:$B$11)-1)</f>
        <v>2145</v>
      </c>
      <c r="K4" s="57">
        <f>FV($B$2/$B$3,ROWS(A10:$A$11)-1,,-B10,0)</f>
        <v>2145</v>
      </c>
      <c r="L4" s="57"/>
    </row>
    <row r="5" spans="1:12" ht="15" thickBot="1">
      <c r="A5"/>
      <c r="J5" s="55">
        <f>B11*(1+$B$2/$B$3)^(ROWS(B11:$B$11)-1)</f>
        <v>3000</v>
      </c>
      <c r="K5" s="59">
        <f>FV($B$2/$B$3,ROWS(A11:$A$11)-1,,-B11,0)</f>
        <v>3000</v>
      </c>
      <c r="L5" s="59"/>
    </row>
    <row r="6" spans="1:12" ht="29.25" thickBot="1">
      <c r="A6" s="6" t="s">
        <v>65</v>
      </c>
      <c r="B6" s="6" t="s">
        <v>66</v>
      </c>
      <c r="C6" s="6" t="s">
        <v>69</v>
      </c>
      <c r="D6" s="6" t="s">
        <v>67</v>
      </c>
      <c r="E6" s="6" t="s">
        <v>68</v>
      </c>
      <c r="J6" s="56">
        <f>SUM(J2:J5)</f>
        <v>7487.2092890625</v>
      </c>
      <c r="K6" s="56">
        <f>SUM(K2:K5)</f>
        <v>7487.2092890625</v>
      </c>
      <c r="L6" s="56">
        <f>SUM(L2:L5)</f>
        <v>7487.2092890625</v>
      </c>
    </row>
    <row r="7" spans="1:9" ht="15" thickTop="1">
      <c r="A7" s="5">
        <v>0</v>
      </c>
      <c r="B7" s="5"/>
      <c r="C7" s="5"/>
      <c r="D7" s="5"/>
      <c r="E7" s="5"/>
      <c r="G7" s="2"/>
      <c r="H7" s="2"/>
      <c r="I7" s="2"/>
    </row>
    <row r="8" spans="1:9" ht="14.25">
      <c r="A8" s="5">
        <v>1</v>
      </c>
      <c r="B8" s="5">
        <v>500</v>
      </c>
      <c r="C8" s="5" t="str">
        <f>"*(1+"&amp;$B$2&amp;"/"&amp;$B$3&amp;")^("&amp;$B$3&amp;"*"&amp;ROWS(B8:$B$11)-1&amp;")) ="</f>
        <v>*(1+0.0725/1)^(1*3)) =</v>
      </c>
      <c r="D8" s="1"/>
      <c r="E8" s="63"/>
      <c r="G8" s="61"/>
      <c r="H8" s="2"/>
      <c r="I8" s="2"/>
    </row>
    <row r="9" spans="1:7" ht="14.25">
      <c r="A9" s="5">
        <v>2</v>
      </c>
      <c r="B9" s="5">
        <v>1500</v>
      </c>
      <c r="C9" s="5" t="str">
        <f>"*(1+"&amp;$B$2&amp;"/"&amp;$B$3&amp;")^("&amp;$B$3&amp;"*"&amp;ROWS(B9:$B$11)-1&amp;")) ="</f>
        <v>*(1+0.0725/1)^(1*2)) =</v>
      </c>
      <c r="D9" s="1"/>
      <c r="E9" s="63"/>
      <c r="G9" s="52"/>
    </row>
    <row r="10" spans="1:7" ht="14.25">
      <c r="A10" s="5">
        <v>3</v>
      </c>
      <c r="B10" s="5">
        <v>2000</v>
      </c>
      <c r="C10" s="5" t="str">
        <f>"*(1+"&amp;$B$2&amp;"/"&amp;$B$3&amp;")^("&amp;$B$3&amp;"*"&amp;ROWS(B10:$B$11)-1&amp;")) ="</f>
        <v>*(1+0.0725/1)^(1*1)) =</v>
      </c>
      <c r="D10" s="1"/>
      <c r="E10" s="63"/>
      <c r="G10" s="52"/>
    </row>
    <row r="11" spans="1:7" ht="15" thickBot="1">
      <c r="A11" s="5">
        <v>4</v>
      </c>
      <c r="B11" s="5">
        <v>3000</v>
      </c>
      <c r="C11" s="5" t="str">
        <f>"*(1+"&amp;$B$2&amp;"/"&amp;$B$3&amp;")^("&amp;$B$3&amp;"*"&amp;ROWS(B11:$B$11)-1&amp;")) ="</f>
        <v>*(1+0.0725/1)^(1*0)) =</v>
      </c>
      <c r="D11" s="1"/>
      <c r="E11" s="64"/>
      <c r="G11" s="52"/>
    </row>
    <row r="12" spans="5:7" ht="15" thickBot="1">
      <c r="E12" s="62">
        <f>SUM(E8:E11)</f>
        <v>0</v>
      </c>
      <c r="G12" s="52"/>
    </row>
    <row r="13" ht="15" thickTop="1"/>
  </sheetData>
  <sheetProtection/>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1:P12"/>
  <sheetViews>
    <sheetView zoomScalePageLayoutView="0" workbookViewId="0" topLeftCell="A1">
      <selection activeCell="B15" sqref="B15"/>
    </sheetView>
  </sheetViews>
  <sheetFormatPr defaultColWidth="9.140625" defaultRowHeight="15"/>
  <cols>
    <col min="1" max="1" width="11.8515625" style="2" customWidth="1"/>
    <col min="2" max="2" width="11.00390625" style="0" customWidth="1"/>
    <col min="3" max="3" width="20.7109375" style="0" bestFit="1" customWidth="1"/>
    <col min="4" max="4" width="9.421875" style="0" bestFit="1" customWidth="1"/>
    <col min="5" max="5" width="15.00390625" style="0" bestFit="1" customWidth="1"/>
    <col min="6" max="6" width="2.00390625" style="0" bestFit="1" customWidth="1"/>
    <col min="7" max="7" width="9.8515625" style="0" bestFit="1" customWidth="1"/>
    <col min="8" max="13" width="7.7109375" style="0" customWidth="1"/>
    <col min="14" max="16" width="9.57421875" style="0" bestFit="1" customWidth="1"/>
    <col min="17" max="17" width="9.8515625" style="0" bestFit="1" customWidth="1"/>
  </cols>
  <sheetData>
    <row r="1" spans="1:16" ht="42.75">
      <c r="A1" s="6" t="s">
        <v>64</v>
      </c>
      <c r="B1" s="6"/>
      <c r="N1" s="5" t="s">
        <v>59</v>
      </c>
      <c r="O1" s="5" t="s">
        <v>59</v>
      </c>
      <c r="P1" s="5" t="s">
        <v>59</v>
      </c>
    </row>
    <row r="2" spans="1:16" ht="14.25">
      <c r="A2" s="4" t="s">
        <v>15</v>
      </c>
      <c r="B2" s="5">
        <v>0.0725</v>
      </c>
      <c r="N2" s="54">
        <f>B8*(1+$B$2/$B$3)^(ROWS(B8:$B$11)-1)</f>
        <v>616.8249140624999</v>
      </c>
      <c r="O2" s="57">
        <f>FV($B$2/$B$3,ROWS(A8:$A$11)-1,,-B8,0)</f>
        <v>616.8249140624999</v>
      </c>
      <c r="P2" s="57">
        <f>NPV(B2/B3,B8:B11)*(1+B2/B3)^B4</f>
        <v>7487.2092890625</v>
      </c>
    </row>
    <row r="3" spans="1:16" ht="14.25">
      <c r="A3" s="4" t="s">
        <v>4</v>
      </c>
      <c r="B3" s="5">
        <v>1</v>
      </c>
      <c r="N3" s="54">
        <f>B9*(1+$B$2/$B$3)^(ROWS(B9:$B$11)-1)</f>
        <v>1725.3843749999999</v>
      </c>
      <c r="O3" s="57">
        <f>FV($B$2/$B$3,ROWS(A9:$A$11)-1,,-B9,0)</f>
        <v>1725.3843749999999</v>
      </c>
      <c r="P3" s="57"/>
    </row>
    <row r="4" spans="1:16" ht="14.25">
      <c r="A4" s="4" t="s">
        <v>35</v>
      </c>
      <c r="B4" s="5">
        <v>4</v>
      </c>
      <c r="N4" s="54">
        <f>B10*(1+$B$2/$B$3)^(ROWS(B10:$B$11)-1)</f>
        <v>2145</v>
      </c>
      <c r="O4" s="57">
        <f>FV($B$2/$B$3,ROWS(A10:$A$11)-1,,-B10,0)</f>
        <v>2145</v>
      </c>
      <c r="P4" s="57"/>
    </row>
    <row r="5" spans="1:16" ht="15" thickBot="1">
      <c r="A5"/>
      <c r="N5" s="55">
        <f>B11*(1+$B$2/$B$3)^(ROWS(B11:$B$11)-1)</f>
        <v>3000</v>
      </c>
      <c r="O5" s="59">
        <f>FV($B$2/$B$3,ROWS(A11:$A$11)-1,,-B11,0)</f>
        <v>3000</v>
      </c>
      <c r="P5" s="59"/>
    </row>
    <row r="6" spans="1:16" ht="29.25" thickBot="1">
      <c r="A6" s="6" t="s">
        <v>65</v>
      </c>
      <c r="B6" s="6" t="s">
        <v>66</v>
      </c>
      <c r="C6" s="6" t="s">
        <v>69</v>
      </c>
      <c r="D6" s="6" t="s">
        <v>67</v>
      </c>
      <c r="E6" s="6" t="s">
        <v>68</v>
      </c>
      <c r="N6" s="56">
        <f>SUM(N2:N5)</f>
        <v>7487.2092890625</v>
      </c>
      <c r="O6" s="56">
        <f>SUM(O2:O5)</f>
        <v>7487.2092890625</v>
      </c>
      <c r="P6" s="56">
        <f>SUM(P2:P5)</f>
        <v>7487.2092890625</v>
      </c>
    </row>
    <row r="7" spans="1:12" ht="15" thickTop="1">
      <c r="A7" s="5">
        <v>0</v>
      </c>
      <c r="B7" s="5"/>
      <c r="C7" s="5"/>
      <c r="D7" s="5"/>
      <c r="E7" s="5"/>
      <c r="G7" s="2"/>
      <c r="H7" s="2"/>
      <c r="I7" s="2"/>
      <c r="J7" s="2"/>
      <c r="K7" s="2"/>
      <c r="L7" s="2"/>
    </row>
    <row r="8" spans="1:12" ht="14.25">
      <c r="A8" s="5">
        <v>1</v>
      </c>
      <c r="B8" s="5">
        <v>500</v>
      </c>
      <c r="C8" s="5" t="str">
        <f>"*(1+"&amp;$B$2&amp;"/"&amp;$B$3&amp;")^("&amp;$B$3&amp;"*"&amp;ROWS(B8:$B$11)-1&amp;")) ="</f>
        <v>*(1+0.0725/1)^(1*3)) =</v>
      </c>
      <c r="D8" s="1">
        <v>3</v>
      </c>
      <c r="E8" s="63">
        <f>FV($B$2/$B$3,D8,,-B8,0)</f>
        <v>616.8249140624999</v>
      </c>
      <c r="G8" s="61"/>
      <c r="H8" s="2"/>
      <c r="I8" s="2"/>
      <c r="J8" s="2"/>
      <c r="K8" s="2"/>
      <c r="L8" s="2"/>
    </row>
    <row r="9" spans="1:7" ht="14.25">
      <c r="A9" s="5">
        <v>2</v>
      </c>
      <c r="B9" s="5">
        <v>1500</v>
      </c>
      <c r="C9" s="5" t="str">
        <f>"*(1+"&amp;$B$2&amp;"/"&amp;$B$3&amp;")^("&amp;$B$3&amp;"*"&amp;ROWS(B9:$B$11)-1&amp;")) ="</f>
        <v>*(1+0.0725/1)^(1*2)) =</v>
      </c>
      <c r="D9" s="1">
        <v>2</v>
      </c>
      <c r="E9" s="63">
        <f>FV($B$2/$B$3,D9,,-B9,0)</f>
        <v>1725.3843749999999</v>
      </c>
      <c r="G9" s="52"/>
    </row>
    <row r="10" spans="1:7" ht="14.25">
      <c r="A10" s="5">
        <v>3</v>
      </c>
      <c r="B10" s="5">
        <v>2000</v>
      </c>
      <c r="C10" s="5" t="str">
        <f>"*(1+"&amp;$B$2&amp;"/"&amp;$B$3&amp;")^("&amp;$B$3&amp;"*"&amp;ROWS(B10:$B$11)-1&amp;")) ="</f>
        <v>*(1+0.0725/1)^(1*1)) =</v>
      </c>
      <c r="D10" s="1">
        <v>1</v>
      </c>
      <c r="E10" s="63">
        <f>FV($B$2/$B$3,D10,,-B10,0)</f>
        <v>2145</v>
      </c>
      <c r="G10" s="52"/>
    </row>
    <row r="11" spans="1:7" ht="15" thickBot="1">
      <c r="A11" s="5">
        <v>4</v>
      </c>
      <c r="B11" s="5">
        <v>3000</v>
      </c>
      <c r="C11" s="5" t="str">
        <f>"*(1+"&amp;$B$2&amp;"/"&amp;$B$3&amp;")^("&amp;$B$3&amp;"*"&amp;ROWS(B11:$B$11)-1&amp;")) ="</f>
        <v>*(1+0.0725/1)^(1*0)) =</v>
      </c>
      <c r="D11" s="1">
        <v>0</v>
      </c>
      <c r="E11" s="64">
        <f>FV($B$2/$B$3,D11,,-B11,0)</f>
        <v>3000</v>
      </c>
      <c r="G11" s="52"/>
    </row>
    <row r="12" spans="5:7" ht="15" thickBot="1">
      <c r="E12" s="62">
        <f>SUM(E8:E11)</f>
        <v>7487.2092890625</v>
      </c>
      <c r="G12" s="52"/>
    </row>
    <row r="13" ht="15" thickTop="1"/>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FF0000"/>
  </sheetPr>
  <dimension ref="A1:L15"/>
  <sheetViews>
    <sheetView zoomScalePageLayoutView="0" workbookViewId="0" topLeftCell="A1">
      <selection activeCell="B15" sqref="B15"/>
    </sheetView>
  </sheetViews>
  <sheetFormatPr defaultColWidth="9.140625" defaultRowHeight="15"/>
  <cols>
    <col min="1" max="1" width="2.00390625" style="0" bestFit="1" customWidth="1"/>
    <col min="2" max="2" width="46.28125" style="2" customWidth="1"/>
    <col min="4" max="4" width="11.421875" style="0" customWidth="1"/>
    <col min="5" max="5" width="11.140625" style="0" customWidth="1"/>
  </cols>
  <sheetData>
    <row r="1" spans="2:3" ht="14.25">
      <c r="B1" s="6" t="s">
        <v>0</v>
      </c>
      <c r="C1" s="6"/>
    </row>
    <row r="2" spans="2:3" ht="14.25">
      <c r="B2" s="4" t="s">
        <v>1</v>
      </c>
      <c r="C2" s="5">
        <v>0.12</v>
      </c>
    </row>
    <row r="3" spans="2:3" ht="14.25">
      <c r="B3" s="4" t="s">
        <v>2</v>
      </c>
      <c r="C3" s="5">
        <v>12</v>
      </c>
    </row>
    <row r="4" spans="1:3" ht="20.25">
      <c r="A4" s="3">
        <v>1</v>
      </c>
      <c r="B4" s="4" t="s">
        <v>10</v>
      </c>
      <c r="C4" s="1">
        <f>C2/C3</f>
        <v>0.01</v>
      </c>
    </row>
    <row r="6" spans="2:3" ht="14.25">
      <c r="B6" s="6" t="s">
        <v>3</v>
      </c>
      <c r="C6" s="6"/>
    </row>
    <row r="7" spans="2:3" ht="14.25">
      <c r="B7" s="4" t="s">
        <v>5</v>
      </c>
      <c r="C7" s="5">
        <v>0.005</v>
      </c>
    </row>
    <row r="8" spans="2:3" ht="14.25">
      <c r="B8" s="4" t="s">
        <v>4</v>
      </c>
      <c r="C8" s="1">
        <v>12</v>
      </c>
    </row>
    <row r="9" spans="1:5" ht="34.5">
      <c r="A9" s="3">
        <v>2</v>
      </c>
      <c r="B9" s="4" t="s">
        <v>9</v>
      </c>
      <c r="C9" s="1">
        <f>C7*C8</f>
        <v>0.06</v>
      </c>
      <c r="E9" t="s">
        <v>11</v>
      </c>
    </row>
    <row r="11" spans="2:3" ht="14.25">
      <c r="B11" s="6" t="s">
        <v>6</v>
      </c>
      <c r="C11" s="6"/>
    </row>
    <row r="12" spans="2:3" ht="14.25">
      <c r="B12" s="4" t="s">
        <v>15</v>
      </c>
      <c r="C12" s="5">
        <v>0.18</v>
      </c>
    </row>
    <row r="13" spans="2:3" ht="14.25">
      <c r="B13" s="4" t="s">
        <v>4</v>
      </c>
      <c r="C13" s="5">
        <v>12</v>
      </c>
    </row>
    <row r="14" spans="1:12" ht="44.25">
      <c r="A14" s="3">
        <v>3</v>
      </c>
      <c r="B14" s="4" t="s">
        <v>8</v>
      </c>
      <c r="C14" s="1">
        <f>(1+C12/C13)^C13-1</f>
        <v>0.19561817146153326</v>
      </c>
      <c r="D14" t="s">
        <v>12</v>
      </c>
      <c r="F14" s="7" t="str">
        <f>IF(C14="","","The Real Rate for n = 1 is actually "&amp;TEXT(C14,"0.00%")&amp;". However, it is ironic and untruthful to have the APR of "&amp;TEXT($C$12,"0.00%")&amp;" prominently displayed on all debt contracts.")</f>
        <v>The Real Rate for n = 1 is actually 19.56%. However, it is ironic and untruthful to have the APR of 18.00% prominently displayed on all debt contracts.</v>
      </c>
      <c r="G14" s="8"/>
      <c r="H14" s="8"/>
      <c r="I14" s="8"/>
      <c r="J14" s="8"/>
      <c r="K14" s="8"/>
      <c r="L14" s="8"/>
    </row>
    <row r="15" spans="2:12" ht="42.75">
      <c r="B15" s="4" t="s">
        <v>14</v>
      </c>
      <c r="C15" s="1">
        <f>EFFECT(C12,C13)</f>
        <v>0.19561817146153326</v>
      </c>
      <c r="D15" t="s">
        <v>13</v>
      </c>
      <c r="F15" s="7" t="str">
        <f>IF(C15="","","The Real Rate for n = 1 is actually "&amp;TEXT(C15,"0.00%")&amp;". However, it is ironic and untruthful to have the APR of "&amp;TEXT($C$12,"0.00%")&amp;" prominently displayed on all debt contracts.")</f>
        <v>The Real Rate for n = 1 is actually 19.56%. However, it is ironic and untruthful to have the APR of 18.00% prominently displayed on all debt contracts.</v>
      </c>
      <c r="G15" s="8"/>
      <c r="H15" s="8"/>
      <c r="I15" s="8"/>
      <c r="J15" s="8"/>
      <c r="K15" s="8"/>
      <c r="L15" s="8"/>
    </row>
  </sheetData>
  <sheetProtection/>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tabColor theme="0"/>
  </sheetPr>
  <dimension ref="A1:G11"/>
  <sheetViews>
    <sheetView zoomScalePageLayoutView="0" workbookViewId="0" topLeftCell="A1">
      <selection activeCell="B6" sqref="B6"/>
    </sheetView>
  </sheetViews>
  <sheetFormatPr defaultColWidth="9.140625" defaultRowHeight="15"/>
  <cols>
    <col min="1" max="1" width="23.7109375" style="0" customWidth="1"/>
    <col min="2" max="2" width="25.00390625" style="0" bestFit="1" customWidth="1"/>
  </cols>
  <sheetData>
    <row r="1" spans="1:4" ht="28.5">
      <c r="A1" s="19" t="s">
        <v>73</v>
      </c>
      <c r="B1" s="19"/>
      <c r="C1" s="6"/>
      <c r="D1" s="6"/>
    </row>
    <row r="2" spans="1:2" ht="14.25">
      <c r="A2" s="5" t="s">
        <v>34</v>
      </c>
      <c r="B2" s="57">
        <v>1000000</v>
      </c>
    </row>
    <row r="3" spans="1:2" ht="14.25">
      <c r="A3" s="5" t="s">
        <v>15</v>
      </c>
      <c r="B3" s="66">
        <v>0.1</v>
      </c>
    </row>
    <row r="4" spans="1:2" ht="14.25">
      <c r="A4" s="5" t="s">
        <v>4</v>
      </c>
      <c r="B4" s="5">
        <v>12</v>
      </c>
    </row>
    <row r="5" spans="1:2" ht="14.25">
      <c r="A5" s="5" t="s">
        <v>35</v>
      </c>
      <c r="B5" s="5">
        <v>40</v>
      </c>
    </row>
    <row r="6" spans="1:2" ht="14.25">
      <c r="A6" s="5" t="s">
        <v>70</v>
      </c>
      <c r="B6" s="67"/>
    </row>
    <row r="7" spans="1:2" ht="14.25">
      <c r="A7" s="5" t="s">
        <v>71</v>
      </c>
      <c r="B7" s="1"/>
    </row>
    <row r="8" spans="1:2" ht="14.25">
      <c r="A8" s="5" t="s">
        <v>72</v>
      </c>
      <c r="B8" s="1"/>
    </row>
    <row r="9" spans="1:2" ht="14.25">
      <c r="A9" s="5" t="s">
        <v>32</v>
      </c>
      <c r="B9" s="68"/>
    </row>
    <row r="10" spans="1:2" ht="14.25">
      <c r="A10" s="5" t="s">
        <v>32</v>
      </c>
      <c r="B10" s="69"/>
    </row>
    <row r="11" spans="1:7" ht="14.25">
      <c r="A11" s="5" t="s">
        <v>54</v>
      </c>
      <c r="B11" s="65">
        <f>IF(B10="","","If I want to be a millionaire and I do not like the odds given in the lottery or getting a big inheritance, my next option would be to invest "&amp;DOLLAR(-B10)&amp;" at the "&amp;IF(B8=0,"end",IF(B8=1,"beginning",""))&amp;" of each month (where i ="&amp;TEXT(B3,"0.00%")&amp;", n = "&amp;B4&amp;", x = "&amp;B5&amp;"). ")</f>
      </c>
      <c r="C11" s="8"/>
      <c r="D11" s="8"/>
      <c r="E11" s="8"/>
      <c r="F11" s="8"/>
      <c r="G11" s="8"/>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theme="2"/>
  </sheetPr>
  <dimension ref="A1:G11"/>
  <sheetViews>
    <sheetView zoomScalePageLayoutView="0" workbookViewId="0" topLeftCell="A1">
      <selection activeCell="B15" sqref="B15"/>
    </sheetView>
  </sheetViews>
  <sheetFormatPr defaultColWidth="9.140625" defaultRowHeight="15"/>
  <cols>
    <col min="1" max="1" width="23.7109375" style="0" customWidth="1"/>
    <col min="2" max="2" width="25.00390625" style="0" bestFit="1" customWidth="1"/>
  </cols>
  <sheetData>
    <row r="1" spans="1:4" ht="28.5">
      <c r="A1" s="19" t="s">
        <v>73</v>
      </c>
      <c r="B1" s="19"/>
      <c r="C1" s="6"/>
      <c r="D1" s="6"/>
    </row>
    <row r="2" spans="1:2" ht="14.25">
      <c r="A2" s="5" t="s">
        <v>34</v>
      </c>
      <c r="B2" s="57">
        <v>1000000</v>
      </c>
    </row>
    <row r="3" spans="1:2" ht="14.25">
      <c r="A3" s="5" t="s">
        <v>15</v>
      </c>
      <c r="B3" s="66">
        <v>0.1</v>
      </c>
    </row>
    <row r="4" spans="1:2" ht="14.25">
      <c r="A4" s="5" t="s">
        <v>4</v>
      </c>
      <c r="B4" s="5">
        <v>12</v>
      </c>
    </row>
    <row r="5" spans="1:2" ht="14.25">
      <c r="A5" s="5" t="s">
        <v>35</v>
      </c>
      <c r="B5" s="5">
        <v>40</v>
      </c>
    </row>
    <row r="6" spans="1:2" ht="14.25">
      <c r="A6" s="5" t="s">
        <v>70</v>
      </c>
      <c r="B6" s="67">
        <f>B3/B4</f>
        <v>0.008333333333333333</v>
      </c>
    </row>
    <row r="7" spans="1:2" ht="14.25">
      <c r="A7" s="5" t="s">
        <v>71</v>
      </c>
      <c r="B7" s="1">
        <f>B4*B5</f>
        <v>480</v>
      </c>
    </row>
    <row r="8" spans="1:2" ht="14.25">
      <c r="A8" s="5" t="s">
        <v>72</v>
      </c>
      <c r="B8" s="1">
        <v>0</v>
      </c>
    </row>
    <row r="9" spans="1:2" ht="14.25">
      <c r="A9" s="5" t="s">
        <v>32</v>
      </c>
      <c r="B9" s="68">
        <f>B2/(((1+B6)^B7-1)/B6)</f>
        <v>158.12577738855845</v>
      </c>
    </row>
    <row r="10" spans="1:2" ht="14.25">
      <c r="A10" s="5" t="s">
        <v>32</v>
      </c>
      <c r="B10" s="69">
        <f>PMT(B6,B7,,B2,B8)</f>
        <v>-158.12577738855845</v>
      </c>
    </row>
    <row r="11" spans="1:7" ht="42.75">
      <c r="A11" s="5" t="s">
        <v>54</v>
      </c>
      <c r="B11" s="65" t="str">
        <f>"If I want to be a millionaire and I do not like the odds given in the lottery or getting a big inheritance, my next option would be to invest "&amp;DOLLAR(-B10)&amp;" at the "&amp;IF(B8=0,"end",IF(B8=1,"beginning",""))&amp;" of each month (where i ="&amp;TEXT(B3,"0.00%")&amp;", n = "&amp;B4&amp;", x = "&amp;B5&amp;"). "</f>
        <v>If I want to be a millionaire and I do not like the odds given in the lottery or getting a big inheritance, my next option would be to invest $158.13 at the end of each month (where i =10.00%, n = 12, x = 40). </v>
      </c>
      <c r="C11" s="8"/>
      <c r="D11" s="8"/>
      <c r="E11" s="8"/>
      <c r="F11" s="8"/>
      <c r="G11" s="8"/>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tabColor theme="0"/>
  </sheetPr>
  <dimension ref="A1:I11"/>
  <sheetViews>
    <sheetView zoomScalePageLayoutView="0" workbookViewId="0" topLeftCell="A1">
      <selection activeCell="B6" sqref="B6"/>
    </sheetView>
  </sheetViews>
  <sheetFormatPr defaultColWidth="9.140625" defaultRowHeight="15"/>
  <cols>
    <col min="1" max="1" width="19.28125" style="0" bestFit="1" customWidth="1"/>
    <col min="2" max="2" width="25.00390625" style="0" bestFit="1" customWidth="1"/>
    <col min="3" max="3" width="12.421875" style="0" bestFit="1" customWidth="1"/>
    <col min="5" max="5" width="11.8515625" style="0" bestFit="1" customWidth="1"/>
    <col min="6" max="6" width="13.140625" style="0" bestFit="1" customWidth="1"/>
    <col min="8" max="8" width="11.8515625" style="0" bestFit="1" customWidth="1"/>
    <col min="9" max="9" width="13.140625" style="0" bestFit="1" customWidth="1"/>
  </cols>
  <sheetData>
    <row r="1" spans="1:9" ht="14.25">
      <c r="A1" s="19" t="s">
        <v>74</v>
      </c>
      <c r="B1" s="19"/>
      <c r="H1" s="5" t="s">
        <v>76</v>
      </c>
      <c r="I1" s="5" t="s">
        <v>77</v>
      </c>
    </row>
    <row r="2" spans="1:9" ht="14.25">
      <c r="A2" s="5" t="s">
        <v>34</v>
      </c>
      <c r="B2" s="57">
        <v>180000</v>
      </c>
      <c r="H2" s="60">
        <f>FV(B6,B7,B10,,0)</f>
        <v>0</v>
      </c>
      <c r="I2" s="70" t="e">
        <f>B2*(B6/((1+B6)^B7-1))</f>
        <v>#DIV/0!</v>
      </c>
    </row>
    <row r="3" spans="1:2" ht="14.25">
      <c r="A3" s="5" t="s">
        <v>15</v>
      </c>
      <c r="B3" s="66">
        <v>0.08</v>
      </c>
    </row>
    <row r="4" spans="1:2" ht="14.25">
      <c r="A4" s="5" t="s">
        <v>4</v>
      </c>
      <c r="B4" s="5">
        <v>12</v>
      </c>
    </row>
    <row r="5" spans="1:2" ht="14.25">
      <c r="A5" s="5" t="s">
        <v>35</v>
      </c>
      <c r="B5" s="5">
        <v>18</v>
      </c>
    </row>
    <row r="6" spans="1:2" ht="14.25">
      <c r="A6" s="5" t="s">
        <v>70</v>
      </c>
      <c r="B6" s="67"/>
    </row>
    <row r="7" spans="1:2" ht="14.25">
      <c r="A7" s="5" t="s">
        <v>71</v>
      </c>
      <c r="B7" s="1"/>
    </row>
    <row r="8" spans="1:2" ht="14.25">
      <c r="A8" s="5" t="s">
        <v>72</v>
      </c>
      <c r="B8" s="1"/>
    </row>
    <row r="9" spans="1:2" ht="14.25">
      <c r="A9" s="5" t="s">
        <v>32</v>
      </c>
      <c r="B9" s="68"/>
    </row>
    <row r="10" spans="1:2" ht="14.25">
      <c r="A10" s="5" t="s">
        <v>32</v>
      </c>
      <c r="B10" s="69"/>
    </row>
    <row r="11" spans="1:7" ht="14.25">
      <c r="A11" s="5" t="s">
        <v>54</v>
      </c>
      <c r="B11" s="65">
        <f>IF(B10="","","If I want to save for my daughter's college education, I should invest "&amp;DOLLAR(-B10)&amp;" at the "&amp;IF(B8=0,"end",IF(B8=1,"beginning",""))&amp;" of each period (where i ="&amp;TEXT(B3,"0.00%")&amp;", n = "&amp;B4&amp;", x = "&amp;B5&amp;"). ")</f>
      </c>
      <c r="C11" s="8"/>
      <c r="D11" s="8"/>
      <c r="E11" s="8"/>
      <c r="F11" s="8"/>
      <c r="G11" s="8"/>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theme="2"/>
  </sheetPr>
  <dimension ref="A1:I11"/>
  <sheetViews>
    <sheetView zoomScalePageLayoutView="0" workbookViewId="0" topLeftCell="A1">
      <selection activeCell="B15" sqref="B15"/>
    </sheetView>
  </sheetViews>
  <sheetFormatPr defaultColWidth="9.140625" defaultRowHeight="15"/>
  <cols>
    <col min="1" max="1" width="19.28125" style="0" bestFit="1" customWidth="1"/>
    <col min="2" max="2" width="25.00390625" style="0" bestFit="1" customWidth="1"/>
    <col min="3" max="3" width="12.421875" style="0" bestFit="1" customWidth="1"/>
    <col min="5" max="5" width="11.8515625" style="0" bestFit="1" customWidth="1"/>
    <col min="6" max="6" width="13.140625" style="0" bestFit="1" customWidth="1"/>
    <col min="8" max="8" width="11.8515625" style="0" bestFit="1" customWidth="1"/>
    <col min="9" max="9" width="13.140625" style="0" bestFit="1" customWidth="1"/>
  </cols>
  <sheetData>
    <row r="1" spans="1:9" ht="14.25">
      <c r="A1" s="19" t="s">
        <v>74</v>
      </c>
      <c r="B1" s="19"/>
      <c r="H1" s="5" t="s">
        <v>76</v>
      </c>
      <c r="I1" s="5" t="s">
        <v>77</v>
      </c>
    </row>
    <row r="2" spans="1:9" ht="14.25">
      <c r="A2" s="5" t="s">
        <v>34</v>
      </c>
      <c r="B2" s="57">
        <v>180000</v>
      </c>
      <c r="H2" s="60">
        <f>FV(B6,B7,B10,,0)</f>
        <v>180000</v>
      </c>
      <c r="I2" s="70">
        <f>B2*(B6/((1+B6)^B7-1))</f>
        <v>374.9327244848094</v>
      </c>
    </row>
    <row r="3" spans="1:2" ht="14.25">
      <c r="A3" s="5" t="s">
        <v>15</v>
      </c>
      <c r="B3" s="66">
        <v>0.08</v>
      </c>
    </row>
    <row r="4" spans="1:2" ht="14.25">
      <c r="A4" s="5" t="s">
        <v>4</v>
      </c>
      <c r="B4" s="5">
        <v>12</v>
      </c>
    </row>
    <row r="5" spans="1:2" ht="14.25">
      <c r="A5" s="5" t="s">
        <v>35</v>
      </c>
      <c r="B5" s="5">
        <v>18</v>
      </c>
    </row>
    <row r="6" spans="1:2" ht="14.25">
      <c r="A6" s="5" t="s">
        <v>70</v>
      </c>
      <c r="B6" s="67">
        <f>B3/B4</f>
        <v>0.006666666666666667</v>
      </c>
    </row>
    <row r="7" spans="1:2" ht="14.25">
      <c r="A7" s="5" t="s">
        <v>71</v>
      </c>
      <c r="B7" s="1">
        <f>B4*B5</f>
        <v>216</v>
      </c>
    </row>
    <row r="8" spans="1:2" ht="14.25">
      <c r="A8" s="5" t="s">
        <v>72</v>
      </c>
      <c r="B8" s="1">
        <v>0</v>
      </c>
    </row>
    <row r="9" spans="1:2" ht="14.25">
      <c r="A9" s="5" t="s">
        <v>32</v>
      </c>
      <c r="B9" s="68">
        <f>B2/(((1+B6)^B7-1)/B6)</f>
        <v>374.9327244848094</v>
      </c>
    </row>
    <row r="10" spans="1:2" ht="14.25">
      <c r="A10" s="5" t="s">
        <v>32</v>
      </c>
      <c r="B10" s="69">
        <f>PMT(B6,B7,,B2,B8)</f>
        <v>-374.9327244848094</v>
      </c>
    </row>
    <row r="11" spans="1:7" ht="28.5">
      <c r="A11" s="5" t="s">
        <v>54</v>
      </c>
      <c r="B11" s="65" t="str">
        <f>"If I want to save for my daughter's college education, I should invest "&amp;DOLLAR(-B10)&amp;" at the "&amp;IF(B8=0,"end",IF(B8=1,"beginning",""))&amp;" of each period (where i ="&amp;TEXT(B3,"0.00%")&amp;", n = "&amp;B4&amp;", x = "&amp;B5&amp;"). "</f>
        <v>If I want to save for my daughter's college education, I should invest $374.93 at the end of each period (where i =8.00%, n = 12, x = 18). </v>
      </c>
      <c r="C11" s="8"/>
      <c r="D11" s="8"/>
      <c r="E11" s="8"/>
      <c r="F11" s="8"/>
      <c r="G11" s="8"/>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theme="0"/>
  </sheetPr>
  <dimension ref="A1:H16"/>
  <sheetViews>
    <sheetView zoomScalePageLayoutView="0" workbookViewId="0" topLeftCell="A1">
      <selection activeCell="B6" sqref="B6"/>
    </sheetView>
  </sheetViews>
  <sheetFormatPr defaultColWidth="9.140625" defaultRowHeight="15"/>
  <cols>
    <col min="1" max="1" width="22.57421875" style="0" customWidth="1"/>
  </cols>
  <sheetData>
    <row r="1" spans="1:5" ht="57">
      <c r="A1" s="6" t="str">
        <f>"If we want to withdraw "&amp;DOLLAR(B2)&amp;" at the end of each year (these are cash flows in the future), for the next "&amp;B5&amp;" years, how much do we have to deposit in the bank today (Present Value) if the APR is "&amp;TEXT(B3,"0.00%")&amp;" compounded "&amp;B4&amp;" time a year?"</f>
        <v>If we want to withdraw $50.00 at the end of each year (these are cash flows in the future), for the next 3 years, how much do we have to deposit in the bank today (Present Value) if the APR is 12.00% compounded 1 time a year?</v>
      </c>
      <c r="B1" s="6"/>
      <c r="C1" s="71"/>
      <c r="D1" s="71"/>
      <c r="E1" s="43"/>
    </row>
    <row r="2" spans="1:2" ht="14.25">
      <c r="A2" s="5" t="s">
        <v>32</v>
      </c>
      <c r="B2" s="5">
        <v>50</v>
      </c>
    </row>
    <row r="3" spans="1:2" ht="14.25">
      <c r="A3" s="5" t="s">
        <v>75</v>
      </c>
      <c r="B3" s="5">
        <v>0.12</v>
      </c>
    </row>
    <row r="4" spans="1:2" ht="14.25">
      <c r="A4" s="5" t="s">
        <v>4</v>
      </c>
      <c r="B4" s="5">
        <v>1</v>
      </c>
    </row>
    <row r="5" spans="1:2" ht="14.25">
      <c r="A5" s="5" t="s">
        <v>35</v>
      </c>
      <c r="B5" s="5">
        <v>3</v>
      </c>
    </row>
    <row r="6" spans="1:2" ht="14.25">
      <c r="A6" s="5" t="s">
        <v>78</v>
      </c>
      <c r="B6" s="1"/>
    </row>
    <row r="7" spans="1:2" ht="14.25">
      <c r="A7" s="5" t="s">
        <v>78</v>
      </c>
      <c r="B7" s="72"/>
    </row>
    <row r="8" spans="1:8" ht="52.5" customHeight="1">
      <c r="A8" s="73" t="s">
        <v>54</v>
      </c>
      <c r="B8" s="8">
        <f>IF(B7="","","If we want to withdraw "&amp;DOLLAR(B2)&amp;" at the end of each year (these are cash flows in the future), for the next "&amp;B5&amp;" years, we would have to deposit "&amp;DOLLAR(B7)&amp;" in the bank today (Present Value) and the APR would have to be "&amp;TEXT(B3,"0.00%")&amp;" compounded "&amp;B4&amp;" time a year.")</f>
      </c>
      <c r="C8" s="49"/>
      <c r="D8" s="49"/>
      <c r="E8" s="49"/>
      <c r="F8" s="49"/>
      <c r="G8" s="49"/>
      <c r="H8" s="50"/>
    </row>
    <row r="10" ht="14.25">
      <c r="A10" t="s">
        <v>79</v>
      </c>
    </row>
    <row r="11" spans="1:3" ht="14.25">
      <c r="A11" s="5" t="s">
        <v>65</v>
      </c>
      <c r="B11" s="5" t="s">
        <v>80</v>
      </c>
      <c r="C11" s="5"/>
    </row>
    <row r="12" spans="1:8" ht="14.25">
      <c r="A12" s="5">
        <v>0</v>
      </c>
      <c r="B12" s="5"/>
      <c r="C12" s="5"/>
      <c r="G12" s="5" t="s">
        <v>59</v>
      </c>
      <c r="H12" s="5" t="s">
        <v>59</v>
      </c>
    </row>
    <row r="13" spans="1:8" ht="14.25">
      <c r="A13" s="5">
        <v>1</v>
      </c>
      <c r="B13" s="5">
        <f>$B$2</f>
        <v>50</v>
      </c>
      <c r="C13" s="46">
        <f>PV($B$3/$B$4,A13*$B$4,,B13,0)</f>
        <v>-44.64285714285714</v>
      </c>
      <c r="G13" s="53">
        <f>B13/((1+$B$3/$B$4)^A13)</f>
        <v>44.64285714285714</v>
      </c>
      <c r="H13" s="5">
        <f>B13/((1+$B$3/$B$4)^ROWS(B13:$B$13))</f>
        <v>44.64285714285714</v>
      </c>
    </row>
    <row r="14" spans="1:8" ht="14.25">
      <c r="A14" s="5">
        <v>2</v>
      </c>
      <c r="B14" s="5">
        <f>$B$2</f>
        <v>50</v>
      </c>
      <c r="C14" s="46">
        <f>PV($B$3/$B$4,A14*$B$4,,B14,0)</f>
        <v>-39.85969387755102</v>
      </c>
      <c r="G14" s="53">
        <f>B14/((1+$B$3/$B$4)^A14)</f>
        <v>39.85969387755102</v>
      </c>
      <c r="H14" s="5">
        <f>B14/((1+$B$3/$B$4)^ROWS(B$13:$B14))</f>
        <v>39.85969387755102</v>
      </c>
    </row>
    <row r="15" spans="1:8" ht="14.25">
      <c r="A15" s="5">
        <v>3</v>
      </c>
      <c r="B15" s="5">
        <f>$B$2</f>
        <v>50</v>
      </c>
      <c r="C15" s="46">
        <f>PV($B$3/$B$4,A15*$B$4,,B15,0)</f>
        <v>-35.58901239067055</v>
      </c>
      <c r="G15" s="53">
        <f>B15/((1+$B$3/$B$4)^A15)</f>
        <v>35.58901239067055</v>
      </c>
      <c r="H15" s="5">
        <f>B15/((1+$B$3/$B$4)^ROWS(B$13:$B15))</f>
        <v>35.58901239067055</v>
      </c>
    </row>
    <row r="16" spans="3:8" ht="15" thickBot="1">
      <c r="C16" s="74">
        <f>SUM(C13:C15)</f>
        <v>-120.09156341107871</v>
      </c>
      <c r="G16" s="5">
        <f>SUM(G13:G15)</f>
        <v>120.09156341107871</v>
      </c>
      <c r="H16" s="5">
        <f>SUM(H13:H15)</f>
        <v>120.09156341107871</v>
      </c>
    </row>
    <row r="17" ht="15" thickTop="1"/>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FF0000"/>
  </sheetPr>
  <dimension ref="A1:H16"/>
  <sheetViews>
    <sheetView zoomScalePageLayoutView="0" workbookViewId="0" topLeftCell="A1">
      <selection activeCell="C6" sqref="C6"/>
    </sheetView>
  </sheetViews>
  <sheetFormatPr defaultColWidth="9.140625" defaultRowHeight="15"/>
  <cols>
    <col min="1" max="1" width="22.57421875" style="0" customWidth="1"/>
  </cols>
  <sheetData>
    <row r="1" spans="1:5" ht="57">
      <c r="A1" s="6" t="str">
        <f>"If we want to withdraw "&amp;DOLLAR(B2)&amp;" at the end of each year (these are cash flows in the future), for the next "&amp;B5&amp;" years, how much do we have to deposit in the bank today (Present Value) if the APR is "&amp;TEXT(B3,"0.00%")&amp;" compounded "&amp;B4&amp;" time a year?"</f>
        <v>If we want to withdraw $50.00 at the end of each year (these are cash flows in the future), for the next 3 years, how much do we have to deposit in the bank today (Present Value) if the APR is 12.00% compounded 1 time a year?</v>
      </c>
      <c r="B1" s="6"/>
      <c r="C1" s="71"/>
      <c r="D1" s="71"/>
      <c r="E1" s="43"/>
    </row>
    <row r="2" spans="1:2" ht="14.25">
      <c r="A2" s="5" t="s">
        <v>32</v>
      </c>
      <c r="B2" s="5">
        <v>50</v>
      </c>
    </row>
    <row r="3" spans="1:2" ht="14.25">
      <c r="A3" s="5" t="s">
        <v>75</v>
      </c>
      <c r="B3" s="5">
        <v>0.12</v>
      </c>
    </row>
    <row r="4" spans="1:2" ht="14.25">
      <c r="A4" s="5" t="s">
        <v>4</v>
      </c>
      <c r="B4" s="5">
        <v>1</v>
      </c>
    </row>
    <row r="5" spans="1:2" ht="14.25">
      <c r="A5" s="5" t="s">
        <v>35</v>
      </c>
      <c r="B5" s="5">
        <v>3</v>
      </c>
    </row>
    <row r="6" spans="1:2" ht="14.25">
      <c r="A6" s="5" t="s">
        <v>78</v>
      </c>
      <c r="B6" s="1">
        <f>B2*((1-(1+B3/B4)^-(B4*B5))/(B3/B4))</f>
        <v>120.09156341107881</v>
      </c>
    </row>
    <row r="7" spans="1:2" ht="14.25">
      <c r="A7" s="5" t="s">
        <v>78</v>
      </c>
      <c r="B7" s="72">
        <f>PV(B3/B4,B4*B5,B2,,0)</f>
        <v>-120.09156341107881</v>
      </c>
    </row>
    <row r="8" spans="1:8" ht="57">
      <c r="A8" s="73" t="s">
        <v>54</v>
      </c>
      <c r="B8" s="8" t="str">
        <f>IF(B7="","","If we want to withdraw "&amp;DOLLAR(B2)&amp;" at the end of each year (these are cash flows in the future), for the next "&amp;B5&amp;" years, we would have to deposit "&amp;DOLLAR(B7)&amp;" in the bank today (Present Value) and the APR would have to be "&amp;TEXT(B3,"0.00%")&amp;" compounded "&amp;B4&amp;" time a year.")</f>
        <v>If we want to withdraw $50.00 at the end of each year (these are cash flows in the future), for the next 3 years, we would have to deposit ($120.09) in the bank today (Present Value) and the APR would have to be 12.00% compounded 1 time a year.</v>
      </c>
      <c r="C8" s="49"/>
      <c r="D8" s="49"/>
      <c r="E8" s="49"/>
      <c r="F8" s="49"/>
      <c r="G8" s="49"/>
      <c r="H8" s="50"/>
    </row>
    <row r="10" ht="14.25">
      <c r="A10" t="s">
        <v>79</v>
      </c>
    </row>
    <row r="11" spans="1:3" ht="14.25">
      <c r="A11" s="5" t="s">
        <v>65</v>
      </c>
      <c r="B11" s="5" t="s">
        <v>80</v>
      </c>
      <c r="C11" s="5"/>
    </row>
    <row r="12" spans="1:8" ht="14.25">
      <c r="A12" s="5">
        <v>0</v>
      </c>
      <c r="B12" s="5"/>
      <c r="C12" s="5"/>
      <c r="G12" s="5" t="s">
        <v>59</v>
      </c>
      <c r="H12" s="5" t="s">
        <v>59</v>
      </c>
    </row>
    <row r="13" spans="1:8" ht="14.25">
      <c r="A13" s="5">
        <v>1</v>
      </c>
      <c r="B13" s="5">
        <f>$B$2</f>
        <v>50</v>
      </c>
      <c r="C13" s="46">
        <f>PV($B$3/$B$4,A13*$B$4,,B13,0)</f>
        <v>-44.64285714285714</v>
      </c>
      <c r="G13" s="53">
        <f>B13/((1+$B$3/$B$4)^A13)</f>
        <v>44.64285714285714</v>
      </c>
      <c r="H13" s="5">
        <f>B13/((1+$B$3/$B$4)^ROWS(B13:$B$13))</f>
        <v>44.64285714285714</v>
      </c>
    </row>
    <row r="14" spans="1:8" ht="14.25">
      <c r="A14" s="5">
        <v>2</v>
      </c>
      <c r="B14" s="5">
        <f>$B$2</f>
        <v>50</v>
      </c>
      <c r="C14" s="46">
        <f>PV($B$3/$B$4,A14*$B$4,,B14,0)</f>
        <v>-39.85969387755102</v>
      </c>
      <c r="G14" s="53">
        <f>B14/((1+$B$3/$B$4)^A14)</f>
        <v>39.85969387755102</v>
      </c>
      <c r="H14" s="5">
        <f>B14/((1+$B$3/$B$4)^ROWS(B$13:$B14))</f>
        <v>39.85969387755102</v>
      </c>
    </row>
    <row r="15" spans="1:8" ht="14.25">
      <c r="A15" s="5">
        <v>3</v>
      </c>
      <c r="B15" s="5">
        <f>$B$2</f>
        <v>50</v>
      </c>
      <c r="C15" s="46">
        <f>PV($B$3/$B$4,A15*$B$4,,B15,0)</f>
        <v>-35.58901239067055</v>
      </c>
      <c r="G15" s="53">
        <f>B15/((1+$B$3/$B$4)^A15)</f>
        <v>35.58901239067055</v>
      </c>
      <c r="H15" s="5">
        <f>B15/((1+$B$3/$B$4)^ROWS(B$13:$B15))</f>
        <v>35.58901239067055</v>
      </c>
    </row>
    <row r="16" spans="3:8" ht="15" thickBot="1">
      <c r="C16" s="74">
        <f>SUM(C13:C15)</f>
        <v>-120.09156341107871</v>
      </c>
      <c r="G16" s="5">
        <f>SUM(G13:G15)</f>
        <v>120.09156341107871</v>
      </c>
      <c r="H16" s="5">
        <f>SUM(H13:H15)</f>
        <v>120.09156341107871</v>
      </c>
    </row>
    <row r="17" ht="15" thickTop="1"/>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theme="0"/>
  </sheetPr>
  <dimension ref="A1:H22"/>
  <sheetViews>
    <sheetView zoomScalePageLayoutView="0" workbookViewId="0" topLeftCell="A1">
      <selection activeCell="D6" sqref="D6"/>
    </sheetView>
  </sheetViews>
  <sheetFormatPr defaultColWidth="9.140625" defaultRowHeight="15"/>
  <cols>
    <col min="1" max="1" width="24.421875" style="0" customWidth="1"/>
    <col min="2" max="2" width="16.28125" style="0" bestFit="1" customWidth="1"/>
    <col min="3" max="5" width="17.28125" style="0" customWidth="1"/>
  </cols>
  <sheetData>
    <row r="1" spans="1:5" ht="28.5">
      <c r="A1" s="6" t="str">
        <f>"Ex 28: How much do you have to have in the bank when you retire if you want to withdraw "&amp;DOLLAR(-B2)&amp;" at the end of each period for the next "&amp;B5&amp;" years and you can earn "&amp;TEXT(B3,"0.00%")&amp;" compounded "&amp;B4&amp;" times a year?"</f>
        <v>Ex 28: How much do you have to have in the bank when you retire if you want to withdraw ($3,000.00) at the end of each period for the next 35 years and you can earn 6.00% compounded 12 times a year?</v>
      </c>
      <c r="B1" s="6"/>
      <c r="C1" s="71"/>
      <c r="D1" s="71"/>
      <c r="E1" s="43"/>
    </row>
    <row r="2" spans="1:2" ht="14.25">
      <c r="A2" s="5" t="s">
        <v>32</v>
      </c>
      <c r="B2" s="5">
        <v>3000</v>
      </c>
    </row>
    <row r="3" spans="1:2" ht="14.25">
      <c r="A3" s="5" t="s">
        <v>90</v>
      </c>
      <c r="B3" s="5">
        <v>0.06</v>
      </c>
    </row>
    <row r="4" spans="1:2" ht="14.25">
      <c r="A4" s="5" t="s">
        <v>4</v>
      </c>
      <c r="B4" s="5">
        <v>12</v>
      </c>
    </row>
    <row r="5" spans="1:4" ht="14.25">
      <c r="A5" s="5" t="s">
        <v>35</v>
      </c>
      <c r="B5" s="5">
        <v>35</v>
      </c>
      <c r="D5" s="5" t="s">
        <v>278</v>
      </c>
    </row>
    <row r="6" spans="1:4" ht="14.25">
      <c r="A6" s="5" t="s">
        <v>78</v>
      </c>
      <c r="B6" s="75"/>
      <c r="D6" s="5">
        <v>0</v>
      </c>
    </row>
    <row r="7" spans="1:2" ht="14.25">
      <c r="A7" s="5" t="s">
        <v>78</v>
      </c>
      <c r="B7" s="77"/>
    </row>
    <row r="8" spans="1:8" ht="14.25">
      <c r="A8" s="73" t="s">
        <v>54</v>
      </c>
      <c r="B8" s="8">
        <f>IF(B7="","","You have to have "&amp;DOLLAR(-B7)&amp;" in the bank when you retire if you want to withdraw "&amp;DOLLAR(-B2)&amp;" at the end of each period for the next "&amp;B5&amp;" years and you can earn "&amp;TEXT(B3,"0.00%")&amp;" compounded "&amp;B4&amp;" times a year.")</f>
      </c>
      <c r="C8" s="49"/>
      <c r="D8" s="49"/>
      <c r="E8" s="49"/>
      <c r="F8" s="49"/>
      <c r="G8" s="49"/>
      <c r="H8" s="50"/>
    </row>
    <row r="10" spans="1:5" ht="28.5">
      <c r="A10" s="6" t="str">
        <f>"Ex 29: If you need "&amp;DOLLAR(B11)&amp;" when you retire, how much do you need to invest each period if you are "&amp;B14&amp;" and you plan to retire when you are "&amp;B15&amp;" (i = "&amp;TEXT(B12,"0.00%")&amp;", n = "&amp;B13&amp;")."</f>
        <v>Ex 29: If you need $0.00 when you retire, how much do you need to invest each period if you are 28 and you plan to retire when you are 70 (i = 10.00%, n = 12).</v>
      </c>
      <c r="B10" s="6"/>
      <c r="C10" s="71"/>
      <c r="D10" s="71"/>
      <c r="E10" s="43"/>
    </row>
    <row r="11" spans="1:2" ht="14.25">
      <c r="A11" s="5" t="s">
        <v>34</v>
      </c>
      <c r="B11" s="60">
        <f>-B7</f>
        <v>0</v>
      </c>
    </row>
    <row r="12" spans="1:2" ht="14.25">
      <c r="A12" s="5" t="s">
        <v>75</v>
      </c>
      <c r="B12" s="5">
        <v>0.1</v>
      </c>
    </row>
    <row r="13" spans="1:2" ht="14.25">
      <c r="A13" s="5" t="s">
        <v>4</v>
      </c>
      <c r="B13" s="5">
        <v>12</v>
      </c>
    </row>
    <row r="14" spans="1:2" ht="14.25">
      <c r="A14" s="5" t="s">
        <v>81</v>
      </c>
      <c r="B14" s="5">
        <v>28</v>
      </c>
    </row>
    <row r="15" spans="1:2" ht="14.25">
      <c r="A15" s="5" t="s">
        <v>82</v>
      </c>
      <c r="B15" s="5">
        <v>70</v>
      </c>
    </row>
    <row r="16" spans="1:2" ht="14.25">
      <c r="A16" s="5" t="s">
        <v>35</v>
      </c>
      <c r="B16" s="1"/>
    </row>
    <row r="17" spans="1:4" ht="14.25">
      <c r="A17" s="5" t="s">
        <v>32</v>
      </c>
      <c r="B17" s="75"/>
      <c r="D17" s="5" t="s">
        <v>278</v>
      </c>
    </row>
    <row r="18" spans="1:4" ht="14.25">
      <c r="A18" s="5" t="s">
        <v>32</v>
      </c>
      <c r="B18" s="78"/>
      <c r="D18" s="5">
        <v>0</v>
      </c>
    </row>
    <row r="19" spans="1:4" ht="14.25">
      <c r="A19" s="5" t="s">
        <v>83</v>
      </c>
      <c r="B19" s="75"/>
      <c r="D19" s="76"/>
    </row>
    <row r="20" spans="1:4" ht="14.25">
      <c r="A20" s="5" t="s">
        <v>85</v>
      </c>
      <c r="B20" s="75"/>
      <c r="D20" s="76"/>
    </row>
    <row r="21" spans="1:4" ht="14.25">
      <c r="A21" s="5" t="s">
        <v>84</v>
      </c>
      <c r="B21" s="75"/>
      <c r="D21" s="76"/>
    </row>
    <row r="22" spans="1:8" ht="14.25">
      <c r="A22" s="5" t="s">
        <v>54</v>
      </c>
      <c r="B22" s="8">
        <f>IF(B18="","","If we invest "&amp;DOLLAR(-B18)&amp;" for "&amp;B16*B13&amp;" months at an APR of "&amp;TEXT(B12,"0.00%")&amp;" compounded "&amp;B13&amp;" times a year, we will be able to then withdraw "&amp;DOLLAR(B2)&amp;" for "&amp;B4*B5&amp;" months for a total net gain of "&amp;DOLLAR(B21)&amp;".")</f>
      </c>
      <c r="C22" s="49"/>
      <c r="D22" s="49"/>
      <c r="E22" s="49"/>
      <c r="F22" s="49"/>
      <c r="G22" s="49"/>
      <c r="H22" s="50"/>
    </row>
  </sheetData>
  <sheetProtection/>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theme="2"/>
  </sheetPr>
  <dimension ref="A1:H22"/>
  <sheetViews>
    <sheetView zoomScalePageLayoutView="0" workbookViewId="0" topLeftCell="A1">
      <selection activeCell="B18" sqref="B18"/>
    </sheetView>
  </sheetViews>
  <sheetFormatPr defaultColWidth="9.140625" defaultRowHeight="15"/>
  <cols>
    <col min="1" max="1" width="24.421875" style="0" customWidth="1"/>
    <col min="2" max="2" width="16.28125" style="0" bestFit="1" customWidth="1"/>
    <col min="3" max="5" width="17.28125" style="0" customWidth="1"/>
  </cols>
  <sheetData>
    <row r="1" spans="1:5" ht="28.5">
      <c r="A1" s="6" t="str">
        <f>"Ex 28: How much do you have to have in the bank when you retire if you want to withdraw "&amp;DOLLAR(-B2)&amp;" at the end of each period for the next "&amp;B5&amp;" years and you can earn "&amp;TEXT(B3,"0.00%")&amp;" compounded "&amp;B4&amp;" times a year?"</f>
        <v>Ex 28: How much do you have to have in the bank when you retire if you want to withdraw ($3,000.00) at the end of each period for the next 35 years and you can earn 6.00% compounded 12 times a year?</v>
      </c>
      <c r="B1" s="6"/>
      <c r="C1" s="71"/>
      <c r="D1" s="71"/>
      <c r="E1" s="43"/>
    </row>
    <row r="2" spans="1:2" ht="14.25">
      <c r="A2" s="5" t="s">
        <v>32</v>
      </c>
      <c r="B2" s="5">
        <v>3000</v>
      </c>
    </row>
    <row r="3" spans="1:2" ht="14.25">
      <c r="A3" s="5" t="s">
        <v>90</v>
      </c>
      <c r="B3" s="5">
        <v>0.06</v>
      </c>
    </row>
    <row r="4" spans="1:2" ht="14.25">
      <c r="A4" s="5" t="s">
        <v>4</v>
      </c>
      <c r="B4" s="5">
        <v>12</v>
      </c>
    </row>
    <row r="5" spans="1:4" ht="14.25">
      <c r="A5" s="5" t="s">
        <v>35</v>
      </c>
      <c r="B5" s="5">
        <v>35</v>
      </c>
      <c r="D5" s="5" t="s">
        <v>278</v>
      </c>
    </row>
    <row r="6" spans="1:4" ht="14.25">
      <c r="A6" s="5" t="s">
        <v>78</v>
      </c>
      <c r="B6" s="75">
        <f>B2*((1-(1+B3/B4)^-(B4*B5))/(B3/B4))</f>
        <v>526140.6786849453</v>
      </c>
      <c r="D6" s="5">
        <v>0</v>
      </c>
    </row>
    <row r="7" spans="1:2" ht="14.25">
      <c r="A7" s="5" t="s">
        <v>78</v>
      </c>
      <c r="B7" s="173">
        <f>PV(B3/B4,B4*B5,B2,,D6)</f>
        <v>-526140.6786849453</v>
      </c>
    </row>
    <row r="8" spans="1:8" ht="28.5">
      <c r="A8" s="73" t="s">
        <v>54</v>
      </c>
      <c r="B8" s="8" t="str">
        <f>IF(B7="","","You have to have "&amp;DOLLAR(-B7)&amp;" in the bank when you retire if you want to withdraw "&amp;DOLLAR(-B2)&amp;" at the end of each period for the next "&amp;B5&amp;" years and you can earn "&amp;TEXT(B3,"0.00%")&amp;" compounded "&amp;B4&amp;" times a year.")</f>
        <v>You have to have $526,140.68 in the bank when you retire if you want to withdraw ($3,000.00) at the end of each period for the next 35 years and you can earn 6.00% compounded 12 times a year.</v>
      </c>
      <c r="C8" s="49"/>
      <c r="D8" s="49"/>
      <c r="E8" s="49"/>
      <c r="F8" s="49"/>
      <c r="G8" s="49"/>
      <c r="H8" s="50"/>
    </row>
    <row r="10" spans="1:5" ht="28.5">
      <c r="A10" s="6" t="str">
        <f>"Ex 29: If you need "&amp;DOLLAR(B11)&amp;" when you retire, how much do you need to invest each period if you are "&amp;B14&amp;" and you plan to retire when you are "&amp;B15&amp;" (i = "&amp;TEXT(B12,"0.00%")&amp;", n = "&amp;B13&amp;")."</f>
        <v>Ex 29: If you need $526,140.68 when you retire, how much do you need to invest each period if you are 28 and you plan to retire when you are 70 (i = 10.00%, n = 12).</v>
      </c>
      <c r="B10" s="6"/>
      <c r="C10" s="71"/>
      <c r="D10" s="71"/>
      <c r="E10" s="43"/>
    </row>
    <row r="11" spans="1:2" ht="14.25">
      <c r="A11" s="5" t="s">
        <v>34</v>
      </c>
      <c r="B11" s="60">
        <f>-B7</f>
        <v>526140.6786849453</v>
      </c>
    </row>
    <row r="12" spans="1:2" ht="14.25">
      <c r="A12" s="5" t="s">
        <v>75</v>
      </c>
      <c r="B12" s="5">
        <v>0.1</v>
      </c>
    </row>
    <row r="13" spans="1:2" ht="14.25">
      <c r="A13" s="5" t="s">
        <v>4</v>
      </c>
      <c r="B13" s="5">
        <v>12</v>
      </c>
    </row>
    <row r="14" spans="1:2" ht="14.25">
      <c r="A14" s="5" t="s">
        <v>81</v>
      </c>
      <c r="B14" s="5">
        <v>28</v>
      </c>
    </row>
    <row r="15" spans="1:2" ht="14.25">
      <c r="A15" s="5" t="s">
        <v>82</v>
      </c>
      <c r="B15" s="5">
        <v>70</v>
      </c>
    </row>
    <row r="16" spans="1:4" ht="14.25">
      <c r="A16" s="5" t="s">
        <v>35</v>
      </c>
      <c r="B16" s="1">
        <f>B15-B14</f>
        <v>42</v>
      </c>
      <c r="D16" t="s">
        <v>86</v>
      </c>
    </row>
    <row r="17" spans="1:4" ht="14.25">
      <c r="A17" s="5" t="s">
        <v>32</v>
      </c>
      <c r="B17" s="75">
        <f>B11/(((1+B12/B13)^(B13*B16)-1)/(B12/B13))</f>
        <v>67.93911885832017</v>
      </c>
      <c r="D17" s="5" t="s">
        <v>278</v>
      </c>
    </row>
    <row r="18" spans="1:4" ht="14.25">
      <c r="A18" s="5" t="s">
        <v>32</v>
      </c>
      <c r="B18" s="78">
        <f>PMT(B12/B13,B13*B16,,B11,D18)</f>
        <v>-67.93911885832017</v>
      </c>
      <c r="D18" s="5">
        <v>0</v>
      </c>
    </row>
    <row r="19" spans="1:4" ht="14.25">
      <c r="A19" s="5" t="s">
        <v>83</v>
      </c>
      <c r="B19" s="75">
        <f>-B18*B16*B13</f>
        <v>34241.315904593364</v>
      </c>
      <c r="D19" s="76">
        <f>-D18*B16*B13</f>
        <v>0</v>
      </c>
    </row>
    <row r="20" spans="1:4" ht="14.25">
      <c r="A20" s="5" t="s">
        <v>85</v>
      </c>
      <c r="B20" s="75">
        <f>B2*B4*B5</f>
        <v>1260000</v>
      </c>
      <c r="D20" s="76">
        <f>B2*B4*B5</f>
        <v>1260000</v>
      </c>
    </row>
    <row r="21" spans="1:4" ht="14.25">
      <c r="A21" s="5" t="s">
        <v>84</v>
      </c>
      <c r="B21" s="75">
        <f>B20-B19</f>
        <v>1225758.6840954067</v>
      </c>
      <c r="D21" s="76">
        <f>D20-D19</f>
        <v>1260000</v>
      </c>
    </row>
    <row r="22" spans="1:8" ht="28.5">
      <c r="A22" s="5" t="s">
        <v>54</v>
      </c>
      <c r="B22" s="8" t="str">
        <f>IF(B18="","","If we invest "&amp;DOLLAR(-B18)&amp;" for "&amp;B16*B13&amp;" months at an APR of "&amp;TEXT(B12,"0.00%")&amp;" compounded "&amp;B13&amp;" times a year, we will be able to then withdraw "&amp;DOLLAR(B2)&amp;" for "&amp;B4*B5&amp;" months for a total net gain of "&amp;DOLLAR(B21)&amp;".")</f>
        <v>If we invest $67.94 for 504 months at an APR of 10.00% compounded 12 times a year, we will be able to then withdraw $3,000.00 for 420 months for a total net gain of $1,225,758.68.</v>
      </c>
      <c r="C22" s="49"/>
      <c r="D22" s="49"/>
      <c r="E22" s="49"/>
      <c r="F22" s="49"/>
      <c r="G22" s="49"/>
      <c r="H22" s="50"/>
    </row>
  </sheetData>
  <sheetProtection/>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theme="0"/>
  </sheetPr>
  <dimension ref="A1:G8"/>
  <sheetViews>
    <sheetView zoomScalePageLayoutView="0" workbookViewId="0" topLeftCell="A1">
      <selection activeCell="B6" sqref="B6"/>
    </sheetView>
  </sheetViews>
  <sheetFormatPr defaultColWidth="9.140625" defaultRowHeight="15"/>
  <cols>
    <col min="1" max="1" width="23.7109375" style="0" bestFit="1" customWidth="1"/>
    <col min="2" max="2" width="12.57421875" style="0" bestFit="1" customWidth="1"/>
  </cols>
  <sheetData>
    <row r="1" spans="1:6" ht="42.75">
      <c r="A1" s="82" t="str">
        <f>"If a new machine will yield a net cash flow of "&amp;DOLLAR(B2)&amp;" per month for the next "&amp;B5&amp;" years and your discount rate is "&amp;TEXT(B3,"0.00%")&amp;" compounded "&amp;B4&amp;" times a year, what is the maximum amount that you should pay for the machine?"</f>
        <v>If a new machine will yield a net cash flow of $10,000.00 per month for the next 5 years and your discount rate is 15.00% compounded 12 times a year, what is the maximum amount that you should pay for the machine?</v>
      </c>
      <c r="B1" s="71"/>
      <c r="C1" s="71"/>
      <c r="D1" s="71"/>
      <c r="E1" s="71"/>
      <c r="F1" s="43"/>
    </row>
    <row r="2" spans="1:2" ht="14.25">
      <c r="A2" s="11" t="s">
        <v>32</v>
      </c>
      <c r="B2" s="79">
        <v>10000</v>
      </c>
    </row>
    <row r="3" spans="1:2" ht="14.25">
      <c r="A3" s="5" t="s">
        <v>89</v>
      </c>
      <c r="B3" s="81">
        <v>0.15</v>
      </c>
    </row>
    <row r="4" spans="1:4" ht="14.25">
      <c r="A4" s="5" t="s">
        <v>4</v>
      </c>
      <c r="B4" s="5">
        <v>12</v>
      </c>
      <c r="D4" s="5" t="s">
        <v>278</v>
      </c>
    </row>
    <row r="5" spans="1:4" ht="14.25">
      <c r="A5" s="5" t="s">
        <v>35</v>
      </c>
      <c r="B5" s="5">
        <v>5</v>
      </c>
      <c r="D5" s="5">
        <v>0</v>
      </c>
    </row>
    <row r="6" spans="1:2" ht="14.25">
      <c r="A6" s="5" t="s">
        <v>78</v>
      </c>
      <c r="B6" s="46"/>
    </row>
    <row r="7" spans="1:2" ht="14.25">
      <c r="A7" s="5" t="s">
        <v>78</v>
      </c>
      <c r="B7" s="46"/>
    </row>
    <row r="8" spans="1:7" ht="14.25">
      <c r="A8" s="5" t="s">
        <v>54</v>
      </c>
      <c r="B8" s="48">
        <f>IF(B7="","","If a new machine will yield a net cash flow of "&amp;DOLLAR(B2)&amp;" per month for the next "&amp;B5&amp;" years and your discount rate is "&amp;TEXT(B3,"0.00%")&amp;" compounded "&amp;B4&amp;" times a year, the the maximum amount that you should pay for the machine is "&amp;DOLLAR(-B7)&amp;".")</f>
      </c>
      <c r="C8" s="49"/>
      <c r="D8" s="49"/>
      <c r="E8" s="49"/>
      <c r="F8" s="49"/>
      <c r="G8" s="50"/>
    </row>
  </sheetData>
  <sheetProtection/>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theme="2"/>
  </sheetPr>
  <dimension ref="A1:G8"/>
  <sheetViews>
    <sheetView zoomScalePageLayoutView="0" workbookViewId="0" topLeftCell="A1">
      <selection activeCell="B7" sqref="B7"/>
    </sheetView>
  </sheetViews>
  <sheetFormatPr defaultColWidth="9.140625" defaultRowHeight="15"/>
  <cols>
    <col min="1" max="1" width="23.7109375" style="0" bestFit="1" customWidth="1"/>
    <col min="2" max="2" width="12.57421875" style="0" bestFit="1" customWidth="1"/>
  </cols>
  <sheetData>
    <row r="1" spans="1:6" ht="42.75">
      <c r="A1" s="82" t="str">
        <f>"If a new machine will yield a net cash flow of "&amp;DOLLAR(B2)&amp;" per month for the next "&amp;B5&amp;" years and your discount rate is "&amp;TEXT(B3,"0.00%")&amp;" compounded "&amp;B4&amp;" times a year, what is the maximum amount that you should pay for the machine?"</f>
        <v>If a new machine will yield a net cash flow of $10,000.00 per month for the next 5 years and your discount rate is 15.00% compounded 12 times a year, what is the maximum amount that you should pay for the machine?</v>
      </c>
      <c r="B1" s="71"/>
      <c r="C1" s="71"/>
      <c r="D1" s="71"/>
      <c r="E1" s="71"/>
      <c r="F1" s="43"/>
    </row>
    <row r="2" spans="1:2" ht="14.25">
      <c r="A2" s="11" t="s">
        <v>32</v>
      </c>
      <c r="B2" s="79">
        <v>10000</v>
      </c>
    </row>
    <row r="3" spans="1:2" ht="14.25">
      <c r="A3" s="5" t="s">
        <v>89</v>
      </c>
      <c r="B3" s="81">
        <v>0.15</v>
      </c>
    </row>
    <row r="4" spans="1:4" ht="14.25">
      <c r="A4" s="5" t="s">
        <v>4</v>
      </c>
      <c r="B4" s="5">
        <v>12</v>
      </c>
      <c r="D4" s="5" t="s">
        <v>278</v>
      </c>
    </row>
    <row r="5" spans="1:4" ht="14.25">
      <c r="A5" s="5" t="s">
        <v>35</v>
      </c>
      <c r="B5" s="5">
        <v>5</v>
      </c>
      <c r="D5" s="5">
        <v>0</v>
      </c>
    </row>
    <row r="6" spans="1:2" ht="14.25">
      <c r="A6" s="5" t="s">
        <v>78</v>
      </c>
      <c r="B6" s="46">
        <f>B2*((1-(1+B3/B4)^-(B4*B5))/(B3/B4))</f>
        <v>420345.91794509074</v>
      </c>
    </row>
    <row r="7" spans="1:2" ht="14.25">
      <c r="A7" s="5" t="s">
        <v>78</v>
      </c>
      <c r="B7" s="46">
        <f>PV(B3/B4,B4*B5,B2,,D5)</f>
        <v>-420345.9179450908</v>
      </c>
    </row>
    <row r="8" spans="1:7" ht="57">
      <c r="A8" s="5" t="s">
        <v>54</v>
      </c>
      <c r="B8" s="48" t="str">
        <f>IF(B7="","","If a new machine will yield a net cash flow of "&amp;DOLLAR(B2)&amp;" per month for the next "&amp;B5&amp;" years and your discount rate is "&amp;TEXT(B3,"0.00%")&amp;" compounded "&amp;B4&amp;" times a year, the the maximum amount that you should pay for the machine is "&amp;DOLLAR(-B7)&amp;".")</f>
        <v>If a new machine will yield a net cash flow of $10,000.00 per month for the next 5 years and your discount rate is 15.00% compounded 12 times a year, the the maximum amount that you should pay for the machine is $420,345.92.</v>
      </c>
      <c r="C8" s="49"/>
      <c r="D8" s="49"/>
      <c r="E8" s="49"/>
      <c r="F8" s="49"/>
      <c r="G8" s="50"/>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0"/>
  </sheetPr>
  <dimension ref="A1:H9"/>
  <sheetViews>
    <sheetView zoomScalePageLayoutView="0" workbookViewId="0" topLeftCell="A1">
      <selection activeCell="B6" sqref="B6"/>
    </sheetView>
  </sheetViews>
  <sheetFormatPr defaultColWidth="9.140625" defaultRowHeight="15"/>
  <cols>
    <col min="1" max="2" width="18.57421875" style="0" customWidth="1"/>
  </cols>
  <sheetData>
    <row r="1" spans="1:2" ht="57">
      <c r="A1" s="6" t="str">
        <f>"Example 17: Which APR yeilds more interest: "&amp;TEXT(B2,"0.00%")&amp;" compounded "&amp;B3&amp;" times a year, or, "&amp;TEXT(B4,"0.00%")&amp;" compounded "&amp;B5&amp;" times a year?"</f>
        <v>Example 17: Which APR yeilds more interest: 11.00% compounded 4 times a year, or, 10.75% compounded 365 times a year?</v>
      </c>
      <c r="B1" s="6"/>
    </row>
    <row r="2" spans="1:2" ht="18.75">
      <c r="A2" s="4" t="s">
        <v>16</v>
      </c>
      <c r="B2" s="9">
        <v>0.11</v>
      </c>
    </row>
    <row r="3" spans="1:2" ht="18.75">
      <c r="A3" s="4" t="s">
        <v>17</v>
      </c>
      <c r="B3" s="5">
        <v>4</v>
      </c>
    </row>
    <row r="4" spans="1:2" ht="18.75">
      <c r="A4" s="4" t="s">
        <v>18</v>
      </c>
      <c r="B4" s="9">
        <v>0.1075</v>
      </c>
    </row>
    <row r="5" spans="1:2" ht="18.75">
      <c r="A5" s="4" t="s">
        <v>19</v>
      </c>
      <c r="B5" s="5">
        <v>365</v>
      </c>
    </row>
    <row r="6" spans="1:8" ht="18.75">
      <c r="A6" s="4" t="s">
        <v>20</v>
      </c>
      <c r="B6" s="10"/>
      <c r="C6" s="13">
        <f>IF(B6&lt;&gt;"",IF(B8&gt;B9,TEXT(B2,"0.00%")&amp;" compounded "&amp;B3&amp;" times a year earns more interest than "&amp;TEXT(B4,"0.00%")&amp;" compounded "&amp;B5&amp;" times a year."),"")</f>
      </c>
      <c r="D6" s="14"/>
      <c r="E6" s="14"/>
      <c r="F6" s="14"/>
      <c r="G6" s="14"/>
      <c r="H6" s="15"/>
    </row>
    <row r="7" spans="1:3" ht="18.75">
      <c r="A7" s="4" t="s">
        <v>21</v>
      </c>
      <c r="B7" s="1"/>
      <c r="C7" s="12">
        <f>IF(B7&lt;&gt;"",B7&gt;B6,"")</f>
      </c>
    </row>
    <row r="8" spans="1:8" ht="18.75">
      <c r="A8" s="4" t="s">
        <v>20</v>
      </c>
      <c r="B8" s="10"/>
      <c r="C8" s="13">
        <f>IF(B8&lt;&gt;"",IF(B8&gt;B9,TEXT(B2,"0.00%")&amp;" compounded "&amp;B3&amp;" times a year earns more interest than "&amp;TEXT(B4,"0.00%")&amp;" compounded "&amp;B5&amp;" times a year."),"")</f>
      </c>
      <c r="D8" s="14"/>
      <c r="E8" s="14"/>
      <c r="F8" s="14"/>
      <c r="G8" s="14"/>
      <c r="H8" s="15"/>
    </row>
    <row r="9" spans="1:3" ht="18.75">
      <c r="A9" s="4" t="s">
        <v>21</v>
      </c>
      <c r="B9" s="1"/>
      <c r="C9" s="11">
        <f>IF(B9&lt;&gt;"",B9&gt;B8,"")</f>
      </c>
    </row>
  </sheetData>
  <sheetProtection/>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theme="0"/>
  </sheetPr>
  <dimension ref="A1:E8"/>
  <sheetViews>
    <sheetView zoomScalePageLayoutView="0" workbookViewId="0" topLeftCell="A1">
      <selection activeCell="D16" sqref="D16"/>
    </sheetView>
  </sheetViews>
  <sheetFormatPr defaultColWidth="9.140625" defaultRowHeight="15"/>
  <cols>
    <col min="2" max="2" width="11.57421875" style="0" bestFit="1" customWidth="1"/>
  </cols>
  <sheetData>
    <row r="1" spans="1:4" ht="28.5">
      <c r="A1" s="82" t="s">
        <v>93</v>
      </c>
      <c r="B1" s="71"/>
      <c r="C1" s="71"/>
      <c r="D1" s="43"/>
    </row>
    <row r="2" spans="1:2" ht="14.25">
      <c r="A2" s="11" t="s">
        <v>78</v>
      </c>
      <c r="B2" s="79">
        <v>300000</v>
      </c>
    </row>
    <row r="3" spans="1:2" ht="14.25">
      <c r="A3" s="5" t="s">
        <v>91</v>
      </c>
      <c r="B3" s="9">
        <v>0.065</v>
      </c>
    </row>
    <row r="4" spans="1:4" ht="14.25">
      <c r="A4" s="5" t="s">
        <v>92</v>
      </c>
      <c r="B4" s="5">
        <v>12</v>
      </c>
      <c r="D4" s="5" t="s">
        <v>278</v>
      </c>
    </row>
    <row r="5" spans="1:4" ht="14.25">
      <c r="A5" s="5" t="s">
        <v>35</v>
      </c>
      <c r="B5" s="5">
        <v>30</v>
      </c>
      <c r="D5" s="5">
        <v>0</v>
      </c>
    </row>
    <row r="6" spans="1:2" ht="14.25">
      <c r="A6" s="5" t="s">
        <v>32</v>
      </c>
      <c r="B6" s="75"/>
    </row>
    <row r="7" spans="1:2" ht="14.25">
      <c r="A7" s="5" t="s">
        <v>32</v>
      </c>
      <c r="B7" s="75"/>
    </row>
    <row r="8" spans="1:5" ht="14.25">
      <c r="A8" s="85" t="s">
        <v>54</v>
      </c>
      <c r="B8" s="48">
        <f>IF(B7="","","At and APR of "&amp;TEXT(B3,"0.00%")&amp;" compounded "&amp;B4&amp;" times a year for "&amp;B5&amp;" years, the monthly PMT is "&amp;DOLLAR(B7)&amp;".")</f>
      </c>
      <c r="C8" s="49"/>
      <c r="D8" s="49"/>
      <c r="E8" s="50"/>
    </row>
  </sheetData>
  <sheetProtection/>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theme="2"/>
  </sheetPr>
  <dimension ref="A1:E8"/>
  <sheetViews>
    <sheetView zoomScalePageLayoutView="0" workbookViewId="0" topLeftCell="A1">
      <selection activeCell="B8" sqref="B8"/>
    </sheetView>
  </sheetViews>
  <sheetFormatPr defaultColWidth="9.140625" defaultRowHeight="15"/>
  <cols>
    <col min="2" max="2" width="11.57421875" style="0" bestFit="1" customWidth="1"/>
  </cols>
  <sheetData>
    <row r="1" spans="1:4" ht="28.5">
      <c r="A1" s="82" t="s">
        <v>93</v>
      </c>
      <c r="B1" s="71"/>
      <c r="C1" s="71"/>
      <c r="D1" s="43"/>
    </row>
    <row r="2" spans="1:2" ht="14.25">
      <c r="A2" s="11" t="s">
        <v>78</v>
      </c>
      <c r="B2" s="79">
        <v>300000</v>
      </c>
    </row>
    <row r="3" spans="1:2" ht="14.25">
      <c r="A3" s="5" t="s">
        <v>91</v>
      </c>
      <c r="B3" s="9">
        <v>0.065</v>
      </c>
    </row>
    <row r="4" spans="1:4" ht="14.25">
      <c r="A4" s="5" t="s">
        <v>92</v>
      </c>
      <c r="B4" s="5">
        <v>12</v>
      </c>
      <c r="D4" s="5" t="s">
        <v>278</v>
      </c>
    </row>
    <row r="5" spans="1:4" ht="14.25">
      <c r="A5" s="5" t="s">
        <v>35</v>
      </c>
      <c r="B5" s="5">
        <v>30</v>
      </c>
      <c r="D5" s="5">
        <v>0</v>
      </c>
    </row>
    <row r="6" spans="1:2" ht="14.25">
      <c r="A6" s="5" t="s">
        <v>32</v>
      </c>
      <c r="B6" s="75">
        <f>B2/((1-(1+B3/B4)^-(B4*B5))/(B3/B4))</f>
        <v>1896.204070478898</v>
      </c>
    </row>
    <row r="7" spans="1:2" ht="14.25">
      <c r="A7" s="5" t="s">
        <v>32</v>
      </c>
      <c r="B7" s="78">
        <f>PMT(B3/B4,B4*B5,B2,,D5)</f>
        <v>-1896.2040704788983</v>
      </c>
    </row>
    <row r="8" spans="1:5" ht="42.75">
      <c r="A8" s="85" t="s">
        <v>54</v>
      </c>
      <c r="B8" s="48" t="str">
        <f>IF(B7="","","At and APR of "&amp;TEXT(B3,"0.00%")&amp;" compounded "&amp;B4&amp;" times a year for "&amp;B5&amp;" years, the monthly PMT is "&amp;DOLLAR(B7)&amp;".")</f>
        <v>At and APR of 6.50% compounded 12 times a year for 30 years, the monthly PMT is ($1,896.20).</v>
      </c>
      <c r="C8" s="49"/>
      <c r="D8" s="49"/>
      <c r="E8" s="50"/>
    </row>
  </sheetData>
  <sheetProtection/>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3"/>
  </sheetPr>
  <dimension ref="A1:E10"/>
  <sheetViews>
    <sheetView zoomScalePageLayoutView="0" workbookViewId="0" topLeftCell="A1">
      <selection activeCell="B8" sqref="B8"/>
    </sheetView>
  </sheetViews>
  <sheetFormatPr defaultColWidth="9.140625" defaultRowHeight="15"/>
  <cols>
    <col min="1" max="1" width="35.421875" style="0" bestFit="1" customWidth="1"/>
    <col min="2" max="2" width="11.57421875" style="0" bestFit="1" customWidth="1"/>
  </cols>
  <sheetData>
    <row r="1" spans="1:4" ht="57">
      <c r="A1" s="82" t="str">
        <f>"If your retirement account shows "&amp;DOLLAR(B2)&amp;" on the day that you retire and you plan to live to be "&amp;B6&amp;" (you are "&amp;B5&amp;" now), how much can you withdraw each month if you can invest in a "&amp;B7&amp;" year bond fund that yields "&amp;TEXT(B3,"0.00%")&amp;" compounded monthly?"</f>
        <v>If your retirement account shows $312,000.00 on the day that you retire and you plan to live to be 100 (you are 70 now), how much can you withdraw each month if you can invest in a 30 year bond fund that yields 5.00% compounded monthly?</v>
      </c>
      <c r="B1" s="71"/>
      <c r="C1" s="71"/>
      <c r="D1" s="43"/>
    </row>
    <row r="2" spans="1:2" ht="14.25">
      <c r="A2" s="11" t="s">
        <v>78</v>
      </c>
      <c r="B2" s="79">
        <v>312000</v>
      </c>
    </row>
    <row r="3" spans="1:2" ht="14.25">
      <c r="A3" s="5" t="s">
        <v>91</v>
      </c>
      <c r="B3" s="9">
        <v>0.05</v>
      </c>
    </row>
    <row r="4" spans="1:2" ht="14.25">
      <c r="A4" s="5" t="s">
        <v>92</v>
      </c>
      <c r="B4" s="5">
        <v>12</v>
      </c>
    </row>
    <row r="5" spans="1:2" ht="14.25">
      <c r="A5" s="5" t="s">
        <v>82</v>
      </c>
      <c r="B5" s="5">
        <v>70</v>
      </c>
    </row>
    <row r="6" spans="1:2" ht="14.25">
      <c r="A6" s="5" t="s">
        <v>94</v>
      </c>
      <c r="B6" s="5">
        <v>100</v>
      </c>
    </row>
    <row r="7" spans="1:2" ht="14.25">
      <c r="A7" s="5" t="s">
        <v>35</v>
      </c>
      <c r="B7" s="5">
        <f>B6-B5</f>
        <v>30</v>
      </c>
    </row>
    <row r="8" spans="1:2" ht="14.25">
      <c r="A8" s="5" t="s">
        <v>32</v>
      </c>
      <c r="B8" s="75"/>
    </row>
    <row r="9" spans="1:2" ht="14.25">
      <c r="A9" s="5" t="s">
        <v>32</v>
      </c>
      <c r="B9" s="78"/>
    </row>
    <row r="10" spans="1:5" ht="14.25">
      <c r="A10" s="53" t="s">
        <v>54</v>
      </c>
      <c r="B10" s="48">
        <f>IF(B9="","","If your retirement account shows "&amp;DOLLAR(B2)&amp;" on the day that you retire and you plan to live to be "&amp;B6&amp;" (you are "&amp;B5&amp;" now), you can withdraw "&amp;DOLLAR(B9)&amp;"each month if you can invest in a "&amp;B7&amp;" year bond fund that yields "&amp;TEXT(B3,"0.00%")&amp;" compounded monthly?")</f>
      </c>
      <c r="C10" s="49"/>
      <c r="D10" s="49"/>
      <c r="E10" s="50"/>
    </row>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2"/>
  </sheetPr>
  <dimension ref="A1:E10"/>
  <sheetViews>
    <sheetView zoomScalePageLayoutView="0" workbookViewId="0" topLeftCell="A1">
      <selection activeCell="B9" sqref="B9"/>
    </sheetView>
  </sheetViews>
  <sheetFormatPr defaultColWidth="9.140625" defaultRowHeight="15"/>
  <cols>
    <col min="1" max="1" width="35.421875" style="0" bestFit="1" customWidth="1"/>
    <col min="2" max="2" width="11.57421875" style="0" bestFit="1" customWidth="1"/>
  </cols>
  <sheetData>
    <row r="1" spans="1:4" ht="57">
      <c r="A1" s="82" t="str">
        <f>"If your retirement account shows "&amp;DOLLAR(B2)&amp;" on the day that you retire and you plan to live to be "&amp;B6&amp;" (you are "&amp;B5&amp;" now), how much can you withdraw each month if you can invest in a "&amp;B7&amp;" year bond fund that yields "&amp;TEXT(B3,"0.00%")&amp;" compounded monthly?"</f>
        <v>If your retirement account shows $312,000.00 on the day that you retire and you plan to live to be 100 (you are 70 now), how much can you withdraw each month if you can invest in a 30 year bond fund that yields 5.00% compounded monthly?</v>
      </c>
      <c r="B1" s="71"/>
      <c r="C1" s="71"/>
      <c r="D1" s="43"/>
    </row>
    <row r="2" spans="1:2" ht="14.25">
      <c r="A2" s="11" t="s">
        <v>78</v>
      </c>
      <c r="B2" s="79">
        <v>312000</v>
      </c>
    </row>
    <row r="3" spans="1:2" ht="14.25">
      <c r="A3" s="5" t="s">
        <v>91</v>
      </c>
      <c r="B3" s="9">
        <v>0.05</v>
      </c>
    </row>
    <row r="4" spans="1:2" ht="14.25">
      <c r="A4" s="5" t="s">
        <v>92</v>
      </c>
      <c r="B4" s="5">
        <v>12</v>
      </c>
    </row>
    <row r="5" spans="1:2" ht="14.25">
      <c r="A5" s="5" t="s">
        <v>82</v>
      </c>
      <c r="B5" s="5">
        <v>70</v>
      </c>
    </row>
    <row r="6" spans="1:2" ht="14.25">
      <c r="A6" s="5" t="s">
        <v>94</v>
      </c>
      <c r="B6" s="5">
        <v>100</v>
      </c>
    </row>
    <row r="7" spans="1:2" ht="14.25">
      <c r="A7" s="5" t="s">
        <v>35</v>
      </c>
      <c r="B7" s="5">
        <f>B6-B5</f>
        <v>30</v>
      </c>
    </row>
    <row r="8" spans="1:2" ht="14.25">
      <c r="A8" s="5" t="s">
        <v>32</v>
      </c>
      <c r="B8" s="75">
        <f>B2/((1-(1+B3/B4)^-(B4*B7))/(B3/B4))</f>
        <v>1674.8834637978712</v>
      </c>
    </row>
    <row r="9" spans="1:2" ht="14.25">
      <c r="A9" s="5" t="s">
        <v>32</v>
      </c>
      <c r="B9" s="78">
        <f>PMT(B3/B4,B4*B7,-B2,,0)</f>
        <v>1674.883463797871</v>
      </c>
    </row>
    <row r="10" spans="1:5" ht="85.5">
      <c r="A10" s="53" t="s">
        <v>54</v>
      </c>
      <c r="B10" s="48" t="str">
        <f>IF(B9="","","If your retirement account shows "&amp;DOLLAR(B2)&amp;" on the day that you retire and you plan to live to be "&amp;B6&amp;" (you are "&amp;B5&amp;" now), you can withdraw "&amp;DOLLAR(B9)&amp;"each month if you can invest in a "&amp;B7&amp;" year bond fund that yields "&amp;TEXT(B3,"0.00%")&amp;" compounded monthly?")</f>
        <v>If your retirement account shows $312,000.00 on the day that you retire and you plan to live to be 100 (you are 70 now), you can withdraw $1,674.88each month if you can invest in a 30 year bond fund that yields 5.00% compounded monthly?</v>
      </c>
      <c r="C10" s="49"/>
      <c r="D10" s="49"/>
      <c r="E10" s="50"/>
    </row>
  </sheetData>
  <sheetProtection/>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3"/>
  </sheetPr>
  <dimension ref="A1:F9"/>
  <sheetViews>
    <sheetView zoomScalePageLayoutView="0" workbookViewId="0" topLeftCell="A1">
      <selection activeCell="B6" sqref="B6"/>
    </sheetView>
  </sheetViews>
  <sheetFormatPr defaultColWidth="9.140625" defaultRowHeight="15"/>
  <cols>
    <col min="1" max="1" width="26.00390625" style="0" customWidth="1"/>
    <col min="2" max="2" width="15.140625" style="0" customWidth="1"/>
    <col min="6" max="6" width="11.8515625" style="0" bestFit="1" customWidth="1"/>
  </cols>
  <sheetData>
    <row r="1" spans="1:2" ht="28.5">
      <c r="A1" s="6" t="s">
        <v>98</v>
      </c>
      <c r="B1" s="6"/>
    </row>
    <row r="2" spans="1:6" ht="14.25">
      <c r="A2" s="5" t="s">
        <v>95</v>
      </c>
      <c r="B2" s="5">
        <v>230000</v>
      </c>
      <c r="F2" t="s">
        <v>59</v>
      </c>
    </row>
    <row r="3" spans="1:6" ht="14.25">
      <c r="A3" s="5" t="s">
        <v>55</v>
      </c>
      <c r="B3" s="5">
        <v>3250</v>
      </c>
      <c r="F3" s="52">
        <f>PV(B7/B5,B5*B4,-B3,,0)</f>
        <v>390000</v>
      </c>
    </row>
    <row r="4" spans="1:2" ht="14.25">
      <c r="A4" s="5" t="s">
        <v>35</v>
      </c>
      <c r="B4" s="5">
        <v>10</v>
      </c>
    </row>
    <row r="5" spans="1:2" ht="14.25">
      <c r="A5" s="5" t="s">
        <v>96</v>
      </c>
      <c r="B5" s="5">
        <v>12</v>
      </c>
    </row>
    <row r="6" spans="1:3" ht="14.25">
      <c r="A6" s="5" t="s">
        <v>70</v>
      </c>
      <c r="B6" s="20"/>
      <c r="C6" t="s">
        <v>99</v>
      </c>
    </row>
    <row r="7" spans="1:2" ht="14.25">
      <c r="A7" s="5" t="s">
        <v>97</v>
      </c>
      <c r="B7" s="20"/>
    </row>
    <row r="8" spans="1:3" ht="14.25">
      <c r="A8" s="5" t="s">
        <v>28</v>
      </c>
      <c r="B8" s="20"/>
      <c r="C8" t="s">
        <v>100</v>
      </c>
    </row>
    <row r="9" spans="1:3" ht="14.25">
      <c r="A9" s="5" t="s">
        <v>28</v>
      </c>
      <c r="B9" s="20"/>
      <c r="C9" t="s">
        <v>101</v>
      </c>
    </row>
  </sheetData>
  <sheetProtection/>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2"/>
  </sheetPr>
  <dimension ref="A1:F9"/>
  <sheetViews>
    <sheetView zoomScalePageLayoutView="0" workbookViewId="0" topLeftCell="A1">
      <selection activeCell="B15" sqref="B15"/>
    </sheetView>
  </sheetViews>
  <sheetFormatPr defaultColWidth="9.140625" defaultRowHeight="15"/>
  <cols>
    <col min="1" max="1" width="26.00390625" style="0" customWidth="1"/>
    <col min="2" max="2" width="15.140625" style="0" customWidth="1"/>
    <col min="6" max="6" width="11.8515625" style="0" bestFit="1" customWidth="1"/>
  </cols>
  <sheetData>
    <row r="1" spans="1:2" ht="28.5">
      <c r="A1" s="6" t="s">
        <v>98</v>
      </c>
      <c r="B1" s="6"/>
    </row>
    <row r="2" spans="1:6" ht="14.25">
      <c r="A2" s="5" t="s">
        <v>95</v>
      </c>
      <c r="B2" s="5">
        <v>230000</v>
      </c>
      <c r="F2" t="s">
        <v>59</v>
      </c>
    </row>
    <row r="3" spans="1:6" ht="14.25">
      <c r="A3" s="5" t="s">
        <v>55</v>
      </c>
      <c r="B3" s="5">
        <v>3250</v>
      </c>
      <c r="F3" s="52">
        <f>PV(B7/B5,B5*B4,-B3,,0)</f>
        <v>229999.99999999537</v>
      </c>
    </row>
    <row r="4" spans="1:2" ht="14.25">
      <c r="A4" s="5" t="s">
        <v>35</v>
      </c>
      <c r="B4" s="5">
        <v>10</v>
      </c>
    </row>
    <row r="5" spans="1:2" ht="14.25">
      <c r="A5" s="5" t="s">
        <v>96</v>
      </c>
      <c r="B5" s="5">
        <v>12</v>
      </c>
    </row>
    <row r="6" spans="1:3" ht="14.25">
      <c r="A6" s="5" t="s">
        <v>70</v>
      </c>
      <c r="B6" s="20">
        <f>RATE(B5*B4,-B3,B2,,0)</f>
        <v>0.009686458800267276</v>
      </c>
      <c r="C6" t="s">
        <v>99</v>
      </c>
    </row>
    <row r="7" spans="1:2" ht="14.25">
      <c r="A7" s="5" t="s">
        <v>97</v>
      </c>
      <c r="B7" s="20">
        <f>B6*B5</f>
        <v>0.11623750560320731</v>
      </c>
    </row>
    <row r="8" spans="1:3" ht="14.25">
      <c r="A8" s="5" t="s">
        <v>28</v>
      </c>
      <c r="B8" s="20">
        <f>EFFECT(B7,B5*B4)</f>
        <v>0.12319942846116083</v>
      </c>
      <c r="C8" t="s">
        <v>100</v>
      </c>
    </row>
    <row r="9" spans="1:3" ht="14.25">
      <c r="A9" s="5" t="s">
        <v>28</v>
      </c>
      <c r="B9" s="20">
        <f>(1+B7/B5)^B5-1</f>
        <v>0.12263449397442594</v>
      </c>
      <c r="C9" t="s">
        <v>101</v>
      </c>
    </row>
  </sheetData>
  <sheetProtection/>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3"/>
  </sheetPr>
  <dimension ref="A1:F8"/>
  <sheetViews>
    <sheetView zoomScalePageLayoutView="0" workbookViewId="0" topLeftCell="A1">
      <selection activeCell="B6" sqref="B6"/>
    </sheetView>
  </sheetViews>
  <sheetFormatPr defaultColWidth="9.140625" defaultRowHeight="15"/>
  <cols>
    <col min="1" max="1" width="23.57421875" style="0" bestFit="1" customWidth="1"/>
    <col min="2" max="2" width="9.57421875" style="0" bestFit="1" customWidth="1"/>
  </cols>
  <sheetData>
    <row r="1" spans="1:5" ht="28.5">
      <c r="A1" s="82" t="s">
        <v>104</v>
      </c>
      <c r="B1" s="71"/>
      <c r="C1" s="71"/>
      <c r="D1" s="71"/>
      <c r="E1" s="43"/>
    </row>
    <row r="2" spans="1:2" ht="14.25">
      <c r="A2" s="5" t="s">
        <v>102</v>
      </c>
      <c r="B2" s="57">
        <v>2000</v>
      </c>
    </row>
    <row r="3" spans="1:2" ht="14.25">
      <c r="A3" s="5" t="s">
        <v>15</v>
      </c>
      <c r="B3" s="9">
        <v>0.18</v>
      </c>
    </row>
    <row r="4" spans="1:2" ht="14.25">
      <c r="A4" s="5" t="s">
        <v>4</v>
      </c>
      <c r="B4" s="5">
        <v>12</v>
      </c>
    </row>
    <row r="5" spans="1:2" ht="14.25">
      <c r="A5" s="5" t="s">
        <v>103</v>
      </c>
      <c r="B5" s="87">
        <v>41</v>
      </c>
    </row>
    <row r="6" spans="1:2" ht="14.25">
      <c r="A6" s="5" t="s">
        <v>105</v>
      </c>
      <c r="B6" s="1"/>
    </row>
    <row r="7" spans="1:2" ht="14.25">
      <c r="A7" s="5" t="s">
        <v>106</v>
      </c>
      <c r="B7" s="1"/>
    </row>
    <row r="8" spans="1:6" ht="14.25">
      <c r="A8" s="5" t="s">
        <v>54</v>
      </c>
      <c r="B8" s="8">
        <f>IF(B7="","","It will take "&amp;B7&amp;" years to pay off the credit card if we make only the minimum payment each period.")</f>
      </c>
      <c r="C8" s="49"/>
      <c r="D8" s="49"/>
      <c r="E8" s="49"/>
      <c r="F8" s="50"/>
    </row>
  </sheetData>
  <sheetProtection/>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sheetPr>
    <tabColor theme="2"/>
  </sheetPr>
  <dimension ref="A1:F8"/>
  <sheetViews>
    <sheetView zoomScalePageLayoutView="0" workbookViewId="0" topLeftCell="A1">
      <selection activeCell="B15" sqref="B15"/>
    </sheetView>
  </sheetViews>
  <sheetFormatPr defaultColWidth="9.140625" defaultRowHeight="15"/>
  <cols>
    <col min="1" max="1" width="23.57421875" style="0" bestFit="1" customWidth="1"/>
    <col min="2" max="2" width="9.57421875" style="0" bestFit="1" customWidth="1"/>
  </cols>
  <sheetData>
    <row r="1" spans="1:5" ht="28.5">
      <c r="A1" s="82" t="s">
        <v>104</v>
      </c>
      <c r="B1" s="71"/>
      <c r="C1" s="71"/>
      <c r="D1" s="71"/>
      <c r="E1" s="43"/>
    </row>
    <row r="2" spans="1:2" ht="14.25">
      <c r="A2" s="5" t="s">
        <v>102</v>
      </c>
      <c r="B2" s="57">
        <v>2000</v>
      </c>
    </row>
    <row r="3" spans="1:2" ht="14.25">
      <c r="A3" s="5" t="s">
        <v>15</v>
      </c>
      <c r="B3" s="9">
        <v>0.18</v>
      </c>
    </row>
    <row r="4" spans="1:2" ht="14.25">
      <c r="A4" s="5" t="s">
        <v>4</v>
      </c>
      <c r="B4" s="5">
        <v>12</v>
      </c>
    </row>
    <row r="5" spans="1:2" ht="14.25">
      <c r="A5" s="5" t="s">
        <v>103</v>
      </c>
      <c r="B5" s="87">
        <v>41</v>
      </c>
    </row>
    <row r="6" spans="1:2" ht="14.25">
      <c r="A6" s="5" t="s">
        <v>105</v>
      </c>
      <c r="B6" s="1">
        <f>NPER(B3/B4,-B5,B2,,0)</f>
        <v>88.36799227988423</v>
      </c>
    </row>
    <row r="7" spans="1:2" ht="14.25">
      <c r="A7" s="5" t="s">
        <v>106</v>
      </c>
      <c r="B7" s="1">
        <f>B6/B4</f>
        <v>7.363999356657019</v>
      </c>
    </row>
    <row r="8" spans="1:6" ht="42.75">
      <c r="A8" s="5" t="s">
        <v>54</v>
      </c>
      <c r="B8" s="8" t="str">
        <f>IF(B7="","","It will take "&amp;B7&amp;" years to pay off the credit card if we make only the minimum payment each period.")</f>
        <v>It will take 7.36399935665702 years to pay off the credit card if we make only the minimum payment each period.</v>
      </c>
      <c r="C8" s="49"/>
      <c r="D8" s="49"/>
      <c r="E8" s="49"/>
      <c r="F8" s="50"/>
    </row>
  </sheetData>
  <sheetProtection/>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sheetPr>
    <tabColor theme="3"/>
  </sheetPr>
  <dimension ref="A1:H5"/>
  <sheetViews>
    <sheetView zoomScalePageLayoutView="0" workbookViewId="0" topLeftCell="A1">
      <selection activeCell="B4" sqref="B4"/>
    </sheetView>
  </sheetViews>
  <sheetFormatPr defaultColWidth="9.140625" defaultRowHeight="15"/>
  <cols>
    <col min="1" max="1" width="28.7109375" style="0" customWidth="1"/>
  </cols>
  <sheetData>
    <row r="1" spans="1:7" ht="28.5">
      <c r="A1" s="48" t="s">
        <v>107</v>
      </c>
      <c r="B1" s="49"/>
      <c r="C1" s="49"/>
      <c r="D1" s="49"/>
      <c r="E1" s="49"/>
      <c r="F1" s="49"/>
      <c r="G1" s="50"/>
    </row>
    <row r="2" spans="1:2" ht="14.25">
      <c r="A2" s="5" t="s">
        <v>108</v>
      </c>
      <c r="B2" s="5">
        <v>1.25</v>
      </c>
    </row>
    <row r="3" spans="1:2" ht="14.25">
      <c r="A3" s="5" t="s">
        <v>109</v>
      </c>
      <c r="B3" s="5">
        <v>0.04</v>
      </c>
    </row>
    <row r="4" spans="1:2" ht="14.25">
      <c r="A4" s="5" t="s">
        <v>110</v>
      </c>
      <c r="B4" s="1"/>
    </row>
    <row r="5" spans="1:8" ht="14.25">
      <c r="A5" s="73" t="s">
        <v>54</v>
      </c>
      <c r="B5" s="48">
        <f>IF(B4="","","The value of a stock with these parameters would be "&amp;DOLLAR(B4)&amp;".")</f>
      </c>
      <c r="C5" s="49"/>
      <c r="D5" s="49"/>
      <c r="E5" s="49"/>
      <c r="F5" s="49"/>
      <c r="G5" s="49"/>
      <c r="H5" s="50"/>
    </row>
  </sheetData>
  <sheetProtection/>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sheetPr>
    <tabColor theme="2"/>
  </sheetPr>
  <dimension ref="A1:H5"/>
  <sheetViews>
    <sheetView zoomScalePageLayoutView="0" workbookViewId="0" topLeftCell="A1">
      <selection activeCell="B15" sqref="B15"/>
    </sheetView>
  </sheetViews>
  <sheetFormatPr defaultColWidth="9.140625" defaultRowHeight="15"/>
  <cols>
    <col min="1" max="1" width="28.7109375" style="0" customWidth="1"/>
  </cols>
  <sheetData>
    <row r="1" spans="1:7" ht="28.5">
      <c r="A1" s="48" t="s">
        <v>107</v>
      </c>
      <c r="B1" s="49"/>
      <c r="C1" s="49"/>
      <c r="D1" s="49"/>
      <c r="E1" s="49"/>
      <c r="F1" s="49"/>
      <c r="G1" s="50"/>
    </row>
    <row r="2" spans="1:2" ht="14.25">
      <c r="A2" s="5" t="s">
        <v>108</v>
      </c>
      <c r="B2" s="5">
        <v>1.25</v>
      </c>
    </row>
    <row r="3" spans="1:2" ht="14.25">
      <c r="A3" s="5" t="s">
        <v>109</v>
      </c>
      <c r="B3" s="5">
        <v>0.04</v>
      </c>
    </row>
    <row r="4" spans="1:2" ht="14.25">
      <c r="A4" s="5" t="s">
        <v>110</v>
      </c>
      <c r="B4" s="1">
        <f>B2/B3</f>
        <v>31.25</v>
      </c>
    </row>
    <row r="5" spans="1:8" ht="14.25">
      <c r="A5" s="73" t="s">
        <v>54</v>
      </c>
      <c r="B5" s="48" t="str">
        <f>"The value of a stock with these parameters would be "&amp;DOLLAR(B4)&amp;"."</f>
        <v>The value of a stock with these parameters would be $31.25.</v>
      </c>
      <c r="C5" s="49"/>
      <c r="D5" s="49"/>
      <c r="E5" s="49"/>
      <c r="F5" s="49"/>
      <c r="G5" s="49"/>
      <c r="H5" s="50"/>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0000"/>
  </sheetPr>
  <dimension ref="A1:H9"/>
  <sheetViews>
    <sheetView zoomScalePageLayoutView="0" workbookViewId="0" topLeftCell="A1">
      <selection activeCell="B15" sqref="B15"/>
    </sheetView>
  </sheetViews>
  <sheetFormatPr defaultColWidth="9.140625" defaultRowHeight="15"/>
  <cols>
    <col min="1" max="2" width="18.57421875" style="0" customWidth="1"/>
  </cols>
  <sheetData>
    <row r="1" spans="1:2" ht="57">
      <c r="A1" s="6" t="str">
        <f>"Example 17: Which APR yeilds more interest: "&amp;TEXT(B2,"0.00%")&amp;" compounded "&amp;B3&amp;" times a year, or, "&amp;TEXT(B4,"0.00%")&amp;" compounded "&amp;B5&amp;" times a year?"</f>
        <v>Example 17: Which APR yeilds more interest: 11.00% compounded 4 times a year, or, 10.75% compounded 365 times a year?</v>
      </c>
      <c r="B1" s="6"/>
    </row>
    <row r="2" spans="1:2" ht="18.75">
      <c r="A2" s="4" t="s">
        <v>16</v>
      </c>
      <c r="B2" s="9">
        <v>0.11</v>
      </c>
    </row>
    <row r="3" spans="1:2" ht="18.75">
      <c r="A3" s="4" t="s">
        <v>17</v>
      </c>
      <c r="B3" s="5">
        <v>4</v>
      </c>
    </row>
    <row r="4" spans="1:2" ht="18.75">
      <c r="A4" s="4" t="s">
        <v>18</v>
      </c>
      <c r="B4" s="9">
        <v>0.1075</v>
      </c>
    </row>
    <row r="5" spans="1:2" ht="18.75">
      <c r="A5" s="4" t="s">
        <v>19</v>
      </c>
      <c r="B5" s="5">
        <v>365</v>
      </c>
    </row>
    <row r="6" spans="1:8" ht="30.75">
      <c r="A6" s="4" t="s">
        <v>20</v>
      </c>
      <c r="B6" s="10">
        <f>(1+B2/B3)^B3-1</f>
        <v>0.11462125941406276</v>
      </c>
      <c r="C6" s="13" t="str">
        <f>IF(B6&lt;&gt;"",IF(B8&gt;B9,TEXT(B2,"0.00%")&amp;" compounded "&amp;B3&amp;" times a year earns more interest than "&amp;TEXT(B4,"0.00%")&amp;" compounded "&amp;B5&amp;" times a year."),"")</f>
        <v>11.00% compounded 4 times a year earns more interest than 10.75% compounded 365 times a year.</v>
      </c>
      <c r="D6" s="14"/>
      <c r="E6" s="14"/>
      <c r="F6" s="14"/>
      <c r="G6" s="14"/>
      <c r="H6" s="15"/>
    </row>
    <row r="7" spans="1:3" ht="18.75">
      <c r="A7" s="4" t="s">
        <v>21</v>
      </c>
      <c r="B7" s="1">
        <f>(1+B4/B5)^B5-1</f>
        <v>0.11347323725207437</v>
      </c>
      <c r="C7" s="12" t="b">
        <f>IF(B7&lt;&gt;"",B7&gt;B6,"")</f>
        <v>0</v>
      </c>
    </row>
    <row r="8" spans="1:8" ht="30.75">
      <c r="A8" s="4" t="s">
        <v>20</v>
      </c>
      <c r="B8" s="10">
        <f>EFFECT(B2,B3)</f>
        <v>0.11462125941406276</v>
      </c>
      <c r="C8" s="13" t="str">
        <f>IF(B8&lt;&gt;"",IF(B8&gt;B9,TEXT(B2,"0.00%")&amp;" compounded "&amp;B3&amp;" times a year earns more interest than "&amp;TEXT(B4,"0.00%")&amp;" compounded "&amp;B5&amp;" times a year."),"")</f>
        <v>11.00% compounded 4 times a year earns more interest than 10.75% compounded 365 times a year.</v>
      </c>
      <c r="D8" s="14"/>
      <c r="E8" s="14"/>
      <c r="F8" s="14"/>
      <c r="G8" s="14"/>
      <c r="H8" s="15"/>
    </row>
    <row r="9" spans="1:3" ht="18.75">
      <c r="A9" s="4" t="s">
        <v>21</v>
      </c>
      <c r="B9" s="1">
        <f>EFFECT(B4,B5)</f>
        <v>0.11347323725207437</v>
      </c>
      <c r="C9" s="11" t="b">
        <f>IF(B9&lt;&gt;"",B9&gt;B8,"")</f>
        <v>0</v>
      </c>
    </row>
  </sheetData>
  <sheetProtection/>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sheetPr>
    <tabColor theme="0"/>
  </sheetPr>
  <dimension ref="A1:J17"/>
  <sheetViews>
    <sheetView zoomScalePageLayoutView="0" workbookViewId="0" topLeftCell="A1">
      <selection activeCell="C16" sqref="C16"/>
    </sheetView>
  </sheetViews>
  <sheetFormatPr defaultColWidth="9.140625" defaultRowHeight="15"/>
  <cols>
    <col min="1" max="1" width="4.8515625" style="90" bestFit="1" customWidth="1"/>
    <col min="2" max="2" width="29.421875" style="90" bestFit="1" customWidth="1"/>
    <col min="3" max="3" width="11.7109375" style="90" bestFit="1" customWidth="1"/>
    <col min="4" max="4" width="16.8515625" style="90" bestFit="1" customWidth="1"/>
    <col min="5" max="11" width="12.140625" style="90" customWidth="1"/>
    <col min="12" max="16384" width="9.140625" style="90" customWidth="1"/>
  </cols>
  <sheetData>
    <row r="1" spans="1:3" ht="25.5">
      <c r="A1" s="90" t="s">
        <v>189</v>
      </c>
      <c r="B1" s="92" t="s">
        <v>125</v>
      </c>
      <c r="C1" s="92"/>
    </row>
    <row r="2" spans="2:3" ht="12.75">
      <c r="B2" s="88" t="s">
        <v>124</v>
      </c>
      <c r="C2" s="89">
        <v>0.15</v>
      </c>
    </row>
    <row r="3" spans="2:3" ht="12.75">
      <c r="B3" s="88" t="s">
        <v>111</v>
      </c>
      <c r="C3" s="91">
        <v>225000</v>
      </c>
    </row>
    <row r="4" spans="2:3" ht="12.75">
      <c r="B4" s="88" t="s">
        <v>112</v>
      </c>
      <c r="C4" s="89"/>
    </row>
    <row r="5" spans="2:3" ht="12.75">
      <c r="B5" s="88" t="s">
        <v>113</v>
      </c>
      <c r="C5" s="91">
        <v>60000</v>
      </c>
    </row>
    <row r="6" spans="2:3" ht="12.75">
      <c r="B6" s="88" t="s">
        <v>114</v>
      </c>
      <c r="C6" s="91">
        <f>C5</f>
        <v>60000</v>
      </c>
    </row>
    <row r="7" spans="2:3" ht="12.75">
      <c r="B7" s="88" t="s">
        <v>115</v>
      </c>
      <c r="C7" s="91">
        <f>C6</f>
        <v>60000</v>
      </c>
    </row>
    <row r="8" spans="2:3" ht="12.75">
      <c r="B8" s="88" t="s">
        <v>116</v>
      </c>
      <c r="C8" s="91">
        <v>50000</v>
      </c>
    </row>
    <row r="9" spans="2:3" ht="12.75">
      <c r="B9" s="88" t="s">
        <v>117</v>
      </c>
      <c r="C9" s="91">
        <f>C8</f>
        <v>50000</v>
      </c>
    </row>
    <row r="10" spans="2:3" ht="12.75">
      <c r="B10" s="88" t="s">
        <v>118</v>
      </c>
      <c r="C10" s="91">
        <f>C9</f>
        <v>50000</v>
      </c>
    </row>
    <row r="11" spans="2:3" ht="12.75">
      <c r="B11" s="88" t="s">
        <v>119</v>
      </c>
      <c r="C11" s="91">
        <v>25000</v>
      </c>
    </row>
    <row r="12" spans="2:3" ht="12.75">
      <c r="B12" s="88" t="s">
        <v>120</v>
      </c>
      <c r="C12" s="91">
        <f>C11</f>
        <v>25000</v>
      </c>
    </row>
    <row r="13" spans="2:3" ht="12.75">
      <c r="B13" s="88" t="s">
        <v>121</v>
      </c>
      <c r="C13" s="91">
        <f>C12</f>
        <v>25000</v>
      </c>
    </row>
    <row r="14" spans="2:3" ht="12.75">
      <c r="B14" s="88" t="s">
        <v>122</v>
      </c>
      <c r="C14" s="91">
        <v>35000</v>
      </c>
    </row>
    <row r="15" spans="2:3" ht="12.75">
      <c r="B15" s="89"/>
      <c r="C15" s="89"/>
    </row>
    <row r="16" spans="2:10" ht="57.75">
      <c r="B16" s="88" t="s">
        <v>123</v>
      </c>
      <c r="C16" s="93"/>
      <c r="D16" s="90" t="s">
        <v>177</v>
      </c>
      <c r="E16" s="140" t="s">
        <v>188</v>
      </c>
      <c r="F16" s="130"/>
      <c r="G16" s="130"/>
      <c r="H16" s="130"/>
      <c r="I16" s="130"/>
      <c r="J16" s="130"/>
    </row>
    <row r="17" spans="2:3" ht="12.75">
      <c r="B17" s="89" t="s">
        <v>126</v>
      </c>
      <c r="C17" s="94"/>
    </row>
  </sheetData>
  <sheetProtection/>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sheetPr>
    <tabColor theme="2"/>
  </sheetPr>
  <dimension ref="A1:J17"/>
  <sheetViews>
    <sheetView zoomScalePageLayoutView="0" workbookViewId="0" topLeftCell="A1">
      <selection activeCell="C16" sqref="C16"/>
    </sheetView>
  </sheetViews>
  <sheetFormatPr defaultColWidth="9.140625" defaultRowHeight="15"/>
  <cols>
    <col min="1" max="1" width="4.8515625" style="90" bestFit="1" customWidth="1"/>
    <col min="2" max="2" width="29.421875" style="90" bestFit="1" customWidth="1"/>
    <col min="3" max="3" width="11.7109375" style="90" bestFit="1" customWidth="1"/>
    <col min="4" max="4" width="16.8515625" style="90" bestFit="1" customWidth="1"/>
    <col min="5" max="11" width="12.140625" style="90" customWidth="1"/>
    <col min="12" max="16384" width="9.140625" style="90" customWidth="1"/>
  </cols>
  <sheetData>
    <row r="1" spans="1:3" ht="25.5">
      <c r="A1" s="90" t="s">
        <v>189</v>
      </c>
      <c r="B1" s="92" t="s">
        <v>125</v>
      </c>
      <c r="C1" s="92"/>
    </row>
    <row r="2" spans="2:3" ht="12.75">
      <c r="B2" s="88" t="s">
        <v>124</v>
      </c>
      <c r="C2" s="89">
        <v>0.15</v>
      </c>
    </row>
    <row r="3" spans="2:3" ht="12.75">
      <c r="B3" s="88" t="s">
        <v>111</v>
      </c>
      <c r="C3" s="91">
        <v>225000</v>
      </c>
    </row>
    <row r="4" spans="2:3" ht="12.75">
      <c r="B4" s="88" t="s">
        <v>112</v>
      </c>
      <c r="C4" s="89"/>
    </row>
    <row r="5" spans="2:3" ht="12.75">
      <c r="B5" s="88" t="s">
        <v>113</v>
      </c>
      <c r="C5" s="91">
        <v>60000</v>
      </c>
    </row>
    <row r="6" spans="2:3" ht="12.75">
      <c r="B6" s="88" t="s">
        <v>114</v>
      </c>
      <c r="C6" s="91">
        <f>C5</f>
        <v>60000</v>
      </c>
    </row>
    <row r="7" spans="2:3" ht="12.75">
      <c r="B7" s="88" t="s">
        <v>115</v>
      </c>
      <c r="C7" s="91">
        <f>C6</f>
        <v>60000</v>
      </c>
    </row>
    <row r="8" spans="2:3" ht="12.75">
      <c r="B8" s="88" t="s">
        <v>116</v>
      </c>
      <c r="C8" s="91">
        <v>50000</v>
      </c>
    </row>
    <row r="9" spans="2:3" ht="12.75">
      <c r="B9" s="88" t="s">
        <v>117</v>
      </c>
      <c r="C9" s="91">
        <f>C8</f>
        <v>50000</v>
      </c>
    </row>
    <row r="10" spans="2:3" ht="12.75">
      <c r="B10" s="88" t="s">
        <v>118</v>
      </c>
      <c r="C10" s="91">
        <f>C9</f>
        <v>50000</v>
      </c>
    </row>
    <row r="11" spans="2:3" ht="12.75">
      <c r="B11" s="88" t="s">
        <v>119</v>
      </c>
      <c r="C11" s="91">
        <v>25000</v>
      </c>
    </row>
    <row r="12" spans="2:3" ht="12.75">
      <c r="B12" s="88" t="s">
        <v>120</v>
      </c>
      <c r="C12" s="91">
        <f>C11</f>
        <v>25000</v>
      </c>
    </row>
    <row r="13" spans="2:3" ht="12.75">
      <c r="B13" s="88" t="s">
        <v>121</v>
      </c>
      <c r="C13" s="91">
        <f>C12</f>
        <v>25000</v>
      </c>
    </row>
    <row r="14" spans="2:3" ht="12.75">
      <c r="B14" s="88" t="s">
        <v>122</v>
      </c>
      <c r="C14" s="91">
        <v>35000</v>
      </c>
    </row>
    <row r="15" spans="2:10" ht="14.25">
      <c r="B15" s="89"/>
      <c r="C15" s="89"/>
      <c r="E15"/>
      <c r="F15"/>
      <c r="G15"/>
      <c r="H15"/>
      <c r="I15"/>
      <c r="J15"/>
    </row>
    <row r="16" spans="2:10" ht="57.75">
      <c r="B16" s="88" t="s">
        <v>123</v>
      </c>
      <c r="C16" s="93">
        <f>NPV(C2,C5:C14)</f>
        <v>245385.3812268492</v>
      </c>
      <c r="D16" s="90" t="s">
        <v>177</v>
      </c>
      <c r="E16" s="129" t="s">
        <v>187</v>
      </c>
      <c r="F16" s="130"/>
      <c r="G16" s="130"/>
      <c r="H16" s="130"/>
      <c r="I16" s="130"/>
      <c r="J16" s="130"/>
    </row>
    <row r="17" spans="2:3" ht="12.75">
      <c r="B17" s="89" t="s">
        <v>126</v>
      </c>
      <c r="C17" s="89" t="b">
        <f>C16&gt;=C3</f>
        <v>1</v>
      </c>
    </row>
  </sheetData>
  <sheetProtection/>
  <printOptions/>
  <pageMargins left="0.75" right="0.75" top="1" bottom="1" header="0.5" footer="0.5"/>
  <pageSetup horizontalDpi="600" verticalDpi="600" orientation="portrait" r:id="rId1"/>
</worksheet>
</file>

<file path=xl/worksheets/sheet42.xml><?xml version="1.0" encoding="utf-8"?>
<worksheet xmlns="http://schemas.openxmlformats.org/spreadsheetml/2006/main" xmlns:r="http://schemas.openxmlformats.org/officeDocument/2006/relationships">
  <sheetPr>
    <tabColor theme="3"/>
  </sheetPr>
  <dimension ref="A1:A1"/>
  <sheetViews>
    <sheetView zoomScale="175" zoomScaleNormal="175" zoomScalePageLayoutView="0" workbookViewId="0" topLeftCell="A1">
      <selection activeCell="B15" sqref="B15"/>
    </sheetView>
  </sheetViews>
  <sheetFormatPr defaultColWidth="9.140625" defaultRowHeight="15"/>
  <sheetData>
    <row r="1" ht="14.25">
      <c r="A1" t="s">
        <v>127</v>
      </c>
    </row>
  </sheetData>
  <sheetProtection/>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sheetPr>
    <tabColor theme="3"/>
  </sheetPr>
  <dimension ref="A1:C19"/>
  <sheetViews>
    <sheetView zoomScalePageLayoutView="0" workbookViewId="0" topLeftCell="A1">
      <selection activeCell="B6" sqref="B6"/>
    </sheetView>
  </sheetViews>
  <sheetFormatPr defaultColWidth="9.140625" defaultRowHeight="15"/>
  <cols>
    <col min="1" max="1" width="12.28125" style="2" customWidth="1"/>
    <col min="2" max="3" width="13.28125" style="0" bestFit="1" customWidth="1"/>
  </cols>
  <sheetData>
    <row r="1" spans="1:3" ht="14.25">
      <c r="A1" s="82" t="s">
        <v>130</v>
      </c>
      <c r="B1" s="71"/>
      <c r="C1" s="43"/>
    </row>
    <row r="2" spans="1:2" ht="28.5">
      <c r="A2" s="4" t="s">
        <v>128</v>
      </c>
      <c r="B2" s="57">
        <v>1000000</v>
      </c>
    </row>
    <row r="3" spans="1:2" ht="14.25">
      <c r="A3" s="4" t="s">
        <v>129</v>
      </c>
      <c r="B3" s="80">
        <v>0.1</v>
      </c>
    </row>
    <row r="4" spans="1:2" ht="14.25">
      <c r="A4" s="4" t="s">
        <v>92</v>
      </c>
      <c r="B4" s="5">
        <v>2</v>
      </c>
    </row>
    <row r="5" spans="1:2" ht="14.25">
      <c r="A5" s="4" t="s">
        <v>35</v>
      </c>
      <c r="B5" s="5">
        <v>5</v>
      </c>
    </row>
    <row r="6" spans="1:2" ht="28.5">
      <c r="A6" s="4" t="s">
        <v>131</v>
      </c>
      <c r="B6" s="115"/>
    </row>
    <row r="8" spans="1:3" ht="14.25">
      <c r="A8" s="96" t="s">
        <v>65</v>
      </c>
      <c r="B8" s="86" t="s">
        <v>132</v>
      </c>
      <c r="C8" s="86" t="s">
        <v>133</v>
      </c>
    </row>
    <row r="9" spans="1:3" ht="14.25">
      <c r="A9" s="4">
        <v>0</v>
      </c>
      <c r="B9" s="5"/>
      <c r="C9" s="5"/>
    </row>
    <row r="10" spans="1:3" ht="14.25">
      <c r="A10" s="4">
        <v>1</v>
      </c>
      <c r="B10" s="95">
        <f aca="true" t="shared" si="0" ref="B10:B19">$B$6</f>
        <v>0</v>
      </c>
      <c r="C10" s="5"/>
    </row>
    <row r="11" spans="1:3" ht="14.25">
      <c r="A11" s="4">
        <v>2</v>
      </c>
      <c r="B11" s="95">
        <f t="shared" si="0"/>
        <v>0</v>
      </c>
      <c r="C11" s="5"/>
    </row>
    <row r="12" spans="1:3" ht="14.25">
      <c r="A12" s="4">
        <v>3</v>
      </c>
      <c r="B12" s="95">
        <f t="shared" si="0"/>
        <v>0</v>
      </c>
      <c r="C12" s="5"/>
    </row>
    <row r="13" spans="1:3" ht="14.25">
      <c r="A13" s="4">
        <v>4</v>
      </c>
      <c r="B13" s="95">
        <f t="shared" si="0"/>
        <v>0</v>
      </c>
      <c r="C13" s="5"/>
    </row>
    <row r="14" spans="1:3" ht="14.25">
      <c r="A14" s="4">
        <v>5</v>
      </c>
      <c r="B14" s="95">
        <f t="shared" si="0"/>
        <v>0</v>
      </c>
      <c r="C14" s="5"/>
    </row>
    <row r="15" spans="1:3" ht="14.25">
      <c r="A15" s="4">
        <v>6</v>
      </c>
      <c r="B15" s="95">
        <f t="shared" si="0"/>
        <v>0</v>
      </c>
      <c r="C15" s="5"/>
    </row>
    <row r="16" spans="1:3" ht="14.25">
      <c r="A16" s="4">
        <v>7</v>
      </c>
      <c r="B16" s="95">
        <f t="shared" si="0"/>
        <v>0</v>
      </c>
      <c r="C16" s="5"/>
    </row>
    <row r="17" spans="1:3" ht="14.25">
      <c r="A17" s="4">
        <v>8</v>
      </c>
      <c r="B17" s="95">
        <f t="shared" si="0"/>
        <v>0</v>
      </c>
      <c r="C17" s="5"/>
    </row>
    <row r="18" spans="1:3" ht="14.25">
      <c r="A18" s="4">
        <v>9</v>
      </c>
      <c r="B18" s="95">
        <f t="shared" si="0"/>
        <v>0</v>
      </c>
      <c r="C18" s="5"/>
    </row>
    <row r="19" spans="1:3" ht="14.25">
      <c r="A19" s="4">
        <v>10</v>
      </c>
      <c r="B19" s="95">
        <f t="shared" si="0"/>
        <v>0</v>
      </c>
      <c r="C19" s="95">
        <f>B2</f>
        <v>1000000</v>
      </c>
    </row>
  </sheetData>
  <sheetProtection/>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sheetPr>
    <tabColor theme="2"/>
  </sheetPr>
  <dimension ref="A1:C19"/>
  <sheetViews>
    <sheetView zoomScalePageLayoutView="0" workbookViewId="0" topLeftCell="A1">
      <selection activeCell="B15" sqref="B15"/>
    </sheetView>
  </sheetViews>
  <sheetFormatPr defaultColWidth="9.140625" defaultRowHeight="15"/>
  <cols>
    <col min="1" max="1" width="12.28125" style="2" customWidth="1"/>
    <col min="2" max="3" width="13.28125" style="0" bestFit="1" customWidth="1"/>
  </cols>
  <sheetData>
    <row r="1" spans="1:3" ht="14.25">
      <c r="A1" s="82" t="s">
        <v>130</v>
      </c>
      <c r="B1" s="71"/>
      <c r="C1" s="43"/>
    </row>
    <row r="2" spans="1:2" ht="28.5">
      <c r="A2" s="4" t="s">
        <v>128</v>
      </c>
      <c r="B2" s="57">
        <v>1000000</v>
      </c>
    </row>
    <row r="3" spans="1:2" ht="14.25">
      <c r="A3" s="4" t="s">
        <v>129</v>
      </c>
      <c r="B3" s="80">
        <v>0.1</v>
      </c>
    </row>
    <row r="4" spans="1:2" ht="14.25">
      <c r="A4" s="4" t="s">
        <v>92</v>
      </c>
      <c r="B4" s="5">
        <v>2</v>
      </c>
    </row>
    <row r="5" spans="1:2" ht="14.25">
      <c r="A5" s="4" t="s">
        <v>35</v>
      </c>
      <c r="B5" s="5">
        <v>5</v>
      </c>
    </row>
    <row r="6" spans="1:2" ht="28.5">
      <c r="A6" s="4" t="s">
        <v>131</v>
      </c>
      <c r="B6" s="115">
        <f>B2*B3/B4</f>
        <v>50000</v>
      </c>
    </row>
    <row r="8" spans="1:3" ht="14.25">
      <c r="A8" s="96" t="s">
        <v>65</v>
      </c>
      <c r="B8" s="86" t="s">
        <v>132</v>
      </c>
      <c r="C8" s="86" t="s">
        <v>133</v>
      </c>
    </row>
    <row r="9" spans="1:3" ht="14.25">
      <c r="A9" s="4">
        <v>0</v>
      </c>
      <c r="B9" s="5"/>
      <c r="C9" s="5"/>
    </row>
    <row r="10" spans="1:3" ht="14.25">
      <c r="A10" s="4">
        <v>1</v>
      </c>
      <c r="B10" s="95">
        <f aca="true" t="shared" si="0" ref="B10:B19">$B$6</f>
        <v>50000</v>
      </c>
      <c r="C10" s="5"/>
    </row>
    <row r="11" spans="1:3" ht="14.25">
      <c r="A11" s="4">
        <v>2</v>
      </c>
      <c r="B11" s="95">
        <f t="shared" si="0"/>
        <v>50000</v>
      </c>
      <c r="C11" s="5"/>
    </row>
    <row r="12" spans="1:3" ht="14.25">
      <c r="A12" s="4">
        <v>3</v>
      </c>
      <c r="B12" s="95">
        <f t="shared" si="0"/>
        <v>50000</v>
      </c>
      <c r="C12" s="5"/>
    </row>
    <row r="13" spans="1:3" ht="14.25">
      <c r="A13" s="4">
        <v>4</v>
      </c>
      <c r="B13" s="95">
        <f t="shared" si="0"/>
        <v>50000</v>
      </c>
      <c r="C13" s="5"/>
    </row>
    <row r="14" spans="1:3" ht="14.25">
      <c r="A14" s="4">
        <v>5</v>
      </c>
      <c r="B14" s="95">
        <f t="shared" si="0"/>
        <v>50000</v>
      </c>
      <c r="C14" s="5"/>
    </row>
    <row r="15" spans="1:3" ht="14.25">
      <c r="A15" s="4">
        <v>6</v>
      </c>
      <c r="B15" s="95">
        <f t="shared" si="0"/>
        <v>50000</v>
      </c>
      <c r="C15" s="5"/>
    </row>
    <row r="16" spans="1:3" ht="14.25">
      <c r="A16" s="4">
        <v>7</v>
      </c>
      <c r="B16" s="95">
        <f t="shared" si="0"/>
        <v>50000</v>
      </c>
      <c r="C16" s="5"/>
    </row>
    <row r="17" spans="1:3" ht="14.25">
      <c r="A17" s="4">
        <v>8</v>
      </c>
      <c r="B17" s="95">
        <f t="shared" si="0"/>
        <v>50000</v>
      </c>
      <c r="C17" s="5"/>
    </row>
    <row r="18" spans="1:3" ht="14.25">
      <c r="A18" s="4">
        <v>9</v>
      </c>
      <c r="B18" s="95">
        <f t="shared" si="0"/>
        <v>50000</v>
      </c>
      <c r="C18" s="5"/>
    </row>
    <row r="19" spans="1:3" ht="14.25">
      <c r="A19" s="4">
        <v>10</v>
      </c>
      <c r="B19" s="95">
        <f t="shared" si="0"/>
        <v>50000</v>
      </c>
      <c r="C19" s="95">
        <f>B2</f>
        <v>1000000</v>
      </c>
    </row>
  </sheetData>
  <sheetProtection/>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sheetPr>
    <tabColor theme="3"/>
  </sheetPr>
  <dimension ref="A1:G49"/>
  <sheetViews>
    <sheetView zoomScalePageLayoutView="0" workbookViewId="0" topLeftCell="A1">
      <selection activeCell="D10" sqref="D10"/>
    </sheetView>
  </sheetViews>
  <sheetFormatPr defaultColWidth="22.8515625" defaultRowHeight="15"/>
  <cols>
    <col min="1" max="1" width="22.7109375" style="90" bestFit="1" customWidth="1"/>
    <col min="2" max="2" width="12.7109375" style="90" bestFit="1" customWidth="1"/>
    <col min="3" max="3" width="7.28125" style="90" bestFit="1" customWidth="1"/>
    <col min="4" max="4" width="10.7109375" style="90" bestFit="1" customWidth="1"/>
    <col min="5" max="5" width="14.57421875" style="90" bestFit="1" customWidth="1"/>
    <col min="6" max="6" width="16.7109375" style="90" bestFit="1" customWidth="1"/>
    <col min="7" max="7" width="18.421875" style="90" bestFit="1" customWidth="1"/>
    <col min="8" max="16384" width="22.8515625" style="90" customWidth="1"/>
  </cols>
  <sheetData>
    <row r="1" spans="1:2" ht="12.75">
      <c r="A1" s="88" t="s">
        <v>134</v>
      </c>
      <c r="B1" s="97">
        <v>1000000</v>
      </c>
    </row>
    <row r="2" spans="1:2" ht="12.75">
      <c r="A2" s="88" t="s">
        <v>135</v>
      </c>
      <c r="B2" s="98">
        <v>0.07</v>
      </c>
    </row>
    <row r="3" spans="1:2" ht="12.75">
      <c r="A3" s="88" t="s">
        <v>136</v>
      </c>
      <c r="B3" s="89">
        <f>B2/B5</f>
        <v>0.035</v>
      </c>
    </row>
    <row r="4" spans="1:2" ht="12.75">
      <c r="A4" s="88" t="s">
        <v>137</v>
      </c>
      <c r="B4" s="99">
        <v>20</v>
      </c>
    </row>
    <row r="5" spans="1:2" ht="12.75">
      <c r="A5" s="88" t="s">
        <v>138</v>
      </c>
      <c r="B5" s="99">
        <v>2</v>
      </c>
    </row>
    <row r="6" spans="1:2" ht="12.75">
      <c r="A6" s="88" t="s">
        <v>139</v>
      </c>
      <c r="B6" s="89">
        <f>B4*B5</f>
        <v>40</v>
      </c>
    </row>
    <row r="8" spans="3:7" s="101" customFormat="1" ht="25.5">
      <c r="C8" s="102" t="s">
        <v>141</v>
      </c>
      <c r="D8" s="103" t="s">
        <v>140</v>
      </c>
      <c r="E8" s="102" t="s">
        <v>142</v>
      </c>
      <c r="F8" s="102" t="s">
        <v>143</v>
      </c>
      <c r="G8" s="102" t="s">
        <v>144</v>
      </c>
    </row>
    <row r="9" spans="3:7" ht="12.75">
      <c r="C9" s="104">
        <v>0</v>
      </c>
      <c r="D9" s="105"/>
      <c r="E9" s="105"/>
      <c r="F9" s="105"/>
      <c r="G9" s="105">
        <f>B1</f>
        <v>1000000</v>
      </c>
    </row>
    <row r="10" spans="3:7" ht="12.75">
      <c r="C10" s="89">
        <f aca="true" t="shared" si="0" ref="C10:C49">C9+1</f>
        <v>1</v>
      </c>
      <c r="D10" s="116"/>
      <c r="E10" s="116"/>
      <c r="F10" s="116"/>
      <c r="G10" s="116"/>
    </row>
    <row r="11" spans="3:7" ht="12.75">
      <c r="C11" s="89">
        <f t="shared" si="0"/>
        <v>2</v>
      </c>
      <c r="D11" s="116"/>
      <c r="E11" s="116"/>
      <c r="F11" s="116"/>
      <c r="G11" s="116"/>
    </row>
    <row r="12" spans="3:7" ht="12.75">
      <c r="C12" s="89">
        <f t="shared" si="0"/>
        <v>3</v>
      </c>
      <c r="D12" s="116"/>
      <c r="E12" s="116"/>
      <c r="F12" s="116"/>
      <c r="G12" s="116"/>
    </row>
    <row r="13" spans="3:7" ht="12.75">
      <c r="C13" s="89">
        <f t="shared" si="0"/>
        <v>4</v>
      </c>
      <c r="D13" s="116"/>
      <c r="E13" s="116"/>
      <c r="F13" s="116"/>
      <c r="G13" s="116"/>
    </row>
    <row r="14" spans="3:7" ht="12.75">
      <c r="C14" s="89">
        <f t="shared" si="0"/>
        <v>5</v>
      </c>
      <c r="D14" s="116"/>
      <c r="E14" s="116"/>
      <c r="F14" s="116"/>
      <c r="G14" s="116"/>
    </row>
    <row r="15" spans="3:7" ht="12.75">
      <c r="C15" s="89">
        <f t="shared" si="0"/>
        <v>6</v>
      </c>
      <c r="D15" s="116"/>
      <c r="E15" s="116"/>
      <c r="F15" s="116"/>
      <c r="G15" s="116"/>
    </row>
    <row r="16" spans="3:7" ht="12.75">
      <c r="C16" s="89">
        <f t="shared" si="0"/>
        <v>7</v>
      </c>
      <c r="D16" s="116"/>
      <c r="E16" s="116"/>
      <c r="F16" s="116"/>
      <c r="G16" s="116"/>
    </row>
    <row r="17" spans="3:7" ht="12.75">
      <c r="C17" s="89">
        <f t="shared" si="0"/>
        <v>8</v>
      </c>
      <c r="D17" s="116"/>
      <c r="E17" s="116"/>
      <c r="F17" s="116"/>
      <c r="G17" s="116"/>
    </row>
    <row r="18" spans="3:7" ht="12.75">
      <c r="C18" s="89">
        <f t="shared" si="0"/>
        <v>9</v>
      </c>
      <c r="D18" s="116"/>
      <c r="E18" s="116"/>
      <c r="F18" s="116"/>
      <c r="G18" s="116"/>
    </row>
    <row r="19" spans="3:7" ht="12.75">
      <c r="C19" s="89">
        <f t="shared" si="0"/>
        <v>10</v>
      </c>
      <c r="D19" s="116"/>
      <c r="E19" s="116"/>
      <c r="F19" s="116"/>
      <c r="G19" s="116"/>
    </row>
    <row r="20" spans="3:7" ht="12.75">
      <c r="C20" s="89">
        <f t="shared" si="0"/>
        <v>11</v>
      </c>
      <c r="D20" s="116"/>
      <c r="E20" s="116"/>
      <c r="F20" s="116"/>
      <c r="G20" s="116"/>
    </row>
    <row r="21" spans="3:7" ht="12.75">
      <c r="C21" s="89">
        <f t="shared" si="0"/>
        <v>12</v>
      </c>
      <c r="D21" s="116"/>
      <c r="E21" s="116"/>
      <c r="F21" s="116"/>
      <c r="G21" s="116"/>
    </row>
    <row r="22" spans="3:7" ht="12.75">
      <c r="C22" s="89">
        <f t="shared" si="0"/>
        <v>13</v>
      </c>
      <c r="D22" s="116"/>
      <c r="E22" s="116"/>
      <c r="F22" s="116"/>
      <c r="G22" s="116"/>
    </row>
    <row r="23" spans="3:7" ht="12.75">
      <c r="C23" s="89">
        <f t="shared" si="0"/>
        <v>14</v>
      </c>
      <c r="D23" s="116"/>
      <c r="E23" s="116"/>
      <c r="F23" s="116"/>
      <c r="G23" s="116"/>
    </row>
    <row r="24" spans="3:7" ht="12.75">
      <c r="C24" s="89">
        <f t="shared" si="0"/>
        <v>15</v>
      </c>
      <c r="D24" s="116"/>
      <c r="E24" s="116"/>
      <c r="F24" s="116"/>
      <c r="G24" s="116"/>
    </row>
    <row r="25" spans="3:7" ht="12.75">
      <c r="C25" s="89">
        <f t="shared" si="0"/>
        <v>16</v>
      </c>
      <c r="D25" s="116"/>
      <c r="E25" s="116"/>
      <c r="F25" s="116"/>
      <c r="G25" s="116"/>
    </row>
    <row r="26" spans="3:7" ht="12.75">
      <c r="C26" s="89">
        <f t="shared" si="0"/>
        <v>17</v>
      </c>
      <c r="D26" s="116"/>
      <c r="E26" s="116"/>
      <c r="F26" s="116"/>
      <c r="G26" s="116"/>
    </row>
    <row r="27" spans="3:7" ht="12.75">
      <c r="C27" s="89">
        <f t="shared" si="0"/>
        <v>18</v>
      </c>
      <c r="D27" s="116"/>
      <c r="E27" s="116"/>
      <c r="F27" s="116"/>
      <c r="G27" s="116"/>
    </row>
    <row r="28" spans="3:7" ht="12.75">
      <c r="C28" s="89">
        <f t="shared" si="0"/>
        <v>19</v>
      </c>
      <c r="D28" s="116"/>
      <c r="E28" s="116"/>
      <c r="F28" s="116"/>
      <c r="G28" s="116"/>
    </row>
    <row r="29" spans="3:7" ht="12.75">
      <c r="C29" s="89">
        <f t="shared" si="0"/>
        <v>20</v>
      </c>
      <c r="D29" s="116"/>
      <c r="E29" s="116"/>
      <c r="F29" s="116"/>
      <c r="G29" s="116"/>
    </row>
    <row r="30" spans="3:7" ht="12.75">
      <c r="C30" s="89">
        <f t="shared" si="0"/>
        <v>21</v>
      </c>
      <c r="D30" s="116"/>
      <c r="E30" s="116"/>
      <c r="F30" s="116"/>
      <c r="G30" s="116"/>
    </row>
    <row r="31" spans="3:7" ht="12.75">
      <c r="C31" s="89">
        <f t="shared" si="0"/>
        <v>22</v>
      </c>
      <c r="D31" s="116"/>
      <c r="E31" s="116"/>
      <c r="F31" s="116"/>
      <c r="G31" s="116"/>
    </row>
    <row r="32" spans="3:7" ht="12.75">
      <c r="C32" s="89">
        <f t="shared" si="0"/>
        <v>23</v>
      </c>
      <c r="D32" s="116"/>
      <c r="E32" s="116"/>
      <c r="F32" s="116"/>
      <c r="G32" s="116"/>
    </row>
    <row r="33" spans="3:7" ht="12.75">
      <c r="C33" s="89">
        <f t="shared" si="0"/>
        <v>24</v>
      </c>
      <c r="D33" s="116"/>
      <c r="E33" s="116"/>
      <c r="F33" s="116"/>
      <c r="G33" s="116"/>
    </row>
    <row r="34" spans="3:7" ht="12.75">
      <c r="C34" s="89">
        <f t="shared" si="0"/>
        <v>25</v>
      </c>
      <c r="D34" s="116"/>
      <c r="E34" s="116"/>
      <c r="F34" s="116"/>
      <c r="G34" s="116"/>
    </row>
    <row r="35" spans="3:7" ht="12.75">
      <c r="C35" s="89">
        <f t="shared" si="0"/>
        <v>26</v>
      </c>
      <c r="D35" s="116"/>
      <c r="E35" s="116"/>
      <c r="F35" s="116"/>
      <c r="G35" s="116"/>
    </row>
    <row r="36" spans="3:7" ht="12.75">
      <c r="C36" s="89">
        <f t="shared" si="0"/>
        <v>27</v>
      </c>
      <c r="D36" s="116"/>
      <c r="E36" s="116"/>
      <c r="F36" s="116"/>
      <c r="G36" s="116"/>
    </row>
    <row r="37" spans="3:7" ht="12.75">
      <c r="C37" s="89">
        <f t="shared" si="0"/>
        <v>28</v>
      </c>
      <c r="D37" s="116"/>
      <c r="E37" s="116"/>
      <c r="F37" s="116"/>
      <c r="G37" s="116"/>
    </row>
    <row r="38" spans="3:7" ht="12.75">
      <c r="C38" s="89">
        <f t="shared" si="0"/>
        <v>29</v>
      </c>
      <c r="D38" s="116"/>
      <c r="E38" s="116"/>
      <c r="F38" s="116"/>
      <c r="G38" s="116"/>
    </row>
    <row r="39" spans="3:7" ht="12.75">
      <c r="C39" s="89">
        <f t="shared" si="0"/>
        <v>30</v>
      </c>
      <c r="D39" s="116"/>
      <c r="E39" s="116"/>
      <c r="F39" s="116"/>
      <c r="G39" s="116"/>
    </row>
    <row r="40" spans="3:7" ht="12.75">
      <c r="C40" s="89">
        <f t="shared" si="0"/>
        <v>31</v>
      </c>
      <c r="D40" s="116"/>
      <c r="E40" s="116"/>
      <c r="F40" s="116"/>
      <c r="G40" s="116"/>
    </row>
    <row r="41" spans="3:7" ht="12.75">
      <c r="C41" s="89">
        <f t="shared" si="0"/>
        <v>32</v>
      </c>
      <c r="D41" s="116"/>
      <c r="E41" s="116"/>
      <c r="F41" s="116"/>
      <c r="G41" s="116"/>
    </row>
    <row r="42" spans="3:7" ht="12.75">
      <c r="C42" s="89">
        <f t="shared" si="0"/>
        <v>33</v>
      </c>
      <c r="D42" s="116"/>
      <c r="E42" s="116"/>
      <c r="F42" s="116"/>
      <c r="G42" s="116"/>
    </row>
    <row r="43" spans="3:7" ht="12.75">
      <c r="C43" s="89">
        <f t="shared" si="0"/>
        <v>34</v>
      </c>
      <c r="D43" s="116"/>
      <c r="E43" s="116"/>
      <c r="F43" s="116"/>
      <c r="G43" s="116"/>
    </row>
    <row r="44" spans="3:7" ht="12.75">
      <c r="C44" s="89">
        <f t="shared" si="0"/>
        <v>35</v>
      </c>
      <c r="D44" s="116"/>
      <c r="E44" s="116"/>
      <c r="F44" s="116"/>
      <c r="G44" s="116"/>
    </row>
    <row r="45" spans="3:7" ht="12.75">
      <c r="C45" s="89">
        <f t="shared" si="0"/>
        <v>36</v>
      </c>
      <c r="D45" s="116"/>
      <c r="E45" s="116"/>
      <c r="F45" s="116"/>
      <c r="G45" s="116"/>
    </row>
    <row r="46" spans="3:7" ht="12.75">
      <c r="C46" s="89">
        <f t="shared" si="0"/>
        <v>37</v>
      </c>
      <c r="D46" s="116"/>
      <c r="E46" s="116"/>
      <c r="F46" s="116"/>
      <c r="G46" s="116"/>
    </row>
    <row r="47" spans="3:7" ht="12.75">
      <c r="C47" s="89">
        <f t="shared" si="0"/>
        <v>38</v>
      </c>
      <c r="D47" s="116"/>
      <c r="E47" s="116"/>
      <c r="F47" s="116"/>
      <c r="G47" s="116"/>
    </row>
    <row r="48" spans="3:7" ht="12.75">
      <c r="C48" s="89">
        <f t="shared" si="0"/>
        <v>39</v>
      </c>
      <c r="D48" s="116"/>
      <c r="E48" s="116"/>
      <c r="F48" s="116"/>
      <c r="G48" s="116"/>
    </row>
    <row r="49" spans="3:7" ht="12.75">
      <c r="C49" s="89">
        <f t="shared" si="0"/>
        <v>40</v>
      </c>
      <c r="D49" s="116"/>
      <c r="E49" s="116"/>
      <c r="F49" s="116"/>
      <c r="G49" s="116"/>
    </row>
  </sheetData>
  <sheetProtection/>
  <printOptions/>
  <pageMargins left="0.75" right="0.75" top="1" bottom="1" header="0.5" footer="0.5"/>
  <pageSetup horizontalDpi="600" verticalDpi="600" orientation="portrait" r:id="rId1"/>
</worksheet>
</file>

<file path=xl/worksheets/sheet46.xml><?xml version="1.0" encoding="utf-8"?>
<worksheet xmlns="http://schemas.openxmlformats.org/spreadsheetml/2006/main" xmlns:r="http://schemas.openxmlformats.org/officeDocument/2006/relationships">
  <sheetPr>
    <tabColor theme="2"/>
  </sheetPr>
  <dimension ref="A1:G49"/>
  <sheetViews>
    <sheetView zoomScalePageLayoutView="0" workbookViewId="0" topLeftCell="A1">
      <selection activeCell="B15" sqref="B15"/>
    </sheetView>
  </sheetViews>
  <sheetFormatPr defaultColWidth="22.8515625" defaultRowHeight="15"/>
  <cols>
    <col min="1" max="1" width="22.7109375" style="90" bestFit="1" customWidth="1"/>
    <col min="2" max="2" width="12.7109375" style="90" bestFit="1" customWidth="1"/>
    <col min="3" max="3" width="7.28125" style="90" bestFit="1" customWidth="1"/>
    <col min="4" max="4" width="10.7109375" style="90" bestFit="1" customWidth="1"/>
    <col min="5" max="5" width="14.57421875" style="90" bestFit="1" customWidth="1"/>
    <col min="6" max="6" width="16.7109375" style="90" bestFit="1" customWidth="1"/>
    <col min="7" max="7" width="18.421875" style="90" bestFit="1" customWidth="1"/>
    <col min="8" max="16384" width="22.8515625" style="90" customWidth="1"/>
  </cols>
  <sheetData>
    <row r="1" spans="1:2" ht="12.75">
      <c r="A1" s="88" t="s">
        <v>134</v>
      </c>
      <c r="B1" s="97">
        <v>1000000</v>
      </c>
    </row>
    <row r="2" spans="1:2" ht="12.75">
      <c r="A2" s="88" t="s">
        <v>135</v>
      </c>
      <c r="B2" s="98">
        <v>0.07</v>
      </c>
    </row>
    <row r="3" spans="1:2" ht="12.75">
      <c r="A3" s="88" t="s">
        <v>136</v>
      </c>
      <c r="B3" s="89">
        <f>B2/B5</f>
        <v>0.035</v>
      </c>
    </row>
    <row r="4" spans="1:2" ht="12.75">
      <c r="A4" s="88" t="s">
        <v>137</v>
      </c>
      <c r="B4" s="99">
        <v>20</v>
      </c>
    </row>
    <row r="5" spans="1:2" ht="12.75">
      <c r="A5" s="88" t="s">
        <v>138</v>
      </c>
      <c r="B5" s="99">
        <v>2</v>
      </c>
    </row>
    <row r="6" spans="1:2" ht="12.75">
      <c r="A6" s="88" t="s">
        <v>139</v>
      </c>
      <c r="B6" s="89">
        <f>B4*B5</f>
        <v>40</v>
      </c>
    </row>
    <row r="8" spans="3:7" s="101" customFormat="1" ht="25.5">
      <c r="C8" s="102" t="s">
        <v>141</v>
      </c>
      <c r="D8" s="103" t="s">
        <v>140</v>
      </c>
      <c r="E8" s="102" t="s">
        <v>142</v>
      </c>
      <c r="F8" s="102" t="s">
        <v>143</v>
      </c>
      <c r="G8" s="102" t="s">
        <v>144</v>
      </c>
    </row>
    <row r="9" spans="3:7" ht="12.75">
      <c r="C9" s="104">
        <v>0</v>
      </c>
      <c r="D9" s="105"/>
      <c r="E9" s="105"/>
      <c r="F9" s="105"/>
      <c r="G9" s="105">
        <f>B1</f>
        <v>1000000</v>
      </c>
    </row>
    <row r="10" spans="3:7" ht="12.75">
      <c r="C10" s="89">
        <f aca="true" t="shared" si="0" ref="C10:C49">C9+1</f>
        <v>1</v>
      </c>
      <c r="D10" s="116">
        <f>SUM(E10:F10)</f>
        <v>60000</v>
      </c>
      <c r="E10" s="116">
        <f>G9*B$3</f>
        <v>35000</v>
      </c>
      <c r="F10" s="116">
        <f>B$1/B$6</f>
        <v>25000</v>
      </c>
      <c r="G10" s="116">
        <f>G9-F10</f>
        <v>975000</v>
      </c>
    </row>
    <row r="11" spans="3:7" ht="12.75">
      <c r="C11" s="89">
        <f t="shared" si="0"/>
        <v>2</v>
      </c>
      <c r="D11" s="116">
        <f aca="true" t="shared" si="1" ref="D11:D49">SUM(E11:F11)</f>
        <v>59125</v>
      </c>
      <c r="E11" s="116">
        <f aca="true" t="shared" si="2" ref="E11:E48">G10*B$3</f>
        <v>34125</v>
      </c>
      <c r="F11" s="116">
        <f aca="true" t="shared" si="3" ref="F11:F49">B$1/B$6</f>
        <v>25000</v>
      </c>
      <c r="G11" s="116">
        <f aca="true" t="shared" si="4" ref="G11:G49">G10-F11</f>
        <v>950000</v>
      </c>
    </row>
    <row r="12" spans="3:7" ht="12.75">
      <c r="C12" s="89">
        <f t="shared" si="0"/>
        <v>3</v>
      </c>
      <c r="D12" s="116">
        <f t="shared" si="1"/>
        <v>58250</v>
      </c>
      <c r="E12" s="116">
        <f t="shared" si="2"/>
        <v>33250</v>
      </c>
      <c r="F12" s="116">
        <f t="shared" si="3"/>
        <v>25000</v>
      </c>
      <c r="G12" s="116">
        <f t="shared" si="4"/>
        <v>925000</v>
      </c>
    </row>
    <row r="13" spans="3:7" ht="12.75">
      <c r="C13" s="89">
        <f t="shared" si="0"/>
        <v>4</v>
      </c>
      <c r="D13" s="116">
        <f t="shared" si="1"/>
        <v>57375</v>
      </c>
      <c r="E13" s="116">
        <f t="shared" si="2"/>
        <v>32375.000000000004</v>
      </c>
      <c r="F13" s="116">
        <f t="shared" si="3"/>
        <v>25000</v>
      </c>
      <c r="G13" s="116">
        <f t="shared" si="4"/>
        <v>900000</v>
      </c>
    </row>
    <row r="14" spans="3:7" ht="12.75">
      <c r="C14" s="89">
        <f t="shared" si="0"/>
        <v>5</v>
      </c>
      <c r="D14" s="116">
        <f t="shared" si="1"/>
        <v>56500</v>
      </c>
      <c r="E14" s="116">
        <f t="shared" si="2"/>
        <v>31500.000000000004</v>
      </c>
      <c r="F14" s="116">
        <f t="shared" si="3"/>
        <v>25000</v>
      </c>
      <c r="G14" s="116">
        <f t="shared" si="4"/>
        <v>875000</v>
      </c>
    </row>
    <row r="15" spans="3:7" ht="12.75">
      <c r="C15" s="89">
        <f t="shared" si="0"/>
        <v>6</v>
      </c>
      <c r="D15" s="116">
        <f t="shared" si="1"/>
        <v>55625</v>
      </c>
      <c r="E15" s="116">
        <f t="shared" si="2"/>
        <v>30625.000000000004</v>
      </c>
      <c r="F15" s="116">
        <f t="shared" si="3"/>
        <v>25000</v>
      </c>
      <c r="G15" s="116">
        <f t="shared" si="4"/>
        <v>850000</v>
      </c>
    </row>
    <row r="16" spans="3:7" ht="12.75">
      <c r="C16" s="89">
        <f t="shared" si="0"/>
        <v>7</v>
      </c>
      <c r="D16" s="116">
        <f t="shared" si="1"/>
        <v>54750</v>
      </c>
      <c r="E16" s="116">
        <f t="shared" si="2"/>
        <v>29750.000000000004</v>
      </c>
      <c r="F16" s="116">
        <f t="shared" si="3"/>
        <v>25000</v>
      </c>
      <c r="G16" s="116">
        <f t="shared" si="4"/>
        <v>825000</v>
      </c>
    </row>
    <row r="17" spans="3:7" ht="12.75">
      <c r="C17" s="89">
        <f t="shared" si="0"/>
        <v>8</v>
      </c>
      <c r="D17" s="116">
        <f t="shared" si="1"/>
        <v>53875</v>
      </c>
      <c r="E17" s="116">
        <f t="shared" si="2"/>
        <v>28875.000000000004</v>
      </c>
      <c r="F17" s="116">
        <f t="shared" si="3"/>
        <v>25000</v>
      </c>
      <c r="G17" s="116">
        <f t="shared" si="4"/>
        <v>800000</v>
      </c>
    </row>
    <row r="18" spans="3:7" ht="12.75">
      <c r="C18" s="89">
        <f t="shared" si="0"/>
        <v>9</v>
      </c>
      <c r="D18" s="116">
        <f t="shared" si="1"/>
        <v>53000</v>
      </c>
      <c r="E18" s="116">
        <f t="shared" si="2"/>
        <v>28000.000000000004</v>
      </c>
      <c r="F18" s="116">
        <f t="shared" si="3"/>
        <v>25000</v>
      </c>
      <c r="G18" s="116">
        <f t="shared" si="4"/>
        <v>775000</v>
      </c>
    </row>
    <row r="19" spans="3:7" ht="12.75">
      <c r="C19" s="89">
        <f t="shared" si="0"/>
        <v>10</v>
      </c>
      <c r="D19" s="116">
        <f t="shared" si="1"/>
        <v>52125</v>
      </c>
      <c r="E19" s="116">
        <f t="shared" si="2"/>
        <v>27125.000000000004</v>
      </c>
      <c r="F19" s="116">
        <f t="shared" si="3"/>
        <v>25000</v>
      </c>
      <c r="G19" s="116">
        <f t="shared" si="4"/>
        <v>750000</v>
      </c>
    </row>
    <row r="20" spans="3:7" ht="12.75">
      <c r="C20" s="89">
        <f t="shared" si="0"/>
        <v>11</v>
      </c>
      <c r="D20" s="116">
        <f t="shared" si="1"/>
        <v>51250</v>
      </c>
      <c r="E20" s="116">
        <f t="shared" si="2"/>
        <v>26250.000000000004</v>
      </c>
      <c r="F20" s="116">
        <f t="shared" si="3"/>
        <v>25000</v>
      </c>
      <c r="G20" s="116">
        <f t="shared" si="4"/>
        <v>725000</v>
      </c>
    </row>
    <row r="21" spans="3:7" ht="12.75">
      <c r="C21" s="89">
        <f t="shared" si="0"/>
        <v>12</v>
      </c>
      <c r="D21" s="116">
        <f t="shared" si="1"/>
        <v>50375</v>
      </c>
      <c r="E21" s="116">
        <f t="shared" si="2"/>
        <v>25375.000000000004</v>
      </c>
      <c r="F21" s="116">
        <f t="shared" si="3"/>
        <v>25000</v>
      </c>
      <c r="G21" s="116">
        <f t="shared" si="4"/>
        <v>700000</v>
      </c>
    </row>
    <row r="22" spans="3:7" ht="12.75">
      <c r="C22" s="89">
        <f t="shared" si="0"/>
        <v>13</v>
      </c>
      <c r="D22" s="116">
        <f t="shared" si="1"/>
        <v>49500</v>
      </c>
      <c r="E22" s="116">
        <f t="shared" si="2"/>
        <v>24500.000000000004</v>
      </c>
      <c r="F22" s="116">
        <f t="shared" si="3"/>
        <v>25000</v>
      </c>
      <c r="G22" s="116">
        <f t="shared" si="4"/>
        <v>675000</v>
      </c>
    </row>
    <row r="23" spans="3:7" ht="12.75">
      <c r="C23" s="89">
        <f t="shared" si="0"/>
        <v>14</v>
      </c>
      <c r="D23" s="116">
        <f t="shared" si="1"/>
        <v>48625</v>
      </c>
      <c r="E23" s="116">
        <f t="shared" si="2"/>
        <v>23625.000000000004</v>
      </c>
      <c r="F23" s="116">
        <f t="shared" si="3"/>
        <v>25000</v>
      </c>
      <c r="G23" s="116">
        <f t="shared" si="4"/>
        <v>650000</v>
      </c>
    </row>
    <row r="24" spans="3:7" ht="12.75">
      <c r="C24" s="89">
        <f t="shared" si="0"/>
        <v>15</v>
      </c>
      <c r="D24" s="116">
        <f t="shared" si="1"/>
        <v>47750</v>
      </c>
      <c r="E24" s="116">
        <f t="shared" si="2"/>
        <v>22750.000000000004</v>
      </c>
      <c r="F24" s="116">
        <f t="shared" si="3"/>
        <v>25000</v>
      </c>
      <c r="G24" s="116">
        <f t="shared" si="4"/>
        <v>625000</v>
      </c>
    </row>
    <row r="25" spans="3:7" ht="12.75">
      <c r="C25" s="89">
        <f t="shared" si="0"/>
        <v>16</v>
      </c>
      <c r="D25" s="116">
        <f t="shared" si="1"/>
        <v>46875</v>
      </c>
      <c r="E25" s="116">
        <f t="shared" si="2"/>
        <v>21875.000000000004</v>
      </c>
      <c r="F25" s="116">
        <f t="shared" si="3"/>
        <v>25000</v>
      </c>
      <c r="G25" s="116">
        <f t="shared" si="4"/>
        <v>600000</v>
      </c>
    </row>
    <row r="26" spans="3:7" ht="12.75">
      <c r="C26" s="89">
        <f t="shared" si="0"/>
        <v>17</v>
      </c>
      <c r="D26" s="116">
        <f t="shared" si="1"/>
        <v>46000</v>
      </c>
      <c r="E26" s="116">
        <f t="shared" si="2"/>
        <v>21000.000000000004</v>
      </c>
      <c r="F26" s="116">
        <f t="shared" si="3"/>
        <v>25000</v>
      </c>
      <c r="G26" s="116">
        <f t="shared" si="4"/>
        <v>575000</v>
      </c>
    </row>
    <row r="27" spans="3:7" ht="12.75">
      <c r="C27" s="89">
        <f t="shared" si="0"/>
        <v>18</v>
      </c>
      <c r="D27" s="116">
        <f t="shared" si="1"/>
        <v>45125</v>
      </c>
      <c r="E27" s="116">
        <f t="shared" si="2"/>
        <v>20125.000000000004</v>
      </c>
      <c r="F27" s="116">
        <f t="shared" si="3"/>
        <v>25000</v>
      </c>
      <c r="G27" s="116">
        <f t="shared" si="4"/>
        <v>550000</v>
      </c>
    </row>
    <row r="28" spans="3:7" ht="12.75">
      <c r="C28" s="89">
        <f t="shared" si="0"/>
        <v>19</v>
      </c>
      <c r="D28" s="116">
        <f t="shared" si="1"/>
        <v>44250</v>
      </c>
      <c r="E28" s="116">
        <f t="shared" si="2"/>
        <v>19250.000000000004</v>
      </c>
      <c r="F28" s="116">
        <f t="shared" si="3"/>
        <v>25000</v>
      </c>
      <c r="G28" s="116">
        <f t="shared" si="4"/>
        <v>525000</v>
      </c>
    </row>
    <row r="29" spans="3:7" ht="12.75">
      <c r="C29" s="89">
        <f t="shared" si="0"/>
        <v>20</v>
      </c>
      <c r="D29" s="116">
        <f t="shared" si="1"/>
        <v>43375</v>
      </c>
      <c r="E29" s="116">
        <f t="shared" si="2"/>
        <v>18375</v>
      </c>
      <c r="F29" s="116">
        <f t="shared" si="3"/>
        <v>25000</v>
      </c>
      <c r="G29" s="116">
        <f t="shared" si="4"/>
        <v>500000</v>
      </c>
    </row>
    <row r="30" spans="3:7" ht="12.75">
      <c r="C30" s="89">
        <f t="shared" si="0"/>
        <v>21</v>
      </c>
      <c r="D30" s="116">
        <f t="shared" si="1"/>
        <v>42500</v>
      </c>
      <c r="E30" s="116">
        <f t="shared" si="2"/>
        <v>17500</v>
      </c>
      <c r="F30" s="116">
        <f t="shared" si="3"/>
        <v>25000</v>
      </c>
      <c r="G30" s="116">
        <f t="shared" si="4"/>
        <v>475000</v>
      </c>
    </row>
    <row r="31" spans="3:7" ht="12.75">
      <c r="C31" s="89">
        <f t="shared" si="0"/>
        <v>22</v>
      </c>
      <c r="D31" s="116">
        <f t="shared" si="1"/>
        <v>41625</v>
      </c>
      <c r="E31" s="116">
        <f t="shared" si="2"/>
        <v>16625</v>
      </c>
      <c r="F31" s="116">
        <f t="shared" si="3"/>
        <v>25000</v>
      </c>
      <c r="G31" s="116">
        <f t="shared" si="4"/>
        <v>450000</v>
      </c>
    </row>
    <row r="32" spans="3:7" ht="12.75">
      <c r="C32" s="89">
        <f t="shared" si="0"/>
        <v>23</v>
      </c>
      <c r="D32" s="116">
        <f t="shared" si="1"/>
        <v>40750</v>
      </c>
      <c r="E32" s="116">
        <f t="shared" si="2"/>
        <v>15750.000000000002</v>
      </c>
      <c r="F32" s="116">
        <f t="shared" si="3"/>
        <v>25000</v>
      </c>
      <c r="G32" s="116">
        <f t="shared" si="4"/>
        <v>425000</v>
      </c>
    </row>
    <row r="33" spans="3:7" ht="12.75">
      <c r="C33" s="89">
        <f t="shared" si="0"/>
        <v>24</v>
      </c>
      <c r="D33" s="116">
        <f t="shared" si="1"/>
        <v>39875</v>
      </c>
      <c r="E33" s="116">
        <f t="shared" si="2"/>
        <v>14875.000000000002</v>
      </c>
      <c r="F33" s="116">
        <f t="shared" si="3"/>
        <v>25000</v>
      </c>
      <c r="G33" s="116">
        <f t="shared" si="4"/>
        <v>400000</v>
      </c>
    </row>
    <row r="34" spans="3:7" ht="12.75">
      <c r="C34" s="89">
        <f t="shared" si="0"/>
        <v>25</v>
      </c>
      <c r="D34" s="116">
        <f t="shared" si="1"/>
        <v>39000</v>
      </c>
      <c r="E34" s="116">
        <f t="shared" si="2"/>
        <v>14000.000000000002</v>
      </c>
      <c r="F34" s="116">
        <f t="shared" si="3"/>
        <v>25000</v>
      </c>
      <c r="G34" s="116">
        <f t="shared" si="4"/>
        <v>375000</v>
      </c>
    </row>
    <row r="35" spans="3:7" ht="12.75">
      <c r="C35" s="89">
        <f t="shared" si="0"/>
        <v>26</v>
      </c>
      <c r="D35" s="116">
        <f t="shared" si="1"/>
        <v>38125</v>
      </c>
      <c r="E35" s="116">
        <f t="shared" si="2"/>
        <v>13125.000000000002</v>
      </c>
      <c r="F35" s="116">
        <f t="shared" si="3"/>
        <v>25000</v>
      </c>
      <c r="G35" s="116">
        <f t="shared" si="4"/>
        <v>350000</v>
      </c>
    </row>
    <row r="36" spans="3:7" ht="12.75">
      <c r="C36" s="89">
        <f t="shared" si="0"/>
        <v>27</v>
      </c>
      <c r="D36" s="116">
        <f t="shared" si="1"/>
        <v>37250</v>
      </c>
      <c r="E36" s="116">
        <f t="shared" si="2"/>
        <v>12250.000000000002</v>
      </c>
      <c r="F36" s="116">
        <f t="shared" si="3"/>
        <v>25000</v>
      </c>
      <c r="G36" s="116">
        <f t="shared" si="4"/>
        <v>325000</v>
      </c>
    </row>
    <row r="37" spans="3:7" ht="12.75">
      <c r="C37" s="89">
        <f t="shared" si="0"/>
        <v>28</v>
      </c>
      <c r="D37" s="116">
        <f t="shared" si="1"/>
        <v>36375</v>
      </c>
      <c r="E37" s="116">
        <f t="shared" si="2"/>
        <v>11375.000000000002</v>
      </c>
      <c r="F37" s="116">
        <f t="shared" si="3"/>
        <v>25000</v>
      </c>
      <c r="G37" s="116">
        <f t="shared" si="4"/>
        <v>300000</v>
      </c>
    </row>
    <row r="38" spans="3:7" ht="12.75">
      <c r="C38" s="89">
        <f t="shared" si="0"/>
        <v>29</v>
      </c>
      <c r="D38" s="116">
        <f t="shared" si="1"/>
        <v>35500</v>
      </c>
      <c r="E38" s="116">
        <f t="shared" si="2"/>
        <v>10500.000000000002</v>
      </c>
      <c r="F38" s="116">
        <f t="shared" si="3"/>
        <v>25000</v>
      </c>
      <c r="G38" s="116">
        <f t="shared" si="4"/>
        <v>275000</v>
      </c>
    </row>
    <row r="39" spans="3:7" ht="12.75">
      <c r="C39" s="89">
        <f t="shared" si="0"/>
        <v>30</v>
      </c>
      <c r="D39" s="116">
        <f t="shared" si="1"/>
        <v>34625</v>
      </c>
      <c r="E39" s="116">
        <f t="shared" si="2"/>
        <v>9625.000000000002</v>
      </c>
      <c r="F39" s="116">
        <f t="shared" si="3"/>
        <v>25000</v>
      </c>
      <c r="G39" s="116">
        <f t="shared" si="4"/>
        <v>250000</v>
      </c>
    </row>
    <row r="40" spans="3:7" ht="12.75">
      <c r="C40" s="89">
        <f t="shared" si="0"/>
        <v>31</v>
      </c>
      <c r="D40" s="116">
        <f t="shared" si="1"/>
        <v>33750</v>
      </c>
      <c r="E40" s="116">
        <f t="shared" si="2"/>
        <v>8750</v>
      </c>
      <c r="F40" s="116">
        <f t="shared" si="3"/>
        <v>25000</v>
      </c>
      <c r="G40" s="116">
        <f t="shared" si="4"/>
        <v>225000</v>
      </c>
    </row>
    <row r="41" spans="3:7" ht="12.75">
      <c r="C41" s="89">
        <f t="shared" si="0"/>
        <v>32</v>
      </c>
      <c r="D41" s="116">
        <f t="shared" si="1"/>
        <v>32875</v>
      </c>
      <c r="E41" s="116">
        <f t="shared" si="2"/>
        <v>7875.000000000001</v>
      </c>
      <c r="F41" s="116">
        <f t="shared" si="3"/>
        <v>25000</v>
      </c>
      <c r="G41" s="116">
        <f t="shared" si="4"/>
        <v>200000</v>
      </c>
    </row>
    <row r="42" spans="3:7" ht="12.75">
      <c r="C42" s="89">
        <f t="shared" si="0"/>
        <v>33</v>
      </c>
      <c r="D42" s="116">
        <f t="shared" si="1"/>
        <v>32000</v>
      </c>
      <c r="E42" s="116">
        <f t="shared" si="2"/>
        <v>7000.000000000001</v>
      </c>
      <c r="F42" s="116">
        <f t="shared" si="3"/>
        <v>25000</v>
      </c>
      <c r="G42" s="116">
        <f t="shared" si="4"/>
        <v>175000</v>
      </c>
    </row>
    <row r="43" spans="3:7" ht="12.75">
      <c r="C43" s="89">
        <f t="shared" si="0"/>
        <v>34</v>
      </c>
      <c r="D43" s="116">
        <f t="shared" si="1"/>
        <v>31125</v>
      </c>
      <c r="E43" s="116">
        <f t="shared" si="2"/>
        <v>6125.000000000001</v>
      </c>
      <c r="F43" s="116">
        <f t="shared" si="3"/>
        <v>25000</v>
      </c>
      <c r="G43" s="116">
        <f t="shared" si="4"/>
        <v>150000</v>
      </c>
    </row>
    <row r="44" spans="3:7" ht="12.75">
      <c r="C44" s="89">
        <f t="shared" si="0"/>
        <v>35</v>
      </c>
      <c r="D44" s="116">
        <f t="shared" si="1"/>
        <v>30250</v>
      </c>
      <c r="E44" s="116">
        <f t="shared" si="2"/>
        <v>5250.000000000001</v>
      </c>
      <c r="F44" s="116">
        <f t="shared" si="3"/>
        <v>25000</v>
      </c>
      <c r="G44" s="116">
        <f t="shared" si="4"/>
        <v>125000</v>
      </c>
    </row>
    <row r="45" spans="3:7" ht="12.75">
      <c r="C45" s="89">
        <f t="shared" si="0"/>
        <v>36</v>
      </c>
      <c r="D45" s="116">
        <f t="shared" si="1"/>
        <v>29375</v>
      </c>
      <c r="E45" s="116">
        <f>G44*B$3</f>
        <v>4375</v>
      </c>
      <c r="F45" s="116">
        <f t="shared" si="3"/>
        <v>25000</v>
      </c>
      <c r="G45" s="116">
        <f t="shared" si="4"/>
        <v>100000</v>
      </c>
    </row>
    <row r="46" spans="3:7" ht="12.75">
      <c r="C46" s="89">
        <f t="shared" si="0"/>
        <v>37</v>
      </c>
      <c r="D46" s="116">
        <f t="shared" si="1"/>
        <v>28500</v>
      </c>
      <c r="E46" s="116">
        <f t="shared" si="2"/>
        <v>3500.0000000000005</v>
      </c>
      <c r="F46" s="116">
        <f t="shared" si="3"/>
        <v>25000</v>
      </c>
      <c r="G46" s="116">
        <f t="shared" si="4"/>
        <v>75000</v>
      </c>
    </row>
    <row r="47" spans="3:7" ht="12.75">
      <c r="C47" s="89">
        <f t="shared" si="0"/>
        <v>38</v>
      </c>
      <c r="D47" s="116">
        <f t="shared" si="1"/>
        <v>27625</v>
      </c>
      <c r="E47" s="116">
        <f t="shared" si="2"/>
        <v>2625.0000000000005</v>
      </c>
      <c r="F47" s="116">
        <f t="shared" si="3"/>
        <v>25000</v>
      </c>
      <c r="G47" s="116">
        <f t="shared" si="4"/>
        <v>50000</v>
      </c>
    </row>
    <row r="48" spans="3:7" ht="12.75">
      <c r="C48" s="89">
        <f t="shared" si="0"/>
        <v>39</v>
      </c>
      <c r="D48" s="116">
        <f t="shared" si="1"/>
        <v>26750</v>
      </c>
      <c r="E48" s="116">
        <f t="shared" si="2"/>
        <v>1750.0000000000002</v>
      </c>
      <c r="F48" s="116">
        <f t="shared" si="3"/>
        <v>25000</v>
      </c>
      <c r="G48" s="116">
        <f t="shared" si="4"/>
        <v>25000</v>
      </c>
    </row>
    <row r="49" spans="3:7" ht="12.75">
      <c r="C49" s="89">
        <f t="shared" si="0"/>
        <v>40</v>
      </c>
      <c r="D49" s="116">
        <f t="shared" si="1"/>
        <v>25875</v>
      </c>
      <c r="E49" s="116">
        <f>G48*B$3</f>
        <v>875.0000000000001</v>
      </c>
      <c r="F49" s="116">
        <f t="shared" si="3"/>
        <v>25000</v>
      </c>
      <c r="G49" s="116">
        <f t="shared" si="4"/>
        <v>0</v>
      </c>
    </row>
  </sheetData>
  <sheetProtection/>
  <printOptions/>
  <pageMargins left="0.75" right="0.75" top="1" bottom="1" header="0.5" footer="0.5"/>
  <pageSetup horizontalDpi="600" verticalDpi="600" orientation="portrait" r:id="rId1"/>
</worksheet>
</file>

<file path=xl/worksheets/sheet47.xml><?xml version="1.0" encoding="utf-8"?>
<worksheet xmlns="http://schemas.openxmlformats.org/spreadsheetml/2006/main" xmlns:r="http://schemas.openxmlformats.org/officeDocument/2006/relationships">
  <sheetPr>
    <tabColor theme="3"/>
  </sheetPr>
  <dimension ref="A1:E374"/>
  <sheetViews>
    <sheetView zoomScalePageLayoutView="0" workbookViewId="0" topLeftCell="A3">
      <selection activeCell="B10" sqref="B10"/>
    </sheetView>
  </sheetViews>
  <sheetFormatPr defaultColWidth="9.140625" defaultRowHeight="15"/>
  <cols>
    <col min="1" max="1" width="12.8515625" style="0" bestFit="1" customWidth="1"/>
    <col min="2" max="2" width="13.57421875" style="0" bestFit="1" customWidth="1"/>
    <col min="3" max="3" width="12.28125" style="0" bestFit="1" customWidth="1"/>
    <col min="4" max="4" width="13.140625" style="0" bestFit="1" customWidth="1"/>
    <col min="5" max="5" width="13.140625" style="0" customWidth="1"/>
  </cols>
  <sheetData>
    <row r="1" spans="1:2" ht="14.25">
      <c r="A1" s="5" t="s">
        <v>158</v>
      </c>
      <c r="B1" s="57">
        <v>370000</v>
      </c>
    </row>
    <row r="2" spans="1:2" ht="14.25">
      <c r="A2" s="5" t="s">
        <v>159</v>
      </c>
      <c r="B2" s="57">
        <v>20000</v>
      </c>
    </row>
    <row r="3" spans="1:2" ht="14.25">
      <c r="A3" s="5" t="s">
        <v>151</v>
      </c>
      <c r="B3" s="57">
        <f>B1-B2</f>
        <v>350000</v>
      </c>
    </row>
    <row r="4" spans="1:2" ht="14.25">
      <c r="A4" s="5" t="s">
        <v>75</v>
      </c>
      <c r="B4" s="9">
        <v>0.095</v>
      </c>
    </row>
    <row r="5" spans="1:2" ht="14.25">
      <c r="A5" s="5" t="s">
        <v>4</v>
      </c>
      <c r="B5" s="5">
        <v>12</v>
      </c>
    </row>
    <row r="6" spans="1:2" ht="14.25">
      <c r="A6" s="5" t="s">
        <v>152</v>
      </c>
      <c r="B6" s="5">
        <f>B4/B5</f>
        <v>0.007916666666666667</v>
      </c>
    </row>
    <row r="7" spans="1:2" ht="14.25">
      <c r="A7" s="5" t="s">
        <v>35</v>
      </c>
      <c r="B7" s="5">
        <v>30</v>
      </c>
    </row>
    <row r="8" spans="1:2" ht="14.25">
      <c r="A8" s="5" t="s">
        <v>153</v>
      </c>
      <c r="B8" s="5">
        <f>B7*B5</f>
        <v>360</v>
      </c>
    </row>
    <row r="9" spans="1:2" ht="14.25">
      <c r="A9" s="5" t="s">
        <v>32</v>
      </c>
      <c r="B9" s="57">
        <f>PMT(B6,B8,B3,,0)</f>
        <v>-2942.9897251256252</v>
      </c>
    </row>
    <row r="10" spans="1:4" ht="14.25">
      <c r="A10" s="5" t="s">
        <v>156</v>
      </c>
      <c r="B10" s="46"/>
      <c r="D10" t="s">
        <v>59</v>
      </c>
    </row>
    <row r="11" spans="1:4" ht="14.25">
      <c r="A11" s="5" t="s">
        <v>157</v>
      </c>
      <c r="B11" s="1"/>
      <c r="D11" s="52">
        <f>B10-B11</f>
        <v>0</v>
      </c>
    </row>
    <row r="13" spans="1:5" ht="14.25">
      <c r="A13" s="86" t="s">
        <v>65</v>
      </c>
      <c r="B13" s="86" t="s">
        <v>154</v>
      </c>
      <c r="C13" s="86" t="s">
        <v>132</v>
      </c>
      <c r="D13" s="86" t="s">
        <v>133</v>
      </c>
      <c r="E13" s="86" t="s">
        <v>155</v>
      </c>
    </row>
    <row r="14" spans="1:5" ht="14.25">
      <c r="A14" s="5">
        <v>0</v>
      </c>
      <c r="B14" s="5"/>
      <c r="C14" s="5"/>
      <c r="D14" s="5"/>
      <c r="E14" s="5">
        <f>B3</f>
        <v>350000</v>
      </c>
    </row>
    <row r="15" spans="1:5" ht="14.25">
      <c r="A15" s="5">
        <f>A14+1</f>
        <v>1</v>
      </c>
      <c r="B15" s="46"/>
      <c r="C15" s="1"/>
      <c r="D15" s="46"/>
      <c r="E15" s="46"/>
    </row>
    <row r="16" spans="1:5" ht="14.25">
      <c r="A16" s="5">
        <f aca="true" t="shared" si="0" ref="A16:A79">A15+1</f>
        <v>2</v>
      </c>
      <c r="B16" s="46"/>
      <c r="C16" s="1"/>
      <c r="D16" s="46"/>
      <c r="E16" s="46"/>
    </row>
    <row r="17" spans="1:5" ht="14.25">
      <c r="A17" s="5">
        <f t="shared" si="0"/>
        <v>3</v>
      </c>
      <c r="B17" s="46"/>
      <c r="C17" s="1"/>
      <c r="D17" s="46"/>
      <c r="E17" s="46"/>
    </row>
    <row r="18" spans="1:5" ht="14.25">
      <c r="A18" s="5">
        <f t="shared" si="0"/>
        <v>4</v>
      </c>
      <c r="B18" s="46"/>
      <c r="C18" s="1"/>
      <c r="D18" s="46"/>
      <c r="E18" s="46"/>
    </row>
    <row r="19" spans="1:5" ht="14.25">
      <c r="A19" s="5">
        <f t="shared" si="0"/>
        <v>5</v>
      </c>
      <c r="B19" s="46"/>
      <c r="C19" s="1"/>
      <c r="D19" s="46"/>
      <c r="E19" s="46"/>
    </row>
    <row r="20" spans="1:5" ht="14.25">
      <c r="A20" s="5">
        <f t="shared" si="0"/>
        <v>6</v>
      </c>
      <c r="B20" s="46"/>
      <c r="C20" s="1"/>
      <c r="D20" s="46"/>
      <c r="E20" s="46"/>
    </row>
    <row r="21" spans="1:5" ht="14.25">
      <c r="A21" s="5">
        <f t="shared" si="0"/>
        <v>7</v>
      </c>
      <c r="B21" s="46"/>
      <c r="C21" s="1"/>
      <c r="D21" s="46"/>
      <c r="E21" s="46"/>
    </row>
    <row r="22" spans="1:5" ht="14.25">
      <c r="A22" s="5">
        <f t="shared" si="0"/>
        <v>8</v>
      </c>
      <c r="B22" s="46"/>
      <c r="C22" s="1"/>
      <c r="D22" s="46"/>
      <c r="E22" s="46"/>
    </row>
    <row r="23" spans="1:5" ht="14.25">
      <c r="A23" s="5">
        <f t="shared" si="0"/>
        <v>9</v>
      </c>
      <c r="B23" s="46"/>
      <c r="C23" s="1"/>
      <c r="D23" s="46"/>
      <c r="E23" s="46"/>
    </row>
    <row r="24" spans="1:5" ht="14.25">
      <c r="A24" s="5">
        <f t="shared" si="0"/>
        <v>10</v>
      </c>
      <c r="B24" s="46"/>
      <c r="C24" s="1"/>
      <c r="D24" s="46"/>
      <c r="E24" s="46"/>
    </row>
    <row r="25" spans="1:5" ht="14.25">
      <c r="A25" s="5">
        <f t="shared" si="0"/>
        <v>11</v>
      </c>
      <c r="B25" s="46"/>
      <c r="C25" s="1"/>
      <c r="D25" s="46"/>
      <c r="E25" s="46"/>
    </row>
    <row r="26" spans="1:5" ht="14.25">
      <c r="A26" s="5">
        <f t="shared" si="0"/>
        <v>12</v>
      </c>
      <c r="B26" s="46"/>
      <c r="C26" s="1"/>
      <c r="D26" s="46"/>
      <c r="E26" s="46"/>
    </row>
    <row r="27" spans="1:5" ht="14.25">
      <c r="A27" s="5">
        <f t="shared" si="0"/>
        <v>13</v>
      </c>
      <c r="B27" s="46"/>
      <c r="C27" s="1"/>
      <c r="D27" s="46"/>
      <c r="E27" s="46"/>
    </row>
    <row r="28" spans="1:5" ht="14.25">
      <c r="A28" s="5">
        <f t="shared" si="0"/>
        <v>14</v>
      </c>
      <c r="B28" s="46"/>
      <c r="C28" s="1"/>
      <c r="D28" s="46"/>
      <c r="E28" s="46"/>
    </row>
    <row r="29" spans="1:5" ht="14.25">
      <c r="A29" s="5">
        <f t="shared" si="0"/>
        <v>15</v>
      </c>
      <c r="B29" s="46"/>
      <c r="C29" s="1"/>
      <c r="D29" s="46"/>
      <c r="E29" s="46"/>
    </row>
    <row r="30" spans="1:5" ht="14.25">
      <c r="A30" s="5">
        <f t="shared" si="0"/>
        <v>16</v>
      </c>
      <c r="B30" s="46"/>
      <c r="C30" s="1"/>
      <c r="D30" s="46"/>
      <c r="E30" s="46"/>
    </row>
    <row r="31" spans="1:5" ht="14.25">
      <c r="A31" s="5">
        <f t="shared" si="0"/>
        <v>17</v>
      </c>
      <c r="B31" s="46"/>
      <c r="C31" s="1"/>
      <c r="D31" s="46"/>
      <c r="E31" s="46"/>
    </row>
    <row r="32" spans="1:5" ht="14.25">
      <c r="A32" s="5">
        <f t="shared" si="0"/>
        <v>18</v>
      </c>
      <c r="B32" s="46"/>
      <c r="C32" s="1"/>
      <c r="D32" s="46"/>
      <c r="E32" s="46"/>
    </row>
    <row r="33" spans="1:5" ht="14.25">
      <c r="A33" s="5">
        <f t="shared" si="0"/>
        <v>19</v>
      </c>
      <c r="B33" s="46"/>
      <c r="C33" s="1"/>
      <c r="D33" s="46"/>
      <c r="E33" s="46"/>
    </row>
    <row r="34" spans="1:5" ht="14.25">
      <c r="A34" s="5">
        <f t="shared" si="0"/>
        <v>20</v>
      </c>
      <c r="B34" s="46"/>
      <c r="C34" s="1"/>
      <c r="D34" s="46"/>
      <c r="E34" s="46"/>
    </row>
    <row r="35" spans="1:5" ht="14.25">
      <c r="A35" s="5">
        <f t="shared" si="0"/>
        <v>21</v>
      </c>
      <c r="B35" s="46"/>
      <c r="C35" s="1"/>
      <c r="D35" s="46"/>
      <c r="E35" s="46"/>
    </row>
    <row r="36" spans="1:5" ht="14.25">
      <c r="A36" s="5">
        <f t="shared" si="0"/>
        <v>22</v>
      </c>
      <c r="B36" s="46"/>
      <c r="C36" s="1"/>
      <c r="D36" s="46"/>
      <c r="E36" s="46"/>
    </row>
    <row r="37" spans="1:5" ht="14.25">
      <c r="A37" s="5">
        <f t="shared" si="0"/>
        <v>23</v>
      </c>
      <c r="B37" s="46"/>
      <c r="C37" s="1"/>
      <c r="D37" s="46"/>
      <c r="E37" s="46"/>
    </row>
    <row r="38" spans="1:5" ht="14.25">
      <c r="A38" s="5">
        <f t="shared" si="0"/>
        <v>24</v>
      </c>
      <c r="B38" s="46"/>
      <c r="C38" s="1"/>
      <c r="D38" s="46"/>
      <c r="E38" s="46"/>
    </row>
    <row r="39" spans="1:5" ht="14.25">
      <c r="A39" s="5">
        <f t="shared" si="0"/>
        <v>25</v>
      </c>
      <c r="B39" s="46"/>
      <c r="C39" s="1"/>
      <c r="D39" s="46"/>
      <c r="E39" s="46"/>
    </row>
    <row r="40" spans="1:5" ht="14.25">
      <c r="A40" s="5">
        <f t="shared" si="0"/>
        <v>26</v>
      </c>
      <c r="B40" s="46"/>
      <c r="C40" s="1"/>
      <c r="D40" s="46"/>
      <c r="E40" s="46"/>
    </row>
    <row r="41" spans="1:5" ht="14.25">
      <c r="A41" s="5">
        <f t="shared" si="0"/>
        <v>27</v>
      </c>
      <c r="B41" s="46"/>
      <c r="C41" s="1"/>
      <c r="D41" s="46"/>
      <c r="E41" s="46"/>
    </row>
    <row r="42" spans="1:5" ht="14.25">
      <c r="A42" s="5">
        <f t="shared" si="0"/>
        <v>28</v>
      </c>
      <c r="B42" s="46"/>
      <c r="C42" s="1"/>
      <c r="D42" s="46"/>
      <c r="E42" s="46"/>
    </row>
    <row r="43" spans="1:5" ht="14.25">
      <c r="A43" s="5">
        <f t="shared" si="0"/>
        <v>29</v>
      </c>
      <c r="B43" s="46"/>
      <c r="C43" s="1"/>
      <c r="D43" s="46"/>
      <c r="E43" s="46"/>
    </row>
    <row r="44" spans="1:5" ht="14.25">
      <c r="A44" s="5">
        <f t="shared" si="0"/>
        <v>30</v>
      </c>
      <c r="B44" s="46"/>
      <c r="C44" s="1"/>
      <c r="D44" s="46"/>
      <c r="E44" s="46"/>
    </row>
    <row r="45" spans="1:5" ht="14.25">
      <c r="A45" s="5">
        <f t="shared" si="0"/>
        <v>31</v>
      </c>
      <c r="B45" s="46"/>
      <c r="C45" s="1"/>
      <c r="D45" s="46"/>
      <c r="E45" s="46"/>
    </row>
    <row r="46" spans="1:5" ht="14.25">
      <c r="A46" s="5">
        <f t="shared" si="0"/>
        <v>32</v>
      </c>
      <c r="B46" s="46"/>
      <c r="C46" s="1"/>
      <c r="D46" s="46"/>
      <c r="E46" s="46"/>
    </row>
    <row r="47" spans="1:5" ht="14.25">
      <c r="A47" s="5">
        <f t="shared" si="0"/>
        <v>33</v>
      </c>
      <c r="B47" s="46"/>
      <c r="C47" s="1"/>
      <c r="D47" s="46"/>
      <c r="E47" s="46"/>
    </row>
    <row r="48" spans="1:5" ht="14.25">
      <c r="A48" s="5">
        <f t="shared" si="0"/>
        <v>34</v>
      </c>
      <c r="B48" s="46"/>
      <c r="C48" s="1"/>
      <c r="D48" s="46"/>
      <c r="E48" s="46"/>
    </row>
    <row r="49" spans="1:5" ht="14.25">
      <c r="A49" s="5">
        <f t="shared" si="0"/>
        <v>35</v>
      </c>
      <c r="B49" s="46"/>
      <c r="C49" s="1"/>
      <c r="D49" s="46"/>
      <c r="E49" s="46"/>
    </row>
    <row r="50" spans="1:5" ht="14.25">
      <c r="A50" s="5">
        <f t="shared" si="0"/>
        <v>36</v>
      </c>
      <c r="B50" s="46"/>
      <c r="C50" s="1"/>
      <c r="D50" s="46"/>
      <c r="E50" s="46"/>
    </row>
    <row r="51" spans="1:5" ht="14.25">
      <c r="A51" s="5">
        <f t="shared" si="0"/>
        <v>37</v>
      </c>
      <c r="B51" s="46"/>
      <c r="C51" s="1"/>
      <c r="D51" s="46"/>
      <c r="E51" s="46"/>
    </row>
    <row r="52" spans="1:5" ht="14.25">
      <c r="A52" s="5">
        <f t="shared" si="0"/>
        <v>38</v>
      </c>
      <c r="B52" s="46"/>
      <c r="C52" s="1"/>
      <c r="D52" s="46"/>
      <c r="E52" s="46"/>
    </row>
    <row r="53" spans="1:5" ht="14.25">
      <c r="A53" s="5">
        <f t="shared" si="0"/>
        <v>39</v>
      </c>
      <c r="B53" s="46"/>
      <c r="C53" s="1"/>
      <c r="D53" s="46"/>
      <c r="E53" s="46"/>
    </row>
    <row r="54" spans="1:5" ht="14.25">
      <c r="A54" s="5">
        <f t="shared" si="0"/>
        <v>40</v>
      </c>
      <c r="B54" s="46"/>
      <c r="C54" s="1"/>
      <c r="D54" s="46"/>
      <c r="E54" s="46"/>
    </row>
    <row r="55" spans="1:5" ht="14.25">
      <c r="A55" s="5">
        <f t="shared" si="0"/>
        <v>41</v>
      </c>
      <c r="B55" s="46"/>
      <c r="C55" s="1"/>
      <c r="D55" s="46"/>
      <c r="E55" s="46"/>
    </row>
    <row r="56" spans="1:5" ht="14.25">
      <c r="A56" s="5">
        <f t="shared" si="0"/>
        <v>42</v>
      </c>
      <c r="B56" s="46"/>
      <c r="C56" s="1"/>
      <c r="D56" s="46"/>
      <c r="E56" s="46"/>
    </row>
    <row r="57" spans="1:5" ht="14.25">
      <c r="A57" s="5">
        <f t="shared" si="0"/>
        <v>43</v>
      </c>
      <c r="B57" s="46"/>
      <c r="C57" s="1"/>
      <c r="D57" s="46"/>
      <c r="E57" s="46"/>
    </row>
    <row r="58" spans="1:5" ht="14.25">
      <c r="A58" s="5">
        <f t="shared" si="0"/>
        <v>44</v>
      </c>
      <c r="B58" s="46"/>
      <c r="C58" s="1"/>
      <c r="D58" s="46"/>
      <c r="E58" s="46"/>
    </row>
    <row r="59" spans="1:5" ht="14.25">
      <c r="A59" s="5">
        <f t="shared" si="0"/>
        <v>45</v>
      </c>
      <c r="B59" s="46"/>
      <c r="C59" s="1"/>
      <c r="D59" s="46"/>
      <c r="E59" s="46"/>
    </row>
    <row r="60" spans="1:5" ht="14.25">
      <c r="A60" s="5">
        <f t="shared" si="0"/>
        <v>46</v>
      </c>
      <c r="B60" s="46"/>
      <c r="C60" s="1"/>
      <c r="D60" s="46"/>
      <c r="E60" s="46"/>
    </row>
    <row r="61" spans="1:5" ht="14.25">
      <c r="A61" s="5">
        <f t="shared" si="0"/>
        <v>47</v>
      </c>
      <c r="B61" s="46"/>
      <c r="C61" s="1"/>
      <c r="D61" s="46"/>
      <c r="E61" s="46"/>
    </row>
    <row r="62" spans="1:5" ht="14.25">
      <c r="A62" s="5">
        <f t="shared" si="0"/>
        <v>48</v>
      </c>
      <c r="B62" s="46"/>
      <c r="C62" s="1"/>
      <c r="D62" s="46"/>
      <c r="E62" s="46"/>
    </row>
    <row r="63" spans="1:5" ht="14.25">
      <c r="A63" s="5">
        <f t="shared" si="0"/>
        <v>49</v>
      </c>
      <c r="B63" s="46"/>
      <c r="C63" s="1"/>
      <c r="D63" s="46"/>
      <c r="E63" s="46"/>
    </row>
    <row r="64" spans="1:5" ht="14.25">
      <c r="A64" s="5">
        <f t="shared" si="0"/>
        <v>50</v>
      </c>
      <c r="B64" s="46"/>
      <c r="C64" s="1"/>
      <c r="D64" s="46"/>
      <c r="E64" s="46"/>
    </row>
    <row r="65" spans="1:5" ht="14.25">
      <c r="A65" s="5">
        <f t="shared" si="0"/>
        <v>51</v>
      </c>
      <c r="B65" s="46"/>
      <c r="C65" s="1"/>
      <c r="D65" s="46"/>
      <c r="E65" s="46"/>
    </row>
    <row r="66" spans="1:5" ht="14.25">
      <c r="A66" s="5">
        <f t="shared" si="0"/>
        <v>52</v>
      </c>
      <c r="B66" s="46"/>
      <c r="C66" s="1"/>
      <c r="D66" s="46"/>
      <c r="E66" s="46"/>
    </row>
    <row r="67" spans="1:5" ht="14.25">
      <c r="A67" s="5">
        <f t="shared" si="0"/>
        <v>53</v>
      </c>
      <c r="B67" s="46"/>
      <c r="C67" s="1"/>
      <c r="D67" s="46"/>
      <c r="E67" s="46"/>
    </row>
    <row r="68" spans="1:5" ht="14.25">
      <c r="A68" s="5">
        <f t="shared" si="0"/>
        <v>54</v>
      </c>
      <c r="B68" s="46"/>
      <c r="C68" s="1"/>
      <c r="D68" s="46"/>
      <c r="E68" s="46"/>
    </row>
    <row r="69" spans="1:5" ht="14.25">
      <c r="A69" s="5">
        <f t="shared" si="0"/>
        <v>55</v>
      </c>
      <c r="B69" s="46"/>
      <c r="C69" s="1"/>
      <c r="D69" s="46"/>
      <c r="E69" s="46"/>
    </row>
    <row r="70" spans="1:5" ht="14.25">
      <c r="A70" s="5">
        <f t="shared" si="0"/>
        <v>56</v>
      </c>
      <c r="B70" s="46"/>
      <c r="C70" s="1"/>
      <c r="D70" s="46"/>
      <c r="E70" s="46"/>
    </row>
    <row r="71" spans="1:5" ht="14.25">
      <c r="A71" s="5">
        <f t="shared" si="0"/>
        <v>57</v>
      </c>
      <c r="B71" s="46"/>
      <c r="C71" s="1"/>
      <c r="D71" s="46"/>
      <c r="E71" s="46"/>
    </row>
    <row r="72" spans="1:5" ht="14.25">
      <c r="A72" s="5">
        <f t="shared" si="0"/>
        <v>58</v>
      </c>
      <c r="B72" s="46"/>
      <c r="C72" s="1"/>
      <c r="D72" s="46"/>
      <c r="E72" s="46"/>
    </row>
    <row r="73" spans="1:5" ht="14.25">
      <c r="A73" s="5">
        <f t="shared" si="0"/>
        <v>59</v>
      </c>
      <c r="B73" s="46"/>
      <c r="C73" s="1"/>
      <c r="D73" s="46"/>
      <c r="E73" s="46"/>
    </row>
    <row r="74" spans="1:5" ht="14.25">
      <c r="A74" s="5">
        <f t="shared" si="0"/>
        <v>60</v>
      </c>
      <c r="B74" s="46"/>
      <c r="C74" s="1"/>
      <c r="D74" s="46"/>
      <c r="E74" s="46"/>
    </row>
    <row r="75" spans="1:5" ht="14.25">
      <c r="A75" s="5">
        <f t="shared" si="0"/>
        <v>61</v>
      </c>
      <c r="B75" s="46"/>
      <c r="C75" s="1"/>
      <c r="D75" s="46"/>
      <c r="E75" s="46"/>
    </row>
    <row r="76" spans="1:5" ht="14.25">
      <c r="A76" s="5">
        <f t="shared" si="0"/>
        <v>62</v>
      </c>
      <c r="B76" s="46"/>
      <c r="C76" s="1"/>
      <c r="D76" s="46"/>
      <c r="E76" s="46"/>
    </row>
    <row r="77" spans="1:5" ht="14.25">
      <c r="A77" s="5">
        <f t="shared" si="0"/>
        <v>63</v>
      </c>
      <c r="B77" s="46"/>
      <c r="C77" s="1"/>
      <c r="D77" s="46"/>
      <c r="E77" s="46"/>
    </row>
    <row r="78" spans="1:5" ht="14.25">
      <c r="A78" s="5">
        <f t="shared" si="0"/>
        <v>64</v>
      </c>
      <c r="B78" s="46"/>
      <c r="C78" s="1"/>
      <c r="D78" s="46"/>
      <c r="E78" s="46"/>
    </row>
    <row r="79" spans="1:5" ht="14.25">
      <c r="A79" s="5">
        <f t="shared" si="0"/>
        <v>65</v>
      </c>
      <c r="B79" s="46"/>
      <c r="C79" s="1"/>
      <c r="D79" s="46"/>
      <c r="E79" s="46"/>
    </row>
    <row r="80" spans="1:5" ht="14.25">
      <c r="A80" s="5">
        <f aca="true" t="shared" si="1" ref="A80:A143">A79+1</f>
        <v>66</v>
      </c>
      <c r="B80" s="46"/>
      <c r="C80" s="1"/>
      <c r="D80" s="46"/>
      <c r="E80" s="46"/>
    </row>
    <row r="81" spans="1:5" ht="14.25">
      <c r="A81" s="5">
        <f t="shared" si="1"/>
        <v>67</v>
      </c>
      <c r="B81" s="46"/>
      <c r="C81" s="1"/>
      <c r="D81" s="46"/>
      <c r="E81" s="46"/>
    </row>
    <row r="82" spans="1:5" ht="14.25">
      <c r="A82" s="5">
        <f t="shared" si="1"/>
        <v>68</v>
      </c>
      <c r="B82" s="46"/>
      <c r="C82" s="1"/>
      <c r="D82" s="46"/>
      <c r="E82" s="46"/>
    </row>
    <row r="83" spans="1:5" ht="14.25">
      <c r="A83" s="5">
        <f t="shared" si="1"/>
        <v>69</v>
      </c>
      <c r="B83" s="46"/>
      <c r="C83" s="1"/>
      <c r="D83" s="46"/>
      <c r="E83" s="46"/>
    </row>
    <row r="84" spans="1:5" ht="14.25">
      <c r="A84" s="5">
        <f t="shared" si="1"/>
        <v>70</v>
      </c>
      <c r="B84" s="46"/>
      <c r="C84" s="1"/>
      <c r="D84" s="46"/>
      <c r="E84" s="46"/>
    </row>
    <row r="85" spans="1:5" ht="14.25">
      <c r="A85" s="5">
        <f t="shared" si="1"/>
        <v>71</v>
      </c>
      <c r="B85" s="46"/>
      <c r="C85" s="1"/>
      <c r="D85" s="46"/>
      <c r="E85" s="46"/>
    </row>
    <row r="86" spans="1:5" ht="14.25">
      <c r="A86" s="5">
        <f t="shared" si="1"/>
        <v>72</v>
      </c>
      <c r="B86" s="46"/>
      <c r="C86" s="1"/>
      <c r="D86" s="46"/>
      <c r="E86" s="46"/>
    </row>
    <row r="87" spans="1:5" ht="14.25">
      <c r="A87" s="5">
        <f t="shared" si="1"/>
        <v>73</v>
      </c>
      <c r="B87" s="46"/>
      <c r="C87" s="1"/>
      <c r="D87" s="46"/>
      <c r="E87" s="46"/>
    </row>
    <row r="88" spans="1:5" ht="14.25">
      <c r="A88" s="5">
        <f t="shared" si="1"/>
        <v>74</v>
      </c>
      <c r="B88" s="46"/>
      <c r="C88" s="1"/>
      <c r="D88" s="46"/>
      <c r="E88" s="46"/>
    </row>
    <row r="89" spans="1:5" ht="14.25">
      <c r="A89" s="5">
        <f t="shared" si="1"/>
        <v>75</v>
      </c>
      <c r="B89" s="46"/>
      <c r="C89" s="1"/>
      <c r="D89" s="46"/>
      <c r="E89" s="46"/>
    </row>
    <row r="90" spans="1:5" ht="14.25">
      <c r="A90" s="5">
        <f t="shared" si="1"/>
        <v>76</v>
      </c>
      <c r="B90" s="46"/>
      <c r="C90" s="1"/>
      <c r="D90" s="46"/>
      <c r="E90" s="46"/>
    </row>
    <row r="91" spans="1:5" ht="14.25">
      <c r="A91" s="5">
        <f t="shared" si="1"/>
        <v>77</v>
      </c>
      <c r="B91" s="46"/>
      <c r="C91" s="1"/>
      <c r="D91" s="46"/>
      <c r="E91" s="46"/>
    </row>
    <row r="92" spans="1:5" ht="14.25">
      <c r="A92" s="5">
        <f t="shared" si="1"/>
        <v>78</v>
      </c>
      <c r="B92" s="46"/>
      <c r="C92" s="1"/>
      <c r="D92" s="46"/>
      <c r="E92" s="46"/>
    </row>
    <row r="93" spans="1:5" ht="14.25">
      <c r="A93" s="5">
        <f t="shared" si="1"/>
        <v>79</v>
      </c>
      <c r="B93" s="46"/>
      <c r="C93" s="1"/>
      <c r="D93" s="46"/>
      <c r="E93" s="46"/>
    </row>
    <row r="94" spans="1:5" ht="14.25">
      <c r="A94" s="5">
        <f t="shared" si="1"/>
        <v>80</v>
      </c>
      <c r="B94" s="46"/>
      <c r="C94" s="1"/>
      <c r="D94" s="46"/>
      <c r="E94" s="46"/>
    </row>
    <row r="95" spans="1:5" ht="14.25">
      <c r="A95" s="5">
        <f t="shared" si="1"/>
        <v>81</v>
      </c>
      <c r="B95" s="46"/>
      <c r="C95" s="1"/>
      <c r="D95" s="46"/>
      <c r="E95" s="46"/>
    </row>
    <row r="96" spans="1:5" ht="14.25">
      <c r="A96" s="5">
        <f t="shared" si="1"/>
        <v>82</v>
      </c>
      <c r="B96" s="46"/>
      <c r="C96" s="1"/>
      <c r="D96" s="46"/>
      <c r="E96" s="46"/>
    </row>
    <row r="97" spans="1:5" ht="14.25">
      <c r="A97" s="5">
        <f t="shared" si="1"/>
        <v>83</v>
      </c>
      <c r="B97" s="46"/>
      <c r="C97" s="1"/>
      <c r="D97" s="46"/>
      <c r="E97" s="46"/>
    </row>
    <row r="98" spans="1:5" ht="14.25">
      <c r="A98" s="5">
        <f t="shared" si="1"/>
        <v>84</v>
      </c>
      <c r="B98" s="46"/>
      <c r="C98" s="1"/>
      <c r="D98" s="46"/>
      <c r="E98" s="46"/>
    </row>
    <row r="99" spans="1:5" ht="14.25">
      <c r="A99" s="5">
        <f t="shared" si="1"/>
        <v>85</v>
      </c>
      <c r="B99" s="46"/>
      <c r="C99" s="1"/>
      <c r="D99" s="46"/>
      <c r="E99" s="46"/>
    </row>
    <row r="100" spans="1:5" ht="14.25">
      <c r="A100" s="5">
        <f t="shared" si="1"/>
        <v>86</v>
      </c>
      <c r="B100" s="46"/>
      <c r="C100" s="1"/>
      <c r="D100" s="46"/>
      <c r="E100" s="46"/>
    </row>
    <row r="101" spans="1:5" ht="14.25">
      <c r="A101" s="5">
        <f t="shared" si="1"/>
        <v>87</v>
      </c>
      <c r="B101" s="46"/>
      <c r="C101" s="1"/>
      <c r="D101" s="46"/>
      <c r="E101" s="46"/>
    </row>
    <row r="102" spans="1:5" ht="14.25">
      <c r="A102" s="5">
        <f t="shared" si="1"/>
        <v>88</v>
      </c>
      <c r="B102" s="46"/>
      <c r="C102" s="1"/>
      <c r="D102" s="46"/>
      <c r="E102" s="46"/>
    </row>
    <row r="103" spans="1:5" ht="14.25">
      <c r="A103" s="5">
        <f t="shared" si="1"/>
        <v>89</v>
      </c>
      <c r="B103" s="46"/>
      <c r="C103" s="1"/>
      <c r="D103" s="46"/>
      <c r="E103" s="46"/>
    </row>
    <row r="104" spans="1:5" ht="14.25">
      <c r="A104" s="5">
        <f t="shared" si="1"/>
        <v>90</v>
      </c>
      <c r="B104" s="46"/>
      <c r="C104" s="1"/>
      <c r="D104" s="46"/>
      <c r="E104" s="46"/>
    </row>
    <row r="105" spans="1:5" ht="14.25">
      <c r="A105" s="5">
        <f t="shared" si="1"/>
        <v>91</v>
      </c>
      <c r="B105" s="46"/>
      <c r="C105" s="1"/>
      <c r="D105" s="46"/>
      <c r="E105" s="46"/>
    </row>
    <row r="106" spans="1:5" ht="14.25">
      <c r="A106" s="5">
        <f t="shared" si="1"/>
        <v>92</v>
      </c>
      <c r="B106" s="46"/>
      <c r="C106" s="1"/>
      <c r="D106" s="46"/>
      <c r="E106" s="46"/>
    </row>
    <row r="107" spans="1:5" ht="14.25">
      <c r="A107" s="5">
        <f t="shared" si="1"/>
        <v>93</v>
      </c>
      <c r="B107" s="46"/>
      <c r="C107" s="1"/>
      <c r="D107" s="46"/>
      <c r="E107" s="46"/>
    </row>
    <row r="108" spans="1:5" ht="14.25">
      <c r="A108" s="5">
        <f t="shared" si="1"/>
        <v>94</v>
      </c>
      <c r="B108" s="46"/>
      <c r="C108" s="1"/>
      <c r="D108" s="46"/>
      <c r="E108" s="46"/>
    </row>
    <row r="109" spans="1:5" ht="14.25">
      <c r="A109" s="5">
        <f t="shared" si="1"/>
        <v>95</v>
      </c>
      <c r="B109" s="46"/>
      <c r="C109" s="1"/>
      <c r="D109" s="46"/>
      <c r="E109" s="46"/>
    </row>
    <row r="110" spans="1:5" ht="14.25">
      <c r="A110" s="5">
        <f t="shared" si="1"/>
        <v>96</v>
      </c>
      <c r="B110" s="46"/>
      <c r="C110" s="1"/>
      <c r="D110" s="46"/>
      <c r="E110" s="46"/>
    </row>
    <row r="111" spans="1:5" ht="14.25">
      <c r="A111" s="5">
        <f t="shared" si="1"/>
        <v>97</v>
      </c>
      <c r="B111" s="46"/>
      <c r="C111" s="1"/>
      <c r="D111" s="46"/>
      <c r="E111" s="46"/>
    </row>
    <row r="112" spans="1:5" ht="14.25">
      <c r="A112" s="5">
        <f t="shared" si="1"/>
        <v>98</v>
      </c>
      <c r="B112" s="46"/>
      <c r="C112" s="1"/>
      <c r="D112" s="46"/>
      <c r="E112" s="46"/>
    </row>
    <row r="113" spans="1:5" ht="14.25">
      <c r="A113" s="5">
        <f t="shared" si="1"/>
        <v>99</v>
      </c>
      <c r="B113" s="46"/>
      <c r="C113" s="1"/>
      <c r="D113" s="46"/>
      <c r="E113" s="46"/>
    </row>
    <row r="114" spans="1:5" ht="14.25">
      <c r="A114" s="5">
        <f t="shared" si="1"/>
        <v>100</v>
      </c>
      <c r="B114" s="46"/>
      <c r="C114" s="1"/>
      <c r="D114" s="46"/>
      <c r="E114" s="46"/>
    </row>
    <row r="115" spans="1:5" ht="14.25">
      <c r="A115" s="5">
        <f t="shared" si="1"/>
        <v>101</v>
      </c>
      <c r="B115" s="46"/>
      <c r="C115" s="1"/>
      <c r="D115" s="46"/>
      <c r="E115" s="46"/>
    </row>
    <row r="116" spans="1:5" ht="14.25">
      <c r="A116" s="5">
        <f t="shared" si="1"/>
        <v>102</v>
      </c>
      <c r="B116" s="46"/>
      <c r="C116" s="1"/>
      <c r="D116" s="46"/>
      <c r="E116" s="46"/>
    </row>
    <row r="117" spans="1:5" ht="14.25">
      <c r="A117" s="5">
        <f t="shared" si="1"/>
        <v>103</v>
      </c>
      <c r="B117" s="46"/>
      <c r="C117" s="1"/>
      <c r="D117" s="46"/>
      <c r="E117" s="46"/>
    </row>
    <row r="118" spans="1:5" ht="14.25">
      <c r="A118" s="5">
        <f t="shared" si="1"/>
        <v>104</v>
      </c>
      <c r="B118" s="46"/>
      <c r="C118" s="1"/>
      <c r="D118" s="46"/>
      <c r="E118" s="46"/>
    </row>
    <row r="119" spans="1:5" ht="14.25">
      <c r="A119" s="5">
        <f t="shared" si="1"/>
        <v>105</v>
      </c>
      <c r="B119" s="46"/>
      <c r="C119" s="1"/>
      <c r="D119" s="46"/>
      <c r="E119" s="46"/>
    </row>
    <row r="120" spans="1:5" ht="14.25">
      <c r="A120" s="5">
        <f t="shared" si="1"/>
        <v>106</v>
      </c>
      <c r="B120" s="46"/>
      <c r="C120" s="1"/>
      <c r="D120" s="46"/>
      <c r="E120" s="46"/>
    </row>
    <row r="121" spans="1:5" ht="14.25">
      <c r="A121" s="5">
        <f t="shared" si="1"/>
        <v>107</v>
      </c>
      <c r="B121" s="46"/>
      <c r="C121" s="1"/>
      <c r="D121" s="46"/>
      <c r="E121" s="46"/>
    </row>
    <row r="122" spans="1:5" ht="14.25">
      <c r="A122" s="5">
        <f t="shared" si="1"/>
        <v>108</v>
      </c>
      <c r="B122" s="46"/>
      <c r="C122" s="1"/>
      <c r="D122" s="46"/>
      <c r="E122" s="46"/>
    </row>
    <row r="123" spans="1:5" ht="14.25">
      <c r="A123" s="5">
        <f t="shared" si="1"/>
        <v>109</v>
      </c>
      <c r="B123" s="46"/>
      <c r="C123" s="1"/>
      <c r="D123" s="46"/>
      <c r="E123" s="46"/>
    </row>
    <row r="124" spans="1:5" ht="14.25">
      <c r="A124" s="5">
        <f t="shared" si="1"/>
        <v>110</v>
      </c>
      <c r="B124" s="46"/>
      <c r="C124" s="1"/>
      <c r="D124" s="46"/>
      <c r="E124" s="46"/>
    </row>
    <row r="125" spans="1:5" ht="14.25">
      <c r="A125" s="5">
        <f t="shared" si="1"/>
        <v>111</v>
      </c>
      <c r="B125" s="46"/>
      <c r="C125" s="1"/>
      <c r="D125" s="46"/>
      <c r="E125" s="46"/>
    </row>
    <row r="126" spans="1:5" ht="14.25">
      <c r="A126" s="5">
        <f t="shared" si="1"/>
        <v>112</v>
      </c>
      <c r="B126" s="46"/>
      <c r="C126" s="1"/>
      <c r="D126" s="46"/>
      <c r="E126" s="46"/>
    </row>
    <row r="127" spans="1:5" ht="14.25">
      <c r="A127" s="5">
        <f t="shared" si="1"/>
        <v>113</v>
      </c>
      <c r="B127" s="46"/>
      <c r="C127" s="1"/>
      <c r="D127" s="46"/>
      <c r="E127" s="46"/>
    </row>
    <row r="128" spans="1:5" ht="14.25">
      <c r="A128" s="5">
        <f t="shared" si="1"/>
        <v>114</v>
      </c>
      <c r="B128" s="46"/>
      <c r="C128" s="1"/>
      <c r="D128" s="46"/>
      <c r="E128" s="46"/>
    </row>
    <row r="129" spans="1:5" ht="14.25">
      <c r="A129" s="5">
        <f t="shared" si="1"/>
        <v>115</v>
      </c>
      <c r="B129" s="46"/>
      <c r="C129" s="1"/>
      <c r="D129" s="46"/>
      <c r="E129" s="46"/>
    </row>
    <row r="130" spans="1:5" ht="14.25">
      <c r="A130" s="5">
        <f t="shared" si="1"/>
        <v>116</v>
      </c>
      <c r="B130" s="46"/>
      <c r="C130" s="1"/>
      <c r="D130" s="46"/>
      <c r="E130" s="46"/>
    </row>
    <row r="131" spans="1:5" ht="14.25">
      <c r="A131" s="5">
        <f t="shared" si="1"/>
        <v>117</v>
      </c>
      <c r="B131" s="46"/>
      <c r="C131" s="1"/>
      <c r="D131" s="46"/>
      <c r="E131" s="46"/>
    </row>
    <row r="132" spans="1:5" ht="14.25">
      <c r="A132" s="5">
        <f t="shared" si="1"/>
        <v>118</v>
      </c>
      <c r="B132" s="46"/>
      <c r="C132" s="1"/>
      <c r="D132" s="46"/>
      <c r="E132" s="46"/>
    </row>
    <row r="133" spans="1:5" ht="14.25">
      <c r="A133" s="5">
        <f t="shared" si="1"/>
        <v>119</v>
      </c>
      <c r="B133" s="46"/>
      <c r="C133" s="1"/>
      <c r="D133" s="46"/>
      <c r="E133" s="46"/>
    </row>
    <row r="134" spans="1:5" ht="14.25">
      <c r="A134" s="5">
        <f t="shared" si="1"/>
        <v>120</v>
      </c>
      <c r="B134" s="46"/>
      <c r="C134" s="1"/>
      <c r="D134" s="46"/>
      <c r="E134" s="46"/>
    </row>
    <row r="135" spans="1:5" ht="14.25">
      <c r="A135" s="5">
        <f t="shared" si="1"/>
        <v>121</v>
      </c>
      <c r="B135" s="46"/>
      <c r="C135" s="1"/>
      <c r="D135" s="46"/>
      <c r="E135" s="46"/>
    </row>
    <row r="136" spans="1:5" ht="14.25">
      <c r="A136" s="5">
        <f t="shared" si="1"/>
        <v>122</v>
      </c>
      <c r="B136" s="46"/>
      <c r="C136" s="1"/>
      <c r="D136" s="46"/>
      <c r="E136" s="46"/>
    </row>
    <row r="137" spans="1:5" ht="14.25">
      <c r="A137" s="5">
        <f t="shared" si="1"/>
        <v>123</v>
      </c>
      <c r="B137" s="46"/>
      <c r="C137" s="1"/>
      <c r="D137" s="46"/>
      <c r="E137" s="46"/>
    </row>
    <row r="138" spans="1:5" ht="14.25">
      <c r="A138" s="5">
        <f t="shared" si="1"/>
        <v>124</v>
      </c>
      <c r="B138" s="46"/>
      <c r="C138" s="1"/>
      <c r="D138" s="46"/>
      <c r="E138" s="46"/>
    </row>
    <row r="139" spans="1:5" ht="14.25">
      <c r="A139" s="5">
        <f t="shared" si="1"/>
        <v>125</v>
      </c>
      <c r="B139" s="46"/>
      <c r="C139" s="1"/>
      <c r="D139" s="46"/>
      <c r="E139" s="46"/>
    </row>
    <row r="140" spans="1:5" ht="14.25">
      <c r="A140" s="5">
        <f t="shared" si="1"/>
        <v>126</v>
      </c>
      <c r="B140" s="46"/>
      <c r="C140" s="1"/>
      <c r="D140" s="46"/>
      <c r="E140" s="46"/>
    </row>
    <row r="141" spans="1:5" ht="14.25">
      <c r="A141" s="5">
        <f t="shared" si="1"/>
        <v>127</v>
      </c>
      <c r="B141" s="46"/>
      <c r="C141" s="1"/>
      <c r="D141" s="46"/>
      <c r="E141" s="46"/>
    </row>
    <row r="142" spans="1:5" ht="14.25">
      <c r="A142" s="5">
        <f t="shared" si="1"/>
        <v>128</v>
      </c>
      <c r="B142" s="46"/>
      <c r="C142" s="1"/>
      <c r="D142" s="46"/>
      <c r="E142" s="46"/>
    </row>
    <row r="143" spans="1:5" ht="14.25">
      <c r="A143" s="5">
        <f t="shared" si="1"/>
        <v>129</v>
      </c>
      <c r="B143" s="46"/>
      <c r="C143" s="1"/>
      <c r="D143" s="46"/>
      <c r="E143" s="46"/>
    </row>
    <row r="144" spans="1:5" ht="14.25">
      <c r="A144" s="5">
        <f aca="true" t="shared" si="2" ref="A144:A207">A143+1</f>
        <v>130</v>
      </c>
      <c r="B144" s="46"/>
      <c r="C144" s="1"/>
      <c r="D144" s="46"/>
      <c r="E144" s="46"/>
    </row>
    <row r="145" spans="1:5" ht="14.25">
      <c r="A145" s="5">
        <f t="shared" si="2"/>
        <v>131</v>
      </c>
      <c r="B145" s="46"/>
      <c r="C145" s="1"/>
      <c r="D145" s="46"/>
      <c r="E145" s="46"/>
    </row>
    <row r="146" spans="1:5" ht="14.25">
      <c r="A146" s="5">
        <f t="shared" si="2"/>
        <v>132</v>
      </c>
      <c r="B146" s="46"/>
      <c r="C146" s="1"/>
      <c r="D146" s="46"/>
      <c r="E146" s="46"/>
    </row>
    <row r="147" spans="1:5" ht="14.25">
      <c r="A147" s="5">
        <f t="shared" si="2"/>
        <v>133</v>
      </c>
      <c r="B147" s="46"/>
      <c r="C147" s="1"/>
      <c r="D147" s="46"/>
      <c r="E147" s="46"/>
    </row>
    <row r="148" spans="1:5" ht="14.25">
      <c r="A148" s="5">
        <f t="shared" si="2"/>
        <v>134</v>
      </c>
      <c r="B148" s="46"/>
      <c r="C148" s="1"/>
      <c r="D148" s="46"/>
      <c r="E148" s="46"/>
    </row>
    <row r="149" spans="1:5" ht="14.25">
      <c r="A149" s="5">
        <f t="shared" si="2"/>
        <v>135</v>
      </c>
      <c r="B149" s="46"/>
      <c r="C149" s="1"/>
      <c r="D149" s="46"/>
      <c r="E149" s="46"/>
    </row>
    <row r="150" spans="1:5" ht="14.25">
      <c r="A150" s="5">
        <f t="shared" si="2"/>
        <v>136</v>
      </c>
      <c r="B150" s="46"/>
      <c r="C150" s="1"/>
      <c r="D150" s="46"/>
      <c r="E150" s="46"/>
    </row>
    <row r="151" spans="1:5" ht="14.25">
      <c r="A151" s="5">
        <f t="shared" si="2"/>
        <v>137</v>
      </c>
      <c r="B151" s="46"/>
      <c r="C151" s="1"/>
      <c r="D151" s="46"/>
      <c r="E151" s="46"/>
    </row>
    <row r="152" spans="1:5" ht="14.25">
      <c r="A152" s="5">
        <f t="shared" si="2"/>
        <v>138</v>
      </c>
      <c r="B152" s="46"/>
      <c r="C152" s="1"/>
      <c r="D152" s="46"/>
      <c r="E152" s="46"/>
    </row>
    <row r="153" spans="1:5" ht="14.25">
      <c r="A153" s="5">
        <f t="shared" si="2"/>
        <v>139</v>
      </c>
      <c r="B153" s="46"/>
      <c r="C153" s="1"/>
      <c r="D153" s="46"/>
      <c r="E153" s="46"/>
    </row>
    <row r="154" spans="1:5" ht="14.25">
      <c r="A154" s="5">
        <f t="shared" si="2"/>
        <v>140</v>
      </c>
      <c r="B154" s="46"/>
      <c r="C154" s="1"/>
      <c r="D154" s="46"/>
      <c r="E154" s="46"/>
    </row>
    <row r="155" spans="1:5" ht="14.25">
      <c r="A155" s="5">
        <f t="shared" si="2"/>
        <v>141</v>
      </c>
      <c r="B155" s="46"/>
      <c r="C155" s="1"/>
      <c r="D155" s="46"/>
      <c r="E155" s="46"/>
    </row>
    <row r="156" spans="1:5" ht="14.25">
      <c r="A156" s="5">
        <f t="shared" si="2"/>
        <v>142</v>
      </c>
      <c r="B156" s="46"/>
      <c r="C156" s="1"/>
      <c r="D156" s="46"/>
      <c r="E156" s="46"/>
    </row>
    <row r="157" spans="1:5" ht="14.25">
      <c r="A157" s="5">
        <f t="shared" si="2"/>
        <v>143</v>
      </c>
      <c r="B157" s="46"/>
      <c r="C157" s="1"/>
      <c r="D157" s="46"/>
      <c r="E157" s="46"/>
    </row>
    <row r="158" spans="1:5" ht="14.25">
      <c r="A158" s="5">
        <f t="shared" si="2"/>
        <v>144</v>
      </c>
      <c r="B158" s="46"/>
      <c r="C158" s="1"/>
      <c r="D158" s="46"/>
      <c r="E158" s="46"/>
    </row>
    <row r="159" spans="1:5" ht="14.25">
      <c r="A159" s="5">
        <f t="shared" si="2"/>
        <v>145</v>
      </c>
      <c r="B159" s="46"/>
      <c r="C159" s="1"/>
      <c r="D159" s="46"/>
      <c r="E159" s="46"/>
    </row>
    <row r="160" spans="1:5" ht="14.25">
      <c r="A160" s="5">
        <f t="shared" si="2"/>
        <v>146</v>
      </c>
      <c r="B160" s="46"/>
      <c r="C160" s="1"/>
      <c r="D160" s="46"/>
      <c r="E160" s="46"/>
    </row>
    <row r="161" spans="1:5" ht="14.25">
      <c r="A161" s="5">
        <f t="shared" si="2"/>
        <v>147</v>
      </c>
      <c r="B161" s="46"/>
      <c r="C161" s="1"/>
      <c r="D161" s="46"/>
      <c r="E161" s="46"/>
    </row>
    <row r="162" spans="1:5" ht="14.25">
      <c r="A162" s="5">
        <f t="shared" si="2"/>
        <v>148</v>
      </c>
      <c r="B162" s="46"/>
      <c r="C162" s="1"/>
      <c r="D162" s="46"/>
      <c r="E162" s="46"/>
    </row>
    <row r="163" spans="1:5" ht="14.25">
      <c r="A163" s="5">
        <f t="shared" si="2"/>
        <v>149</v>
      </c>
      <c r="B163" s="46"/>
      <c r="C163" s="1"/>
      <c r="D163" s="46"/>
      <c r="E163" s="46"/>
    </row>
    <row r="164" spans="1:5" ht="14.25">
      <c r="A164" s="5">
        <f t="shared" si="2"/>
        <v>150</v>
      </c>
      <c r="B164" s="46"/>
      <c r="C164" s="1"/>
      <c r="D164" s="46"/>
      <c r="E164" s="46"/>
    </row>
    <row r="165" spans="1:5" ht="14.25">
      <c r="A165" s="5">
        <f t="shared" si="2"/>
        <v>151</v>
      </c>
      <c r="B165" s="46"/>
      <c r="C165" s="1"/>
      <c r="D165" s="46"/>
      <c r="E165" s="46"/>
    </row>
    <row r="166" spans="1:5" ht="14.25">
      <c r="A166" s="5">
        <f t="shared" si="2"/>
        <v>152</v>
      </c>
      <c r="B166" s="46"/>
      <c r="C166" s="1"/>
      <c r="D166" s="46"/>
      <c r="E166" s="46"/>
    </row>
    <row r="167" spans="1:5" ht="14.25">
      <c r="A167" s="5">
        <f t="shared" si="2"/>
        <v>153</v>
      </c>
      <c r="B167" s="46"/>
      <c r="C167" s="1"/>
      <c r="D167" s="46"/>
      <c r="E167" s="46"/>
    </row>
    <row r="168" spans="1:5" ht="14.25">
      <c r="A168" s="5">
        <f t="shared" si="2"/>
        <v>154</v>
      </c>
      <c r="B168" s="46"/>
      <c r="C168" s="1"/>
      <c r="D168" s="46"/>
      <c r="E168" s="46"/>
    </row>
    <row r="169" spans="1:5" ht="14.25">
      <c r="A169" s="5">
        <f t="shared" si="2"/>
        <v>155</v>
      </c>
      <c r="B169" s="46"/>
      <c r="C169" s="1"/>
      <c r="D169" s="46"/>
      <c r="E169" s="46"/>
    </row>
    <row r="170" spans="1:5" ht="14.25">
      <c r="A170" s="5">
        <f t="shared" si="2"/>
        <v>156</v>
      </c>
      <c r="B170" s="46"/>
      <c r="C170" s="1"/>
      <c r="D170" s="46"/>
      <c r="E170" s="46"/>
    </row>
    <row r="171" spans="1:5" ht="14.25">
      <c r="A171" s="5">
        <f t="shared" si="2"/>
        <v>157</v>
      </c>
      <c r="B171" s="46"/>
      <c r="C171" s="1"/>
      <c r="D171" s="46"/>
      <c r="E171" s="46"/>
    </row>
    <row r="172" spans="1:5" ht="14.25">
      <c r="A172" s="5">
        <f t="shared" si="2"/>
        <v>158</v>
      </c>
      <c r="B172" s="46"/>
      <c r="C172" s="1"/>
      <c r="D172" s="46"/>
      <c r="E172" s="46"/>
    </row>
    <row r="173" spans="1:5" ht="14.25">
      <c r="A173" s="5">
        <f t="shared" si="2"/>
        <v>159</v>
      </c>
      <c r="B173" s="46"/>
      <c r="C173" s="1"/>
      <c r="D173" s="46"/>
      <c r="E173" s="46"/>
    </row>
    <row r="174" spans="1:5" ht="14.25">
      <c r="A174" s="5">
        <f t="shared" si="2"/>
        <v>160</v>
      </c>
      <c r="B174" s="46"/>
      <c r="C174" s="1"/>
      <c r="D174" s="46"/>
      <c r="E174" s="46"/>
    </row>
    <row r="175" spans="1:5" ht="14.25">
      <c r="A175" s="5">
        <f t="shared" si="2"/>
        <v>161</v>
      </c>
      <c r="B175" s="46"/>
      <c r="C175" s="1"/>
      <c r="D175" s="46"/>
      <c r="E175" s="46"/>
    </row>
    <row r="176" spans="1:5" ht="14.25">
      <c r="A176" s="5">
        <f t="shared" si="2"/>
        <v>162</v>
      </c>
      <c r="B176" s="46"/>
      <c r="C176" s="1"/>
      <c r="D176" s="46"/>
      <c r="E176" s="46"/>
    </row>
    <row r="177" spans="1:5" ht="14.25">
      <c r="A177" s="5">
        <f t="shared" si="2"/>
        <v>163</v>
      </c>
      <c r="B177" s="46"/>
      <c r="C177" s="1"/>
      <c r="D177" s="46"/>
      <c r="E177" s="46"/>
    </row>
    <row r="178" spans="1:5" ht="14.25">
      <c r="A178" s="5">
        <f t="shared" si="2"/>
        <v>164</v>
      </c>
      <c r="B178" s="46"/>
      <c r="C178" s="1"/>
      <c r="D178" s="46"/>
      <c r="E178" s="46"/>
    </row>
    <row r="179" spans="1:5" ht="14.25">
      <c r="A179" s="5">
        <f t="shared" si="2"/>
        <v>165</v>
      </c>
      <c r="B179" s="46"/>
      <c r="C179" s="1"/>
      <c r="D179" s="46"/>
      <c r="E179" s="46"/>
    </row>
    <row r="180" spans="1:5" ht="14.25">
      <c r="A180" s="5">
        <f t="shared" si="2"/>
        <v>166</v>
      </c>
      <c r="B180" s="46"/>
      <c r="C180" s="1"/>
      <c r="D180" s="46"/>
      <c r="E180" s="46"/>
    </row>
    <row r="181" spans="1:5" ht="14.25">
      <c r="A181" s="5">
        <f t="shared" si="2"/>
        <v>167</v>
      </c>
      <c r="B181" s="46"/>
      <c r="C181" s="1"/>
      <c r="D181" s="46"/>
      <c r="E181" s="46"/>
    </row>
    <row r="182" spans="1:5" ht="14.25">
      <c r="A182" s="5">
        <f t="shared" si="2"/>
        <v>168</v>
      </c>
      <c r="B182" s="46"/>
      <c r="C182" s="1"/>
      <c r="D182" s="46"/>
      <c r="E182" s="46"/>
    </row>
    <row r="183" spans="1:5" ht="14.25">
      <c r="A183" s="5">
        <f t="shared" si="2"/>
        <v>169</v>
      </c>
      <c r="B183" s="46"/>
      <c r="C183" s="1"/>
      <c r="D183" s="46"/>
      <c r="E183" s="46"/>
    </row>
    <row r="184" spans="1:5" ht="14.25">
      <c r="A184" s="5">
        <f t="shared" si="2"/>
        <v>170</v>
      </c>
      <c r="B184" s="46"/>
      <c r="C184" s="1"/>
      <c r="D184" s="46"/>
      <c r="E184" s="46"/>
    </row>
    <row r="185" spans="1:5" ht="14.25">
      <c r="A185" s="5">
        <f t="shared" si="2"/>
        <v>171</v>
      </c>
      <c r="B185" s="46"/>
      <c r="C185" s="1"/>
      <c r="D185" s="46"/>
      <c r="E185" s="46"/>
    </row>
    <row r="186" spans="1:5" ht="14.25">
      <c r="A186" s="5">
        <f t="shared" si="2"/>
        <v>172</v>
      </c>
      <c r="B186" s="46"/>
      <c r="C186" s="1"/>
      <c r="D186" s="46"/>
      <c r="E186" s="46"/>
    </row>
    <row r="187" spans="1:5" ht="14.25">
      <c r="A187" s="5">
        <f t="shared" si="2"/>
        <v>173</v>
      </c>
      <c r="B187" s="46"/>
      <c r="C187" s="1"/>
      <c r="D187" s="46"/>
      <c r="E187" s="46"/>
    </row>
    <row r="188" spans="1:5" ht="14.25">
      <c r="A188" s="5">
        <f t="shared" si="2"/>
        <v>174</v>
      </c>
      <c r="B188" s="46"/>
      <c r="C188" s="1"/>
      <c r="D188" s="46"/>
      <c r="E188" s="46"/>
    </row>
    <row r="189" spans="1:5" ht="14.25">
      <c r="A189" s="5">
        <f t="shared" si="2"/>
        <v>175</v>
      </c>
      <c r="B189" s="46"/>
      <c r="C189" s="1"/>
      <c r="D189" s="46"/>
      <c r="E189" s="46"/>
    </row>
    <row r="190" spans="1:5" ht="14.25">
      <c r="A190" s="5">
        <f t="shared" si="2"/>
        <v>176</v>
      </c>
      <c r="B190" s="46"/>
      <c r="C190" s="1"/>
      <c r="D190" s="46"/>
      <c r="E190" s="46"/>
    </row>
    <row r="191" spans="1:5" ht="14.25">
      <c r="A191" s="5">
        <f t="shared" si="2"/>
        <v>177</v>
      </c>
      <c r="B191" s="46"/>
      <c r="C191" s="1"/>
      <c r="D191" s="46"/>
      <c r="E191" s="46"/>
    </row>
    <row r="192" spans="1:5" ht="14.25">
      <c r="A192" s="5">
        <f t="shared" si="2"/>
        <v>178</v>
      </c>
      <c r="B192" s="46"/>
      <c r="C192" s="1"/>
      <c r="D192" s="46"/>
      <c r="E192" s="46"/>
    </row>
    <row r="193" spans="1:5" ht="14.25">
      <c r="A193" s="5">
        <f t="shared" si="2"/>
        <v>179</v>
      </c>
      <c r="B193" s="46"/>
      <c r="C193" s="1"/>
      <c r="D193" s="46"/>
      <c r="E193" s="46"/>
    </row>
    <row r="194" spans="1:5" ht="14.25">
      <c r="A194" s="5">
        <f t="shared" si="2"/>
        <v>180</v>
      </c>
      <c r="B194" s="46"/>
      <c r="C194" s="1"/>
      <c r="D194" s="46"/>
      <c r="E194" s="46"/>
    </row>
    <row r="195" spans="1:5" ht="14.25">
      <c r="A195" s="5">
        <f t="shared" si="2"/>
        <v>181</v>
      </c>
      <c r="B195" s="46"/>
      <c r="C195" s="1"/>
      <c r="D195" s="46"/>
      <c r="E195" s="46"/>
    </row>
    <row r="196" spans="1:5" ht="14.25">
      <c r="A196" s="5">
        <f t="shared" si="2"/>
        <v>182</v>
      </c>
      <c r="B196" s="46"/>
      <c r="C196" s="1"/>
      <c r="D196" s="46"/>
      <c r="E196" s="46"/>
    </row>
    <row r="197" spans="1:5" ht="14.25">
      <c r="A197" s="5">
        <f t="shared" si="2"/>
        <v>183</v>
      </c>
      <c r="B197" s="46"/>
      <c r="C197" s="1"/>
      <c r="D197" s="46"/>
      <c r="E197" s="46"/>
    </row>
    <row r="198" spans="1:5" ht="14.25">
      <c r="A198" s="5">
        <f t="shared" si="2"/>
        <v>184</v>
      </c>
      <c r="B198" s="46"/>
      <c r="C198" s="1"/>
      <c r="D198" s="46"/>
      <c r="E198" s="46"/>
    </row>
    <row r="199" spans="1:5" ht="14.25">
      <c r="A199" s="5">
        <f t="shared" si="2"/>
        <v>185</v>
      </c>
      <c r="B199" s="46"/>
      <c r="C199" s="1"/>
      <c r="D199" s="46"/>
      <c r="E199" s="46"/>
    </row>
    <row r="200" spans="1:5" ht="14.25">
      <c r="A200" s="5">
        <f t="shared" si="2"/>
        <v>186</v>
      </c>
      <c r="B200" s="46"/>
      <c r="C200" s="1"/>
      <c r="D200" s="46"/>
      <c r="E200" s="46"/>
    </row>
    <row r="201" spans="1:5" ht="14.25">
      <c r="A201" s="5">
        <f t="shared" si="2"/>
        <v>187</v>
      </c>
      <c r="B201" s="46"/>
      <c r="C201" s="1"/>
      <c r="D201" s="46"/>
      <c r="E201" s="46"/>
    </row>
    <row r="202" spans="1:5" ht="14.25">
      <c r="A202" s="5">
        <f t="shared" si="2"/>
        <v>188</v>
      </c>
      <c r="B202" s="46"/>
      <c r="C202" s="1"/>
      <c r="D202" s="46"/>
      <c r="E202" s="46"/>
    </row>
    <row r="203" spans="1:5" ht="14.25">
      <c r="A203" s="5">
        <f t="shared" si="2"/>
        <v>189</v>
      </c>
      <c r="B203" s="46"/>
      <c r="C203" s="1"/>
      <c r="D203" s="46"/>
      <c r="E203" s="46"/>
    </row>
    <row r="204" spans="1:5" ht="14.25">
      <c r="A204" s="5">
        <f t="shared" si="2"/>
        <v>190</v>
      </c>
      <c r="B204" s="46"/>
      <c r="C204" s="1"/>
      <c r="D204" s="46"/>
      <c r="E204" s="46"/>
    </row>
    <row r="205" spans="1:5" ht="14.25">
      <c r="A205" s="5">
        <f t="shared" si="2"/>
        <v>191</v>
      </c>
      <c r="B205" s="46"/>
      <c r="C205" s="1"/>
      <c r="D205" s="46"/>
      <c r="E205" s="46"/>
    </row>
    <row r="206" spans="1:5" ht="14.25">
      <c r="A206" s="5">
        <f t="shared" si="2"/>
        <v>192</v>
      </c>
      <c r="B206" s="46"/>
      <c r="C206" s="1"/>
      <c r="D206" s="46"/>
      <c r="E206" s="46"/>
    </row>
    <row r="207" spans="1:5" ht="14.25">
      <c r="A207" s="5">
        <f t="shared" si="2"/>
        <v>193</v>
      </c>
      <c r="B207" s="46"/>
      <c r="C207" s="1"/>
      <c r="D207" s="46"/>
      <c r="E207" s="46"/>
    </row>
    <row r="208" spans="1:5" ht="14.25">
      <c r="A208" s="5">
        <f aca="true" t="shared" si="3" ref="A208:A271">A207+1</f>
        <v>194</v>
      </c>
      <c r="B208" s="46"/>
      <c r="C208" s="1"/>
      <c r="D208" s="46"/>
      <c r="E208" s="46"/>
    </row>
    <row r="209" spans="1:5" ht="14.25">
      <c r="A209" s="5">
        <f t="shared" si="3"/>
        <v>195</v>
      </c>
      <c r="B209" s="46"/>
      <c r="C209" s="1"/>
      <c r="D209" s="46"/>
      <c r="E209" s="46"/>
    </row>
    <row r="210" spans="1:5" ht="14.25">
      <c r="A210" s="5">
        <f t="shared" si="3"/>
        <v>196</v>
      </c>
      <c r="B210" s="46"/>
      <c r="C210" s="1"/>
      <c r="D210" s="46"/>
      <c r="E210" s="46"/>
    </row>
    <row r="211" spans="1:5" ht="14.25">
      <c r="A211" s="5">
        <f t="shared" si="3"/>
        <v>197</v>
      </c>
      <c r="B211" s="46"/>
      <c r="C211" s="1"/>
      <c r="D211" s="46"/>
      <c r="E211" s="46"/>
    </row>
    <row r="212" spans="1:5" ht="14.25">
      <c r="A212" s="5">
        <f t="shared" si="3"/>
        <v>198</v>
      </c>
      <c r="B212" s="46"/>
      <c r="C212" s="1"/>
      <c r="D212" s="46"/>
      <c r="E212" s="46"/>
    </row>
    <row r="213" spans="1:5" ht="14.25">
      <c r="A213" s="5">
        <f t="shared" si="3"/>
        <v>199</v>
      </c>
      <c r="B213" s="46"/>
      <c r="C213" s="1"/>
      <c r="D213" s="46"/>
      <c r="E213" s="46"/>
    </row>
    <row r="214" spans="1:5" ht="14.25">
      <c r="A214" s="5">
        <f t="shared" si="3"/>
        <v>200</v>
      </c>
      <c r="B214" s="46"/>
      <c r="C214" s="1"/>
      <c r="D214" s="46"/>
      <c r="E214" s="46"/>
    </row>
    <row r="215" spans="1:5" ht="14.25">
      <c r="A215" s="5">
        <f t="shared" si="3"/>
        <v>201</v>
      </c>
      <c r="B215" s="46"/>
      <c r="C215" s="1"/>
      <c r="D215" s="46"/>
      <c r="E215" s="46"/>
    </row>
    <row r="216" spans="1:5" ht="14.25">
      <c r="A216" s="5">
        <f t="shared" si="3"/>
        <v>202</v>
      </c>
      <c r="B216" s="46"/>
      <c r="C216" s="1"/>
      <c r="D216" s="46"/>
      <c r="E216" s="46"/>
    </row>
    <row r="217" spans="1:5" ht="14.25">
      <c r="A217" s="5">
        <f t="shared" si="3"/>
        <v>203</v>
      </c>
      <c r="B217" s="46"/>
      <c r="C217" s="1"/>
      <c r="D217" s="46"/>
      <c r="E217" s="46"/>
    </row>
    <row r="218" spans="1:5" ht="14.25">
      <c r="A218" s="5">
        <f t="shared" si="3"/>
        <v>204</v>
      </c>
      <c r="B218" s="46"/>
      <c r="C218" s="1"/>
      <c r="D218" s="46"/>
      <c r="E218" s="46"/>
    </row>
    <row r="219" spans="1:5" ht="14.25">
      <c r="A219" s="5">
        <f t="shared" si="3"/>
        <v>205</v>
      </c>
      <c r="B219" s="46"/>
      <c r="C219" s="1"/>
      <c r="D219" s="46"/>
      <c r="E219" s="46"/>
    </row>
    <row r="220" spans="1:5" ht="14.25">
      <c r="A220" s="5">
        <f t="shared" si="3"/>
        <v>206</v>
      </c>
      <c r="B220" s="46"/>
      <c r="C220" s="1"/>
      <c r="D220" s="46"/>
      <c r="E220" s="46"/>
    </row>
    <row r="221" spans="1:5" ht="14.25">
      <c r="A221" s="5">
        <f t="shared" si="3"/>
        <v>207</v>
      </c>
      <c r="B221" s="46"/>
      <c r="C221" s="1"/>
      <c r="D221" s="46"/>
      <c r="E221" s="46"/>
    </row>
    <row r="222" spans="1:5" ht="14.25">
      <c r="A222" s="5">
        <f t="shared" si="3"/>
        <v>208</v>
      </c>
      <c r="B222" s="46"/>
      <c r="C222" s="1"/>
      <c r="D222" s="46"/>
      <c r="E222" s="46"/>
    </row>
    <row r="223" spans="1:5" ht="14.25">
      <c r="A223" s="5">
        <f t="shared" si="3"/>
        <v>209</v>
      </c>
      <c r="B223" s="46"/>
      <c r="C223" s="1"/>
      <c r="D223" s="46"/>
      <c r="E223" s="46"/>
    </row>
    <row r="224" spans="1:5" ht="14.25">
      <c r="A224" s="5">
        <f t="shared" si="3"/>
        <v>210</v>
      </c>
      <c r="B224" s="46"/>
      <c r="C224" s="1"/>
      <c r="D224" s="46"/>
      <c r="E224" s="46"/>
    </row>
    <row r="225" spans="1:5" ht="14.25">
      <c r="A225" s="5">
        <f t="shared" si="3"/>
        <v>211</v>
      </c>
      <c r="B225" s="46"/>
      <c r="C225" s="1"/>
      <c r="D225" s="46"/>
      <c r="E225" s="46"/>
    </row>
    <row r="226" spans="1:5" ht="14.25">
      <c r="A226" s="5">
        <f t="shared" si="3"/>
        <v>212</v>
      </c>
      <c r="B226" s="46"/>
      <c r="C226" s="1"/>
      <c r="D226" s="46"/>
      <c r="E226" s="46"/>
    </row>
    <row r="227" spans="1:5" ht="14.25">
      <c r="A227" s="5">
        <f t="shared" si="3"/>
        <v>213</v>
      </c>
      <c r="B227" s="46"/>
      <c r="C227" s="1"/>
      <c r="D227" s="46"/>
      <c r="E227" s="46"/>
    </row>
    <row r="228" spans="1:5" ht="14.25">
      <c r="A228" s="5">
        <f t="shared" si="3"/>
        <v>214</v>
      </c>
      <c r="B228" s="46"/>
      <c r="C228" s="1"/>
      <c r="D228" s="46"/>
      <c r="E228" s="46"/>
    </row>
    <row r="229" spans="1:5" ht="14.25">
      <c r="A229" s="5">
        <f t="shared" si="3"/>
        <v>215</v>
      </c>
      <c r="B229" s="46"/>
      <c r="C229" s="1"/>
      <c r="D229" s="46"/>
      <c r="E229" s="46"/>
    </row>
    <row r="230" spans="1:5" ht="14.25">
      <c r="A230" s="5">
        <f t="shared" si="3"/>
        <v>216</v>
      </c>
      <c r="B230" s="46"/>
      <c r="C230" s="1"/>
      <c r="D230" s="46"/>
      <c r="E230" s="46"/>
    </row>
    <row r="231" spans="1:5" ht="14.25">
      <c r="A231" s="5">
        <f t="shared" si="3"/>
        <v>217</v>
      </c>
      <c r="B231" s="46"/>
      <c r="C231" s="1"/>
      <c r="D231" s="46"/>
      <c r="E231" s="46"/>
    </row>
    <row r="232" spans="1:5" ht="14.25">
      <c r="A232" s="5">
        <f t="shared" si="3"/>
        <v>218</v>
      </c>
      <c r="B232" s="46"/>
      <c r="C232" s="1"/>
      <c r="D232" s="46"/>
      <c r="E232" s="46"/>
    </row>
    <row r="233" spans="1:5" ht="14.25">
      <c r="A233" s="5">
        <f t="shared" si="3"/>
        <v>219</v>
      </c>
      <c r="B233" s="46"/>
      <c r="C233" s="1"/>
      <c r="D233" s="46"/>
      <c r="E233" s="46"/>
    </row>
    <row r="234" spans="1:5" ht="14.25">
      <c r="A234" s="5">
        <f t="shared" si="3"/>
        <v>220</v>
      </c>
      <c r="B234" s="46"/>
      <c r="C234" s="1"/>
      <c r="D234" s="46"/>
      <c r="E234" s="46"/>
    </row>
    <row r="235" spans="1:5" ht="14.25">
      <c r="A235" s="5">
        <f t="shared" si="3"/>
        <v>221</v>
      </c>
      <c r="B235" s="46"/>
      <c r="C235" s="1"/>
      <c r="D235" s="46"/>
      <c r="E235" s="46"/>
    </row>
    <row r="236" spans="1:5" ht="14.25">
      <c r="A236" s="5">
        <f t="shared" si="3"/>
        <v>222</v>
      </c>
      <c r="B236" s="46"/>
      <c r="C236" s="1"/>
      <c r="D236" s="46"/>
      <c r="E236" s="46"/>
    </row>
    <row r="237" spans="1:5" ht="14.25">
      <c r="A237" s="5">
        <f t="shared" si="3"/>
        <v>223</v>
      </c>
      <c r="B237" s="46"/>
      <c r="C237" s="1"/>
      <c r="D237" s="46"/>
      <c r="E237" s="46"/>
    </row>
    <row r="238" spans="1:5" ht="14.25">
      <c r="A238" s="5">
        <f t="shared" si="3"/>
        <v>224</v>
      </c>
      <c r="B238" s="46"/>
      <c r="C238" s="1"/>
      <c r="D238" s="46"/>
      <c r="E238" s="46"/>
    </row>
    <row r="239" spans="1:5" ht="14.25">
      <c r="A239" s="5">
        <f t="shared" si="3"/>
        <v>225</v>
      </c>
      <c r="B239" s="46"/>
      <c r="C239" s="1"/>
      <c r="D239" s="46"/>
      <c r="E239" s="46"/>
    </row>
    <row r="240" spans="1:5" ht="14.25">
      <c r="A240" s="5">
        <f t="shared" si="3"/>
        <v>226</v>
      </c>
      <c r="B240" s="46"/>
      <c r="C240" s="1"/>
      <c r="D240" s="46"/>
      <c r="E240" s="46"/>
    </row>
    <row r="241" spans="1:5" ht="14.25">
      <c r="A241" s="5">
        <f t="shared" si="3"/>
        <v>227</v>
      </c>
      <c r="B241" s="46"/>
      <c r="C241" s="1"/>
      <c r="D241" s="46"/>
      <c r="E241" s="46"/>
    </row>
    <row r="242" spans="1:5" ht="14.25">
      <c r="A242" s="5">
        <f t="shared" si="3"/>
        <v>228</v>
      </c>
      <c r="B242" s="46"/>
      <c r="C242" s="1"/>
      <c r="D242" s="46"/>
      <c r="E242" s="46"/>
    </row>
    <row r="243" spans="1:5" ht="14.25">
      <c r="A243" s="5">
        <f t="shared" si="3"/>
        <v>229</v>
      </c>
      <c r="B243" s="46"/>
      <c r="C243" s="1"/>
      <c r="D243" s="46"/>
      <c r="E243" s="46"/>
    </row>
    <row r="244" spans="1:5" ht="14.25">
      <c r="A244" s="5">
        <f t="shared" si="3"/>
        <v>230</v>
      </c>
      <c r="B244" s="46"/>
      <c r="C244" s="1"/>
      <c r="D244" s="46"/>
      <c r="E244" s="46"/>
    </row>
    <row r="245" spans="1:5" ht="14.25">
      <c r="A245" s="5">
        <f t="shared" si="3"/>
        <v>231</v>
      </c>
      <c r="B245" s="46"/>
      <c r="C245" s="1"/>
      <c r="D245" s="46"/>
      <c r="E245" s="46"/>
    </row>
    <row r="246" spans="1:5" ht="14.25">
      <c r="A246" s="5">
        <f t="shared" si="3"/>
        <v>232</v>
      </c>
      <c r="B246" s="46"/>
      <c r="C246" s="1"/>
      <c r="D246" s="46"/>
      <c r="E246" s="46"/>
    </row>
    <row r="247" spans="1:5" ht="14.25">
      <c r="A247" s="5">
        <f t="shared" si="3"/>
        <v>233</v>
      </c>
      <c r="B247" s="46"/>
      <c r="C247" s="1"/>
      <c r="D247" s="46"/>
      <c r="E247" s="46"/>
    </row>
    <row r="248" spans="1:5" ht="14.25">
      <c r="A248" s="5">
        <f t="shared" si="3"/>
        <v>234</v>
      </c>
      <c r="B248" s="46"/>
      <c r="C248" s="1"/>
      <c r="D248" s="46"/>
      <c r="E248" s="46"/>
    </row>
    <row r="249" spans="1:5" ht="14.25">
      <c r="A249" s="5">
        <f t="shared" si="3"/>
        <v>235</v>
      </c>
      <c r="B249" s="46"/>
      <c r="C249" s="1"/>
      <c r="D249" s="46"/>
      <c r="E249" s="46"/>
    </row>
    <row r="250" spans="1:5" ht="14.25">
      <c r="A250" s="5">
        <f t="shared" si="3"/>
        <v>236</v>
      </c>
      <c r="B250" s="46"/>
      <c r="C250" s="1"/>
      <c r="D250" s="46"/>
      <c r="E250" s="46"/>
    </row>
    <row r="251" spans="1:5" ht="14.25">
      <c r="A251" s="5">
        <f t="shared" si="3"/>
        <v>237</v>
      </c>
      <c r="B251" s="46"/>
      <c r="C251" s="1"/>
      <c r="D251" s="46"/>
      <c r="E251" s="46"/>
    </row>
    <row r="252" spans="1:5" ht="14.25">
      <c r="A252" s="5">
        <f t="shared" si="3"/>
        <v>238</v>
      </c>
      <c r="B252" s="46"/>
      <c r="C252" s="1"/>
      <c r="D252" s="46"/>
      <c r="E252" s="46"/>
    </row>
    <row r="253" spans="1:5" ht="14.25">
      <c r="A253" s="5">
        <f t="shared" si="3"/>
        <v>239</v>
      </c>
      <c r="B253" s="46"/>
      <c r="C253" s="1"/>
      <c r="D253" s="46"/>
      <c r="E253" s="46"/>
    </row>
    <row r="254" spans="1:5" ht="14.25">
      <c r="A254" s="5">
        <f t="shared" si="3"/>
        <v>240</v>
      </c>
      <c r="B254" s="46"/>
      <c r="C254" s="1"/>
      <c r="D254" s="46"/>
      <c r="E254" s="46"/>
    </row>
    <row r="255" spans="1:5" ht="14.25">
      <c r="A255" s="5">
        <f t="shared" si="3"/>
        <v>241</v>
      </c>
      <c r="B255" s="46"/>
      <c r="C255" s="1"/>
      <c r="D255" s="46"/>
      <c r="E255" s="46"/>
    </row>
    <row r="256" spans="1:5" ht="14.25">
      <c r="A256" s="5">
        <f t="shared" si="3"/>
        <v>242</v>
      </c>
      <c r="B256" s="46"/>
      <c r="C256" s="1"/>
      <c r="D256" s="46"/>
      <c r="E256" s="46"/>
    </row>
    <row r="257" spans="1:5" ht="14.25">
      <c r="A257" s="5">
        <f t="shared" si="3"/>
        <v>243</v>
      </c>
      <c r="B257" s="46"/>
      <c r="C257" s="1"/>
      <c r="D257" s="46"/>
      <c r="E257" s="46"/>
    </row>
    <row r="258" spans="1:5" ht="14.25">
      <c r="A258" s="5">
        <f t="shared" si="3"/>
        <v>244</v>
      </c>
      <c r="B258" s="46"/>
      <c r="C258" s="1"/>
      <c r="D258" s="46"/>
      <c r="E258" s="46"/>
    </row>
    <row r="259" spans="1:5" ht="14.25">
      <c r="A259" s="5">
        <f t="shared" si="3"/>
        <v>245</v>
      </c>
      <c r="B259" s="46"/>
      <c r="C259" s="1"/>
      <c r="D259" s="46"/>
      <c r="E259" s="46"/>
    </row>
    <row r="260" spans="1:5" ht="14.25">
      <c r="A260" s="5">
        <f t="shared" si="3"/>
        <v>246</v>
      </c>
      <c r="B260" s="46"/>
      <c r="C260" s="1"/>
      <c r="D260" s="46"/>
      <c r="E260" s="46"/>
    </row>
    <row r="261" spans="1:5" ht="14.25">
      <c r="A261" s="5">
        <f t="shared" si="3"/>
        <v>247</v>
      </c>
      <c r="B261" s="46"/>
      <c r="C261" s="1"/>
      <c r="D261" s="46"/>
      <c r="E261" s="46"/>
    </row>
    <row r="262" spans="1:5" ht="14.25">
      <c r="A262" s="5">
        <f t="shared" si="3"/>
        <v>248</v>
      </c>
      <c r="B262" s="46"/>
      <c r="C262" s="1"/>
      <c r="D262" s="46"/>
      <c r="E262" s="46"/>
    </row>
    <row r="263" spans="1:5" ht="14.25">
      <c r="A263" s="5">
        <f t="shared" si="3"/>
        <v>249</v>
      </c>
      <c r="B263" s="46"/>
      <c r="C263" s="1"/>
      <c r="D263" s="46"/>
      <c r="E263" s="46"/>
    </row>
    <row r="264" spans="1:5" ht="14.25">
      <c r="A264" s="5">
        <f t="shared" si="3"/>
        <v>250</v>
      </c>
      <c r="B264" s="46"/>
      <c r="C264" s="1"/>
      <c r="D264" s="46"/>
      <c r="E264" s="46"/>
    </row>
    <row r="265" spans="1:5" ht="14.25">
      <c r="A265" s="5">
        <f t="shared" si="3"/>
        <v>251</v>
      </c>
      <c r="B265" s="46"/>
      <c r="C265" s="1"/>
      <c r="D265" s="46"/>
      <c r="E265" s="46"/>
    </row>
    <row r="266" spans="1:5" ht="14.25">
      <c r="A266" s="5">
        <f t="shared" si="3"/>
        <v>252</v>
      </c>
      <c r="B266" s="46"/>
      <c r="C266" s="1"/>
      <c r="D266" s="46"/>
      <c r="E266" s="46"/>
    </row>
    <row r="267" spans="1:5" ht="14.25">
      <c r="A267" s="5">
        <f t="shared" si="3"/>
        <v>253</v>
      </c>
      <c r="B267" s="46"/>
      <c r="C267" s="1"/>
      <c r="D267" s="46"/>
      <c r="E267" s="46"/>
    </row>
    <row r="268" spans="1:5" ht="14.25">
      <c r="A268" s="5">
        <f t="shared" si="3"/>
        <v>254</v>
      </c>
      <c r="B268" s="46"/>
      <c r="C268" s="1"/>
      <c r="D268" s="46"/>
      <c r="E268" s="46"/>
    </row>
    <row r="269" spans="1:5" ht="14.25">
      <c r="A269" s="5">
        <f t="shared" si="3"/>
        <v>255</v>
      </c>
      <c r="B269" s="46"/>
      <c r="C269" s="1"/>
      <c r="D269" s="46"/>
      <c r="E269" s="46"/>
    </row>
    <row r="270" spans="1:5" ht="14.25">
      <c r="A270" s="5">
        <f t="shared" si="3"/>
        <v>256</v>
      </c>
      <c r="B270" s="46"/>
      <c r="C270" s="1"/>
      <c r="D270" s="46"/>
      <c r="E270" s="46"/>
    </row>
    <row r="271" spans="1:5" ht="14.25">
      <c r="A271" s="5">
        <f t="shared" si="3"/>
        <v>257</v>
      </c>
      <c r="B271" s="46"/>
      <c r="C271" s="1"/>
      <c r="D271" s="46"/>
      <c r="E271" s="46"/>
    </row>
    <row r="272" spans="1:5" ht="14.25">
      <c r="A272" s="5">
        <f aca="true" t="shared" si="4" ref="A272:A335">A271+1</f>
        <v>258</v>
      </c>
      <c r="B272" s="46"/>
      <c r="C272" s="1"/>
      <c r="D272" s="46"/>
      <c r="E272" s="46"/>
    </row>
    <row r="273" spans="1:5" ht="14.25">
      <c r="A273" s="5">
        <f t="shared" si="4"/>
        <v>259</v>
      </c>
      <c r="B273" s="46"/>
      <c r="C273" s="1"/>
      <c r="D273" s="46"/>
      <c r="E273" s="46"/>
    </row>
    <row r="274" spans="1:5" ht="14.25">
      <c r="A274" s="5">
        <f t="shared" si="4"/>
        <v>260</v>
      </c>
      <c r="B274" s="46"/>
      <c r="C274" s="1"/>
      <c r="D274" s="46"/>
      <c r="E274" s="46"/>
    </row>
    <row r="275" spans="1:5" ht="14.25">
      <c r="A275" s="5">
        <f t="shared" si="4"/>
        <v>261</v>
      </c>
      <c r="B275" s="46"/>
      <c r="C275" s="1"/>
      <c r="D275" s="46"/>
      <c r="E275" s="46"/>
    </row>
    <row r="276" spans="1:5" ht="14.25">
      <c r="A276" s="5">
        <f t="shared" si="4"/>
        <v>262</v>
      </c>
      <c r="B276" s="46"/>
      <c r="C276" s="1"/>
      <c r="D276" s="46"/>
      <c r="E276" s="46"/>
    </row>
    <row r="277" spans="1:5" ht="14.25">
      <c r="A277" s="5">
        <f t="shared" si="4"/>
        <v>263</v>
      </c>
      <c r="B277" s="46"/>
      <c r="C277" s="1"/>
      <c r="D277" s="46"/>
      <c r="E277" s="46"/>
    </row>
    <row r="278" spans="1:5" ht="14.25">
      <c r="A278" s="5">
        <f t="shared" si="4"/>
        <v>264</v>
      </c>
      <c r="B278" s="46"/>
      <c r="C278" s="1"/>
      <c r="D278" s="46"/>
      <c r="E278" s="46"/>
    </row>
    <row r="279" spans="1:5" ht="14.25">
      <c r="A279" s="5">
        <f t="shared" si="4"/>
        <v>265</v>
      </c>
      <c r="B279" s="46"/>
      <c r="C279" s="1"/>
      <c r="D279" s="46"/>
      <c r="E279" s="46"/>
    </row>
    <row r="280" spans="1:5" ht="14.25">
      <c r="A280" s="5">
        <f t="shared" si="4"/>
        <v>266</v>
      </c>
      <c r="B280" s="46"/>
      <c r="C280" s="1"/>
      <c r="D280" s="46"/>
      <c r="E280" s="46"/>
    </row>
    <row r="281" spans="1:5" ht="14.25">
      <c r="A281" s="5">
        <f t="shared" si="4"/>
        <v>267</v>
      </c>
      <c r="B281" s="46"/>
      <c r="C281" s="1"/>
      <c r="D281" s="46"/>
      <c r="E281" s="46"/>
    </row>
    <row r="282" spans="1:5" ht="14.25">
      <c r="A282" s="5">
        <f t="shared" si="4"/>
        <v>268</v>
      </c>
      <c r="B282" s="46"/>
      <c r="C282" s="1"/>
      <c r="D282" s="46"/>
      <c r="E282" s="46"/>
    </row>
    <row r="283" spans="1:5" ht="14.25">
      <c r="A283" s="5">
        <f t="shared" si="4"/>
        <v>269</v>
      </c>
      <c r="B283" s="46"/>
      <c r="C283" s="1"/>
      <c r="D283" s="46"/>
      <c r="E283" s="46"/>
    </row>
    <row r="284" spans="1:5" ht="14.25">
      <c r="A284" s="5">
        <f t="shared" si="4"/>
        <v>270</v>
      </c>
      <c r="B284" s="46"/>
      <c r="C284" s="1"/>
      <c r="D284" s="46"/>
      <c r="E284" s="46"/>
    </row>
    <row r="285" spans="1:5" ht="14.25">
      <c r="A285" s="5">
        <f t="shared" si="4"/>
        <v>271</v>
      </c>
      <c r="B285" s="46"/>
      <c r="C285" s="1"/>
      <c r="D285" s="46"/>
      <c r="E285" s="46"/>
    </row>
    <row r="286" spans="1:5" ht="14.25">
      <c r="A286" s="5">
        <f t="shared" si="4"/>
        <v>272</v>
      </c>
      <c r="B286" s="46"/>
      <c r="C286" s="1"/>
      <c r="D286" s="46"/>
      <c r="E286" s="46"/>
    </row>
    <row r="287" spans="1:5" ht="14.25">
      <c r="A287" s="5">
        <f t="shared" si="4"/>
        <v>273</v>
      </c>
      <c r="B287" s="46"/>
      <c r="C287" s="1"/>
      <c r="D287" s="46"/>
      <c r="E287" s="46"/>
    </row>
    <row r="288" spans="1:5" ht="14.25">
      <c r="A288" s="5">
        <f t="shared" si="4"/>
        <v>274</v>
      </c>
      <c r="B288" s="46"/>
      <c r="C288" s="1"/>
      <c r="D288" s="46"/>
      <c r="E288" s="46"/>
    </row>
    <row r="289" spans="1:5" ht="14.25">
      <c r="A289" s="5">
        <f t="shared" si="4"/>
        <v>275</v>
      </c>
      <c r="B289" s="46"/>
      <c r="C289" s="1"/>
      <c r="D289" s="46"/>
      <c r="E289" s="46"/>
    </row>
    <row r="290" spans="1:5" ht="14.25">
      <c r="A290" s="5">
        <f t="shared" si="4"/>
        <v>276</v>
      </c>
      <c r="B290" s="46"/>
      <c r="C290" s="1"/>
      <c r="D290" s="46"/>
      <c r="E290" s="46"/>
    </row>
    <row r="291" spans="1:5" ht="14.25">
      <c r="A291" s="5">
        <f t="shared" si="4"/>
        <v>277</v>
      </c>
      <c r="B291" s="46"/>
      <c r="C291" s="1"/>
      <c r="D291" s="46"/>
      <c r="E291" s="46"/>
    </row>
    <row r="292" spans="1:5" ht="14.25">
      <c r="A292" s="5">
        <f t="shared" si="4"/>
        <v>278</v>
      </c>
      <c r="B292" s="46"/>
      <c r="C292" s="1"/>
      <c r="D292" s="46"/>
      <c r="E292" s="46"/>
    </row>
    <row r="293" spans="1:5" ht="14.25">
      <c r="A293" s="5">
        <f t="shared" si="4"/>
        <v>279</v>
      </c>
      <c r="B293" s="46"/>
      <c r="C293" s="1"/>
      <c r="D293" s="46"/>
      <c r="E293" s="46"/>
    </row>
    <row r="294" spans="1:5" ht="14.25">
      <c r="A294" s="5">
        <f t="shared" si="4"/>
        <v>280</v>
      </c>
      <c r="B294" s="46"/>
      <c r="C294" s="1"/>
      <c r="D294" s="46"/>
      <c r="E294" s="46"/>
    </row>
    <row r="295" spans="1:5" ht="14.25">
      <c r="A295" s="5">
        <f t="shared" si="4"/>
        <v>281</v>
      </c>
      <c r="B295" s="46"/>
      <c r="C295" s="1"/>
      <c r="D295" s="46"/>
      <c r="E295" s="46"/>
    </row>
    <row r="296" spans="1:5" ht="14.25">
      <c r="A296" s="5">
        <f t="shared" si="4"/>
        <v>282</v>
      </c>
      <c r="B296" s="46"/>
      <c r="C296" s="1"/>
      <c r="D296" s="46"/>
      <c r="E296" s="46"/>
    </row>
    <row r="297" spans="1:5" ht="14.25">
      <c r="A297" s="5">
        <f t="shared" si="4"/>
        <v>283</v>
      </c>
      <c r="B297" s="46"/>
      <c r="C297" s="1"/>
      <c r="D297" s="46"/>
      <c r="E297" s="46"/>
    </row>
    <row r="298" spans="1:5" ht="14.25">
      <c r="A298" s="5">
        <f t="shared" si="4"/>
        <v>284</v>
      </c>
      <c r="B298" s="46"/>
      <c r="C298" s="1"/>
      <c r="D298" s="46"/>
      <c r="E298" s="46"/>
    </row>
    <row r="299" spans="1:5" ht="14.25">
      <c r="A299" s="5">
        <f t="shared" si="4"/>
        <v>285</v>
      </c>
      <c r="B299" s="46"/>
      <c r="C299" s="1"/>
      <c r="D299" s="46"/>
      <c r="E299" s="46"/>
    </row>
    <row r="300" spans="1:5" ht="14.25">
      <c r="A300" s="5">
        <f t="shared" si="4"/>
        <v>286</v>
      </c>
      <c r="B300" s="46"/>
      <c r="C300" s="1"/>
      <c r="D300" s="46"/>
      <c r="E300" s="46"/>
    </row>
    <row r="301" spans="1:5" ht="14.25">
      <c r="A301" s="5">
        <f t="shared" si="4"/>
        <v>287</v>
      </c>
      <c r="B301" s="46"/>
      <c r="C301" s="1"/>
      <c r="D301" s="46"/>
      <c r="E301" s="46"/>
    </row>
    <row r="302" spans="1:5" ht="14.25">
      <c r="A302" s="5">
        <f t="shared" si="4"/>
        <v>288</v>
      </c>
      <c r="B302" s="46"/>
      <c r="C302" s="1"/>
      <c r="D302" s="46"/>
      <c r="E302" s="46"/>
    </row>
    <row r="303" spans="1:5" ht="14.25">
      <c r="A303" s="5">
        <f t="shared" si="4"/>
        <v>289</v>
      </c>
      <c r="B303" s="46"/>
      <c r="C303" s="1"/>
      <c r="D303" s="46"/>
      <c r="E303" s="46"/>
    </row>
    <row r="304" spans="1:5" ht="14.25">
      <c r="A304" s="5">
        <f t="shared" si="4"/>
        <v>290</v>
      </c>
      <c r="B304" s="46"/>
      <c r="C304" s="1"/>
      <c r="D304" s="46"/>
      <c r="E304" s="46"/>
    </row>
    <row r="305" spans="1:5" ht="14.25">
      <c r="A305" s="5">
        <f t="shared" si="4"/>
        <v>291</v>
      </c>
      <c r="B305" s="46"/>
      <c r="C305" s="1"/>
      <c r="D305" s="46"/>
      <c r="E305" s="46"/>
    </row>
    <row r="306" spans="1:5" ht="14.25">
      <c r="A306" s="5">
        <f t="shared" si="4"/>
        <v>292</v>
      </c>
      <c r="B306" s="46"/>
      <c r="C306" s="1"/>
      <c r="D306" s="46"/>
      <c r="E306" s="46"/>
    </row>
    <row r="307" spans="1:5" ht="14.25">
      <c r="A307" s="5">
        <f t="shared" si="4"/>
        <v>293</v>
      </c>
      <c r="B307" s="46"/>
      <c r="C307" s="1"/>
      <c r="D307" s="46"/>
      <c r="E307" s="46"/>
    </row>
    <row r="308" spans="1:5" ht="14.25">
      <c r="A308" s="5">
        <f t="shared" si="4"/>
        <v>294</v>
      </c>
      <c r="B308" s="46"/>
      <c r="C308" s="1"/>
      <c r="D308" s="46"/>
      <c r="E308" s="46"/>
    </row>
    <row r="309" spans="1:5" ht="14.25">
      <c r="A309" s="5">
        <f t="shared" si="4"/>
        <v>295</v>
      </c>
      <c r="B309" s="46"/>
      <c r="C309" s="1"/>
      <c r="D309" s="46"/>
      <c r="E309" s="46"/>
    </row>
    <row r="310" spans="1:5" ht="14.25">
      <c r="A310" s="5">
        <f t="shared" si="4"/>
        <v>296</v>
      </c>
      <c r="B310" s="46"/>
      <c r="C310" s="1"/>
      <c r="D310" s="46"/>
      <c r="E310" s="46"/>
    </row>
    <row r="311" spans="1:5" ht="14.25">
      <c r="A311" s="5">
        <f t="shared" si="4"/>
        <v>297</v>
      </c>
      <c r="B311" s="46"/>
      <c r="C311" s="1"/>
      <c r="D311" s="46"/>
      <c r="E311" s="46"/>
    </row>
    <row r="312" spans="1:5" ht="14.25">
      <c r="A312" s="5">
        <f t="shared" si="4"/>
        <v>298</v>
      </c>
      <c r="B312" s="46"/>
      <c r="C312" s="1"/>
      <c r="D312" s="46"/>
      <c r="E312" s="46"/>
    </row>
    <row r="313" spans="1:5" ht="14.25">
      <c r="A313" s="5">
        <f t="shared" si="4"/>
        <v>299</v>
      </c>
      <c r="B313" s="46"/>
      <c r="C313" s="1"/>
      <c r="D313" s="46"/>
      <c r="E313" s="46"/>
    </row>
    <row r="314" spans="1:5" ht="14.25">
      <c r="A314" s="5">
        <f t="shared" si="4"/>
        <v>300</v>
      </c>
      <c r="B314" s="46"/>
      <c r="C314" s="1"/>
      <c r="D314" s="46"/>
      <c r="E314" s="46"/>
    </row>
    <row r="315" spans="1:5" ht="14.25">
      <c r="A315" s="5">
        <f t="shared" si="4"/>
        <v>301</v>
      </c>
      <c r="B315" s="46"/>
      <c r="C315" s="1"/>
      <c r="D315" s="46"/>
      <c r="E315" s="46"/>
    </row>
    <row r="316" spans="1:5" ht="14.25">
      <c r="A316" s="5">
        <f t="shared" si="4"/>
        <v>302</v>
      </c>
      <c r="B316" s="46"/>
      <c r="C316" s="1"/>
      <c r="D316" s="46"/>
      <c r="E316" s="46"/>
    </row>
    <row r="317" spans="1:5" ht="14.25">
      <c r="A317" s="5">
        <f t="shared" si="4"/>
        <v>303</v>
      </c>
      <c r="B317" s="46"/>
      <c r="C317" s="1"/>
      <c r="D317" s="46"/>
      <c r="E317" s="46"/>
    </row>
    <row r="318" spans="1:5" ht="14.25">
      <c r="A318" s="5">
        <f t="shared" si="4"/>
        <v>304</v>
      </c>
      <c r="B318" s="46"/>
      <c r="C318" s="1"/>
      <c r="D318" s="46"/>
      <c r="E318" s="46"/>
    </row>
    <row r="319" spans="1:5" ht="14.25">
      <c r="A319" s="5">
        <f t="shared" si="4"/>
        <v>305</v>
      </c>
      <c r="B319" s="46"/>
      <c r="C319" s="1"/>
      <c r="D319" s="46"/>
      <c r="E319" s="46"/>
    </row>
    <row r="320" spans="1:5" ht="14.25">
      <c r="A320" s="5">
        <f t="shared" si="4"/>
        <v>306</v>
      </c>
      <c r="B320" s="46"/>
      <c r="C320" s="1"/>
      <c r="D320" s="46"/>
      <c r="E320" s="46"/>
    </row>
    <row r="321" spans="1:5" ht="14.25">
      <c r="A321" s="5">
        <f t="shared" si="4"/>
        <v>307</v>
      </c>
      <c r="B321" s="46"/>
      <c r="C321" s="1"/>
      <c r="D321" s="46"/>
      <c r="E321" s="46"/>
    </row>
    <row r="322" spans="1:5" ht="14.25">
      <c r="A322" s="5">
        <f t="shared" si="4"/>
        <v>308</v>
      </c>
      <c r="B322" s="46"/>
      <c r="C322" s="1"/>
      <c r="D322" s="46"/>
      <c r="E322" s="46"/>
    </row>
    <row r="323" spans="1:5" ht="14.25">
      <c r="A323" s="5">
        <f t="shared" si="4"/>
        <v>309</v>
      </c>
      <c r="B323" s="46"/>
      <c r="C323" s="1"/>
      <c r="D323" s="46"/>
      <c r="E323" s="46"/>
    </row>
    <row r="324" spans="1:5" ht="14.25">
      <c r="A324" s="5">
        <f t="shared" si="4"/>
        <v>310</v>
      </c>
      <c r="B324" s="46"/>
      <c r="C324" s="1"/>
      <c r="D324" s="46"/>
      <c r="E324" s="46"/>
    </row>
    <row r="325" spans="1:5" ht="14.25">
      <c r="A325" s="5">
        <f t="shared" si="4"/>
        <v>311</v>
      </c>
      <c r="B325" s="46"/>
      <c r="C325" s="1"/>
      <c r="D325" s="46"/>
      <c r="E325" s="46"/>
    </row>
    <row r="326" spans="1:5" ht="14.25">
      <c r="A326" s="5">
        <f t="shared" si="4"/>
        <v>312</v>
      </c>
      <c r="B326" s="46"/>
      <c r="C326" s="1"/>
      <c r="D326" s="46"/>
      <c r="E326" s="46"/>
    </row>
    <row r="327" spans="1:5" ht="14.25">
      <c r="A327" s="5">
        <f t="shared" si="4"/>
        <v>313</v>
      </c>
      <c r="B327" s="46"/>
      <c r="C327" s="1"/>
      <c r="D327" s="46"/>
      <c r="E327" s="46"/>
    </row>
    <row r="328" spans="1:5" ht="14.25">
      <c r="A328" s="5">
        <f t="shared" si="4"/>
        <v>314</v>
      </c>
      <c r="B328" s="46"/>
      <c r="C328" s="1"/>
      <c r="D328" s="46"/>
      <c r="E328" s="46"/>
    </row>
    <row r="329" spans="1:5" ht="14.25">
      <c r="A329" s="5">
        <f t="shared" si="4"/>
        <v>315</v>
      </c>
      <c r="B329" s="46"/>
      <c r="C329" s="1"/>
      <c r="D329" s="46"/>
      <c r="E329" s="46"/>
    </row>
    <row r="330" spans="1:5" ht="14.25">
      <c r="A330" s="5">
        <f t="shared" si="4"/>
        <v>316</v>
      </c>
      <c r="B330" s="46"/>
      <c r="C330" s="1"/>
      <c r="D330" s="46"/>
      <c r="E330" s="46"/>
    </row>
    <row r="331" spans="1:5" ht="14.25">
      <c r="A331" s="5">
        <f t="shared" si="4"/>
        <v>317</v>
      </c>
      <c r="B331" s="46"/>
      <c r="C331" s="1"/>
      <c r="D331" s="46"/>
      <c r="E331" s="46"/>
    </row>
    <row r="332" spans="1:5" ht="14.25">
      <c r="A332" s="5">
        <f t="shared" si="4"/>
        <v>318</v>
      </c>
      <c r="B332" s="46"/>
      <c r="C332" s="1"/>
      <c r="D332" s="46"/>
      <c r="E332" s="46"/>
    </row>
    <row r="333" spans="1:5" ht="14.25">
      <c r="A333" s="5">
        <f t="shared" si="4"/>
        <v>319</v>
      </c>
      <c r="B333" s="46"/>
      <c r="C333" s="1"/>
      <c r="D333" s="46"/>
      <c r="E333" s="46"/>
    </row>
    <row r="334" spans="1:5" ht="14.25">
      <c r="A334" s="5">
        <f t="shared" si="4"/>
        <v>320</v>
      </c>
      <c r="B334" s="46"/>
      <c r="C334" s="1"/>
      <c r="D334" s="46"/>
      <c r="E334" s="46"/>
    </row>
    <row r="335" spans="1:5" ht="14.25">
      <c r="A335" s="5">
        <f t="shared" si="4"/>
        <v>321</v>
      </c>
      <c r="B335" s="46"/>
      <c r="C335" s="1"/>
      <c r="D335" s="46"/>
      <c r="E335" s="46"/>
    </row>
    <row r="336" spans="1:5" ht="14.25">
      <c r="A336" s="5">
        <f aca="true" t="shared" si="5" ref="A336:A374">A335+1</f>
        <v>322</v>
      </c>
      <c r="B336" s="46"/>
      <c r="C336" s="1"/>
      <c r="D336" s="46"/>
      <c r="E336" s="46"/>
    </row>
    <row r="337" spans="1:5" ht="14.25">
      <c r="A337" s="5">
        <f t="shared" si="5"/>
        <v>323</v>
      </c>
      <c r="B337" s="46"/>
      <c r="C337" s="1"/>
      <c r="D337" s="46"/>
      <c r="E337" s="46"/>
    </row>
    <row r="338" spans="1:5" ht="14.25">
      <c r="A338" s="5">
        <f t="shared" si="5"/>
        <v>324</v>
      </c>
      <c r="B338" s="46"/>
      <c r="C338" s="1"/>
      <c r="D338" s="46"/>
      <c r="E338" s="46"/>
    </row>
    <row r="339" spans="1:5" ht="14.25">
      <c r="A339" s="5">
        <f t="shared" si="5"/>
        <v>325</v>
      </c>
      <c r="B339" s="46"/>
      <c r="C339" s="1"/>
      <c r="D339" s="46"/>
      <c r="E339" s="46"/>
    </row>
    <row r="340" spans="1:5" ht="14.25">
      <c r="A340" s="5">
        <f t="shared" si="5"/>
        <v>326</v>
      </c>
      <c r="B340" s="46"/>
      <c r="C340" s="1"/>
      <c r="D340" s="46"/>
      <c r="E340" s="46"/>
    </row>
    <row r="341" spans="1:5" ht="14.25">
      <c r="A341" s="5">
        <f t="shared" si="5"/>
        <v>327</v>
      </c>
      <c r="B341" s="46"/>
      <c r="C341" s="1"/>
      <c r="D341" s="46"/>
      <c r="E341" s="46"/>
    </row>
    <row r="342" spans="1:5" ht="14.25">
      <c r="A342" s="5">
        <f t="shared" si="5"/>
        <v>328</v>
      </c>
      <c r="B342" s="46"/>
      <c r="C342" s="1"/>
      <c r="D342" s="46"/>
      <c r="E342" s="46"/>
    </row>
    <row r="343" spans="1:5" ht="14.25">
      <c r="A343" s="5">
        <f t="shared" si="5"/>
        <v>329</v>
      </c>
      <c r="B343" s="46"/>
      <c r="C343" s="1"/>
      <c r="D343" s="46"/>
      <c r="E343" s="46"/>
    </row>
    <row r="344" spans="1:5" ht="14.25">
      <c r="A344" s="5">
        <f t="shared" si="5"/>
        <v>330</v>
      </c>
      <c r="B344" s="46"/>
      <c r="C344" s="1"/>
      <c r="D344" s="46"/>
      <c r="E344" s="46"/>
    </row>
    <row r="345" spans="1:5" ht="14.25">
      <c r="A345" s="5">
        <f t="shared" si="5"/>
        <v>331</v>
      </c>
      <c r="B345" s="46"/>
      <c r="C345" s="1"/>
      <c r="D345" s="46"/>
      <c r="E345" s="46"/>
    </row>
    <row r="346" spans="1:5" ht="14.25">
      <c r="A346" s="5">
        <f t="shared" si="5"/>
        <v>332</v>
      </c>
      <c r="B346" s="46"/>
      <c r="C346" s="1"/>
      <c r="D346" s="46"/>
      <c r="E346" s="46"/>
    </row>
    <row r="347" spans="1:5" ht="14.25">
      <c r="A347" s="5">
        <f t="shared" si="5"/>
        <v>333</v>
      </c>
      <c r="B347" s="46"/>
      <c r="C347" s="1"/>
      <c r="D347" s="46"/>
      <c r="E347" s="46"/>
    </row>
    <row r="348" spans="1:5" ht="14.25">
      <c r="A348" s="5">
        <f t="shared" si="5"/>
        <v>334</v>
      </c>
      <c r="B348" s="46"/>
      <c r="C348" s="1"/>
      <c r="D348" s="46"/>
      <c r="E348" s="46"/>
    </row>
    <row r="349" spans="1:5" ht="14.25">
      <c r="A349" s="5">
        <f t="shared" si="5"/>
        <v>335</v>
      </c>
      <c r="B349" s="46"/>
      <c r="C349" s="1"/>
      <c r="D349" s="46"/>
      <c r="E349" s="46"/>
    </row>
    <row r="350" spans="1:5" ht="14.25">
      <c r="A350" s="5">
        <f t="shared" si="5"/>
        <v>336</v>
      </c>
      <c r="B350" s="46"/>
      <c r="C350" s="1"/>
      <c r="D350" s="46"/>
      <c r="E350" s="46"/>
    </row>
    <row r="351" spans="1:5" ht="14.25">
      <c r="A351" s="5">
        <f t="shared" si="5"/>
        <v>337</v>
      </c>
      <c r="B351" s="46"/>
      <c r="C351" s="1"/>
      <c r="D351" s="46"/>
      <c r="E351" s="46"/>
    </row>
    <row r="352" spans="1:5" ht="14.25">
      <c r="A352" s="5">
        <f t="shared" si="5"/>
        <v>338</v>
      </c>
      <c r="B352" s="46"/>
      <c r="C352" s="1"/>
      <c r="D352" s="46"/>
      <c r="E352" s="46"/>
    </row>
    <row r="353" spans="1:5" ht="14.25">
      <c r="A353" s="5">
        <f t="shared" si="5"/>
        <v>339</v>
      </c>
      <c r="B353" s="46"/>
      <c r="C353" s="1"/>
      <c r="D353" s="46"/>
      <c r="E353" s="46"/>
    </row>
    <row r="354" spans="1:5" ht="14.25">
      <c r="A354" s="5">
        <f t="shared" si="5"/>
        <v>340</v>
      </c>
      <c r="B354" s="46"/>
      <c r="C354" s="1"/>
      <c r="D354" s="46"/>
      <c r="E354" s="46"/>
    </row>
    <row r="355" spans="1:5" ht="14.25">
      <c r="A355" s="5">
        <f t="shared" si="5"/>
        <v>341</v>
      </c>
      <c r="B355" s="46"/>
      <c r="C355" s="1"/>
      <c r="D355" s="46"/>
      <c r="E355" s="46"/>
    </row>
    <row r="356" spans="1:5" ht="14.25">
      <c r="A356" s="5">
        <f t="shared" si="5"/>
        <v>342</v>
      </c>
      <c r="B356" s="46"/>
      <c r="C356" s="1"/>
      <c r="D356" s="46"/>
      <c r="E356" s="46"/>
    </row>
    <row r="357" spans="1:5" ht="14.25">
      <c r="A357" s="5">
        <f t="shared" si="5"/>
        <v>343</v>
      </c>
      <c r="B357" s="46"/>
      <c r="C357" s="1"/>
      <c r="D357" s="46"/>
      <c r="E357" s="46"/>
    </row>
    <row r="358" spans="1:5" ht="14.25">
      <c r="A358" s="5">
        <f t="shared" si="5"/>
        <v>344</v>
      </c>
      <c r="B358" s="46"/>
      <c r="C358" s="1"/>
      <c r="D358" s="46"/>
      <c r="E358" s="46"/>
    </row>
    <row r="359" spans="1:5" ht="14.25">
      <c r="A359" s="5">
        <f t="shared" si="5"/>
        <v>345</v>
      </c>
      <c r="B359" s="46"/>
      <c r="C359" s="1"/>
      <c r="D359" s="46"/>
      <c r="E359" s="46"/>
    </row>
    <row r="360" spans="1:5" ht="14.25">
      <c r="A360" s="5">
        <f t="shared" si="5"/>
        <v>346</v>
      </c>
      <c r="B360" s="46"/>
      <c r="C360" s="1"/>
      <c r="D360" s="46"/>
      <c r="E360" s="46"/>
    </row>
    <row r="361" spans="1:5" ht="14.25">
      <c r="A361" s="5">
        <f t="shared" si="5"/>
        <v>347</v>
      </c>
      <c r="B361" s="46"/>
      <c r="C361" s="1"/>
      <c r="D361" s="46"/>
      <c r="E361" s="46"/>
    </row>
    <row r="362" spans="1:5" ht="14.25">
      <c r="A362" s="5">
        <f t="shared" si="5"/>
        <v>348</v>
      </c>
      <c r="B362" s="46"/>
      <c r="C362" s="1"/>
      <c r="D362" s="46"/>
      <c r="E362" s="46"/>
    </row>
    <row r="363" spans="1:5" ht="14.25">
      <c r="A363" s="5">
        <f t="shared" si="5"/>
        <v>349</v>
      </c>
      <c r="B363" s="46"/>
      <c r="C363" s="1"/>
      <c r="D363" s="46"/>
      <c r="E363" s="46"/>
    </row>
    <row r="364" spans="1:5" ht="14.25">
      <c r="A364" s="5">
        <f t="shared" si="5"/>
        <v>350</v>
      </c>
      <c r="B364" s="46"/>
      <c r="C364" s="1"/>
      <c r="D364" s="46"/>
      <c r="E364" s="46"/>
    </row>
    <row r="365" spans="1:5" ht="14.25">
      <c r="A365" s="5">
        <f t="shared" si="5"/>
        <v>351</v>
      </c>
      <c r="B365" s="46"/>
      <c r="C365" s="1"/>
      <c r="D365" s="46"/>
      <c r="E365" s="46"/>
    </row>
    <row r="366" spans="1:5" ht="14.25">
      <c r="A366" s="5">
        <f t="shared" si="5"/>
        <v>352</v>
      </c>
      <c r="B366" s="46"/>
      <c r="C366" s="1"/>
      <c r="D366" s="46"/>
      <c r="E366" s="46"/>
    </row>
    <row r="367" spans="1:5" ht="14.25">
      <c r="A367" s="5">
        <f t="shared" si="5"/>
        <v>353</v>
      </c>
      <c r="B367" s="46"/>
      <c r="C367" s="1"/>
      <c r="D367" s="46"/>
      <c r="E367" s="46"/>
    </row>
    <row r="368" spans="1:5" ht="14.25">
      <c r="A368" s="5">
        <f t="shared" si="5"/>
        <v>354</v>
      </c>
      <c r="B368" s="46"/>
      <c r="C368" s="1"/>
      <c r="D368" s="46"/>
      <c r="E368" s="46"/>
    </row>
    <row r="369" spans="1:5" ht="14.25">
      <c r="A369" s="5">
        <f t="shared" si="5"/>
        <v>355</v>
      </c>
      <c r="B369" s="46"/>
      <c r="C369" s="1"/>
      <c r="D369" s="46"/>
      <c r="E369" s="46"/>
    </row>
    <row r="370" spans="1:5" ht="14.25">
      <c r="A370" s="5">
        <f t="shared" si="5"/>
        <v>356</v>
      </c>
      <c r="B370" s="46"/>
      <c r="C370" s="1"/>
      <c r="D370" s="46"/>
      <c r="E370" s="46"/>
    </row>
    <row r="371" spans="1:5" ht="14.25">
      <c r="A371" s="5">
        <f t="shared" si="5"/>
        <v>357</v>
      </c>
      <c r="B371" s="46"/>
      <c r="C371" s="1"/>
      <c r="D371" s="46"/>
      <c r="E371" s="46"/>
    </row>
    <row r="372" spans="1:5" ht="14.25">
      <c r="A372" s="5">
        <f t="shared" si="5"/>
        <v>358</v>
      </c>
      <c r="B372" s="46"/>
      <c r="C372" s="1"/>
      <c r="D372" s="46"/>
      <c r="E372" s="46"/>
    </row>
    <row r="373" spans="1:5" ht="14.25">
      <c r="A373" s="5">
        <f t="shared" si="5"/>
        <v>359</v>
      </c>
      <c r="B373" s="46"/>
      <c r="C373" s="1"/>
      <c r="D373" s="46"/>
      <c r="E373" s="46"/>
    </row>
    <row r="374" spans="1:5" ht="14.25">
      <c r="A374" s="5">
        <f t="shared" si="5"/>
        <v>360</v>
      </c>
      <c r="B374" s="46"/>
      <c r="C374" s="1"/>
      <c r="D374" s="46"/>
      <c r="E374" s="46"/>
    </row>
  </sheetData>
  <sheetProtection/>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sheetPr>
    <tabColor theme="2"/>
  </sheetPr>
  <dimension ref="A1:E374"/>
  <sheetViews>
    <sheetView zoomScalePageLayoutView="0" workbookViewId="0" topLeftCell="A3">
      <selection activeCell="B15" sqref="B15"/>
    </sheetView>
  </sheetViews>
  <sheetFormatPr defaultColWidth="9.140625" defaultRowHeight="15"/>
  <cols>
    <col min="1" max="1" width="12.8515625" style="0" bestFit="1" customWidth="1"/>
    <col min="2" max="2" width="13.57421875" style="0" bestFit="1" customWidth="1"/>
    <col min="3" max="3" width="12.28125" style="0" bestFit="1" customWidth="1"/>
    <col min="4" max="4" width="13.140625" style="0" bestFit="1" customWidth="1"/>
    <col min="5" max="5" width="13.140625" style="0" customWidth="1"/>
  </cols>
  <sheetData>
    <row r="1" spans="1:2" ht="14.25">
      <c r="A1" s="5" t="s">
        <v>158</v>
      </c>
      <c r="B1" s="57">
        <v>370000</v>
      </c>
    </row>
    <row r="2" spans="1:2" ht="14.25">
      <c r="A2" s="5" t="s">
        <v>159</v>
      </c>
      <c r="B2" s="57">
        <v>20000</v>
      </c>
    </row>
    <row r="3" spans="1:2" ht="14.25">
      <c r="A3" s="5" t="s">
        <v>151</v>
      </c>
      <c r="B3" s="57">
        <f>B1-B2</f>
        <v>350000</v>
      </c>
    </row>
    <row r="4" spans="1:2" ht="14.25">
      <c r="A4" s="5" t="s">
        <v>75</v>
      </c>
      <c r="B4" s="9">
        <v>0.095</v>
      </c>
    </row>
    <row r="5" spans="1:2" ht="14.25">
      <c r="A5" s="5" t="s">
        <v>4</v>
      </c>
      <c r="B5" s="5">
        <v>12</v>
      </c>
    </row>
    <row r="6" spans="1:2" ht="14.25">
      <c r="A6" s="5" t="s">
        <v>152</v>
      </c>
      <c r="B6" s="5">
        <f>B4/B5</f>
        <v>0.007916666666666667</v>
      </c>
    </row>
    <row r="7" spans="1:2" ht="14.25">
      <c r="A7" s="5" t="s">
        <v>35</v>
      </c>
      <c r="B7" s="5">
        <v>30</v>
      </c>
    </row>
    <row r="8" spans="1:2" ht="14.25">
      <c r="A8" s="5" t="s">
        <v>153</v>
      </c>
      <c r="B8" s="5">
        <f>B7*B5</f>
        <v>360</v>
      </c>
    </row>
    <row r="9" spans="1:2" ht="14.25">
      <c r="A9" s="5" t="s">
        <v>32</v>
      </c>
      <c r="B9" s="57">
        <f>PMT(B6,B8,B3,,0)</f>
        <v>-2942.9897251256252</v>
      </c>
    </row>
    <row r="10" spans="1:4" ht="14.25">
      <c r="A10" s="5" t="s">
        <v>156</v>
      </c>
      <c r="B10" s="46">
        <f>SUM(B15:B374)+B2</f>
        <v>1079476.30104522</v>
      </c>
      <c r="D10" t="s">
        <v>59</v>
      </c>
    </row>
    <row r="11" spans="1:4" ht="14.25">
      <c r="A11" s="5" t="s">
        <v>157</v>
      </c>
      <c r="B11" s="1">
        <f>SUM(C15:C374)</f>
        <v>709476.3010452107</v>
      </c>
      <c r="D11" s="52">
        <f>B10-B11</f>
        <v>370000.00000000943</v>
      </c>
    </row>
    <row r="13" spans="1:5" ht="14.25">
      <c r="A13" s="86" t="s">
        <v>65</v>
      </c>
      <c r="B13" s="86" t="s">
        <v>154</v>
      </c>
      <c r="C13" s="86" t="s">
        <v>132</v>
      </c>
      <c r="D13" s="86" t="s">
        <v>133</v>
      </c>
      <c r="E13" s="86" t="s">
        <v>155</v>
      </c>
    </row>
    <row r="14" spans="1:5" ht="14.25">
      <c r="A14" s="5">
        <v>0</v>
      </c>
      <c r="B14" s="5"/>
      <c r="C14" s="5"/>
      <c r="D14" s="5"/>
      <c r="E14" s="5">
        <f>B3</f>
        <v>350000</v>
      </c>
    </row>
    <row r="15" spans="1:5" ht="14.25">
      <c r="A15" s="5">
        <f>A14+1</f>
        <v>1</v>
      </c>
      <c r="B15" s="46">
        <f>-$B$9</f>
        <v>2942.9897251256252</v>
      </c>
      <c r="C15" s="1">
        <f>E14*$B$6</f>
        <v>2770.8333333333335</v>
      </c>
      <c r="D15" s="46">
        <f aca="true" t="shared" si="0" ref="D15:D78">B15-C15</f>
        <v>172.15639179229174</v>
      </c>
      <c r="E15" s="46">
        <f>E14-D15</f>
        <v>349827.8436082077</v>
      </c>
    </row>
    <row r="16" spans="1:5" ht="14.25">
      <c r="A16" s="5">
        <f aca="true" t="shared" si="1" ref="A16:A79">A15+1</f>
        <v>2</v>
      </c>
      <c r="B16" s="46">
        <f aca="true" t="shared" si="2" ref="B16:B79">-$B$9</f>
        <v>2942.9897251256252</v>
      </c>
      <c r="C16" s="1">
        <f aca="true" t="shared" si="3" ref="C16:C79">E15*$B$6</f>
        <v>2769.4704285649777</v>
      </c>
      <c r="D16" s="46">
        <f t="shared" si="0"/>
        <v>173.5192965606475</v>
      </c>
      <c r="E16" s="46">
        <f aca="true" t="shared" si="4" ref="E16:E79">E15-D16</f>
        <v>349654.32431164704</v>
      </c>
    </row>
    <row r="17" spans="1:5" ht="14.25">
      <c r="A17" s="5">
        <f t="shared" si="1"/>
        <v>3</v>
      </c>
      <c r="B17" s="46">
        <f t="shared" si="2"/>
        <v>2942.9897251256252</v>
      </c>
      <c r="C17" s="1">
        <f t="shared" si="3"/>
        <v>2768.096734133873</v>
      </c>
      <c r="D17" s="46">
        <f t="shared" si="0"/>
        <v>174.8929909917524</v>
      </c>
      <c r="E17" s="46">
        <f t="shared" si="4"/>
        <v>349479.4313206553</v>
      </c>
    </row>
    <row r="18" spans="1:5" ht="14.25">
      <c r="A18" s="5">
        <f t="shared" si="1"/>
        <v>4</v>
      </c>
      <c r="B18" s="46">
        <f t="shared" si="2"/>
        <v>2942.9897251256252</v>
      </c>
      <c r="C18" s="1">
        <f t="shared" si="3"/>
        <v>2766.7121646218543</v>
      </c>
      <c r="D18" s="46">
        <f t="shared" si="0"/>
        <v>176.27756050377093</v>
      </c>
      <c r="E18" s="46">
        <f t="shared" si="4"/>
        <v>349303.15376015153</v>
      </c>
    </row>
    <row r="19" spans="1:5" ht="14.25">
      <c r="A19" s="5">
        <f t="shared" si="1"/>
        <v>5</v>
      </c>
      <c r="B19" s="46">
        <f t="shared" si="2"/>
        <v>2942.9897251256252</v>
      </c>
      <c r="C19" s="1">
        <f t="shared" si="3"/>
        <v>2765.316633934533</v>
      </c>
      <c r="D19" s="46">
        <f t="shared" si="0"/>
        <v>177.67309119109223</v>
      </c>
      <c r="E19" s="46">
        <f t="shared" si="4"/>
        <v>349125.48066896043</v>
      </c>
    </row>
    <row r="20" spans="1:5" ht="14.25">
      <c r="A20" s="5">
        <f t="shared" si="1"/>
        <v>6</v>
      </c>
      <c r="B20" s="46">
        <f t="shared" si="2"/>
        <v>2942.9897251256252</v>
      </c>
      <c r="C20" s="1">
        <f t="shared" si="3"/>
        <v>2763.910055295937</v>
      </c>
      <c r="D20" s="46">
        <f t="shared" si="0"/>
        <v>179.0796698296881</v>
      </c>
      <c r="E20" s="46">
        <f t="shared" si="4"/>
        <v>348946.40099913074</v>
      </c>
    </row>
    <row r="21" spans="1:5" ht="14.25">
      <c r="A21" s="5">
        <f t="shared" si="1"/>
        <v>7</v>
      </c>
      <c r="B21" s="46">
        <f t="shared" si="2"/>
        <v>2942.9897251256252</v>
      </c>
      <c r="C21" s="1">
        <f t="shared" si="3"/>
        <v>2762.4923412431185</v>
      </c>
      <c r="D21" s="46">
        <f t="shared" si="0"/>
        <v>180.4973838825067</v>
      </c>
      <c r="E21" s="46">
        <f t="shared" si="4"/>
        <v>348765.9036152482</v>
      </c>
    </row>
    <row r="22" spans="1:5" ht="14.25">
      <c r="A22" s="5">
        <f t="shared" si="1"/>
        <v>8</v>
      </c>
      <c r="B22" s="46">
        <f t="shared" si="2"/>
        <v>2942.9897251256252</v>
      </c>
      <c r="C22" s="1">
        <f t="shared" si="3"/>
        <v>2761.0634036207152</v>
      </c>
      <c r="D22" s="46">
        <f t="shared" si="0"/>
        <v>181.92632150491</v>
      </c>
      <c r="E22" s="46">
        <f t="shared" si="4"/>
        <v>348583.9772937433</v>
      </c>
    </row>
    <row r="23" spans="1:5" ht="14.25">
      <c r="A23" s="5">
        <f t="shared" si="1"/>
        <v>9</v>
      </c>
      <c r="B23" s="46">
        <f t="shared" si="2"/>
        <v>2942.9897251256252</v>
      </c>
      <c r="C23" s="1">
        <f t="shared" si="3"/>
        <v>2759.6231535754678</v>
      </c>
      <c r="D23" s="46">
        <f t="shared" si="0"/>
        <v>183.36657155015746</v>
      </c>
      <c r="E23" s="46">
        <f t="shared" si="4"/>
        <v>348400.61072219315</v>
      </c>
    </row>
    <row r="24" spans="1:5" ht="14.25">
      <c r="A24" s="5">
        <f t="shared" si="1"/>
        <v>10</v>
      </c>
      <c r="B24" s="46">
        <f t="shared" si="2"/>
        <v>2942.9897251256252</v>
      </c>
      <c r="C24" s="1">
        <f t="shared" si="3"/>
        <v>2758.171501550696</v>
      </c>
      <c r="D24" s="46">
        <f t="shared" si="0"/>
        <v>184.8182235749291</v>
      </c>
      <c r="E24" s="46">
        <f t="shared" si="4"/>
        <v>348215.7924986182</v>
      </c>
    </row>
    <row r="25" spans="1:5" ht="14.25">
      <c r="A25" s="5">
        <f t="shared" si="1"/>
        <v>11</v>
      </c>
      <c r="B25" s="46">
        <f t="shared" si="2"/>
        <v>2942.9897251256252</v>
      </c>
      <c r="C25" s="1">
        <f t="shared" si="3"/>
        <v>2756.708357280728</v>
      </c>
      <c r="D25" s="46">
        <f t="shared" si="0"/>
        <v>186.28136784489743</v>
      </c>
      <c r="E25" s="46">
        <f t="shared" si="4"/>
        <v>348029.5111307733</v>
      </c>
    </row>
    <row r="26" spans="1:5" ht="14.25">
      <c r="A26" s="5">
        <f t="shared" si="1"/>
        <v>12</v>
      </c>
      <c r="B26" s="46">
        <f t="shared" si="2"/>
        <v>2942.9897251256252</v>
      </c>
      <c r="C26" s="1">
        <f t="shared" si="3"/>
        <v>2755.233629785289</v>
      </c>
      <c r="D26" s="46">
        <f t="shared" si="0"/>
        <v>187.7560953403363</v>
      </c>
      <c r="E26" s="46">
        <f t="shared" si="4"/>
        <v>347841.7550354329</v>
      </c>
    </row>
    <row r="27" spans="1:5" ht="14.25">
      <c r="A27" s="5">
        <f t="shared" si="1"/>
        <v>13</v>
      </c>
      <c r="B27" s="46">
        <f t="shared" si="2"/>
        <v>2942.9897251256252</v>
      </c>
      <c r="C27" s="1">
        <f t="shared" si="3"/>
        <v>2753.747227363844</v>
      </c>
      <c r="D27" s="46">
        <f t="shared" si="0"/>
        <v>189.24249776178112</v>
      </c>
      <c r="E27" s="46">
        <f t="shared" si="4"/>
        <v>347652.51253767114</v>
      </c>
    </row>
    <row r="28" spans="1:5" ht="14.25">
      <c r="A28" s="5">
        <f t="shared" si="1"/>
        <v>14</v>
      </c>
      <c r="B28" s="46">
        <f t="shared" si="2"/>
        <v>2942.9897251256252</v>
      </c>
      <c r="C28" s="1">
        <f t="shared" si="3"/>
        <v>2752.249057589897</v>
      </c>
      <c r="D28" s="46">
        <f t="shared" si="0"/>
        <v>190.74066753572833</v>
      </c>
      <c r="E28" s="46">
        <f t="shared" si="4"/>
        <v>347461.7718701354</v>
      </c>
    </row>
    <row r="29" spans="1:5" ht="14.25">
      <c r="A29" s="5">
        <f t="shared" si="1"/>
        <v>15</v>
      </c>
      <c r="B29" s="46">
        <f t="shared" si="2"/>
        <v>2942.9897251256252</v>
      </c>
      <c r="C29" s="1">
        <f t="shared" si="3"/>
        <v>2750.739027305239</v>
      </c>
      <c r="D29" s="46">
        <f t="shared" si="0"/>
        <v>192.25069782038645</v>
      </c>
      <c r="E29" s="46">
        <f t="shared" si="4"/>
        <v>347269.521172315</v>
      </c>
    </row>
    <row r="30" spans="1:5" ht="14.25">
      <c r="A30" s="5">
        <f t="shared" si="1"/>
        <v>16</v>
      </c>
      <c r="B30" s="46">
        <f t="shared" si="2"/>
        <v>2942.9897251256252</v>
      </c>
      <c r="C30" s="1">
        <f t="shared" si="3"/>
        <v>2749.2170426141606</v>
      </c>
      <c r="D30" s="46">
        <f t="shared" si="0"/>
        <v>193.7726825114646</v>
      </c>
      <c r="E30" s="46">
        <f t="shared" si="4"/>
        <v>347075.7484898035</v>
      </c>
    </row>
    <row r="31" spans="1:5" ht="14.25">
      <c r="A31" s="5">
        <f t="shared" si="1"/>
        <v>17</v>
      </c>
      <c r="B31" s="46">
        <f t="shared" si="2"/>
        <v>2942.9897251256252</v>
      </c>
      <c r="C31" s="1">
        <f t="shared" si="3"/>
        <v>2747.6830088776114</v>
      </c>
      <c r="D31" s="46">
        <f t="shared" si="0"/>
        <v>195.3067162480138</v>
      </c>
      <c r="E31" s="46">
        <f t="shared" si="4"/>
        <v>346880.44177355553</v>
      </c>
    </row>
    <row r="32" spans="1:5" ht="14.25">
      <c r="A32" s="5">
        <f t="shared" si="1"/>
        <v>18</v>
      </c>
      <c r="B32" s="46">
        <f t="shared" si="2"/>
        <v>2942.9897251256252</v>
      </c>
      <c r="C32" s="1">
        <f t="shared" si="3"/>
        <v>2746.136830707315</v>
      </c>
      <c r="D32" s="46">
        <f t="shared" si="0"/>
        <v>196.85289441831037</v>
      </c>
      <c r="E32" s="46">
        <f t="shared" si="4"/>
        <v>346683.58887913724</v>
      </c>
    </row>
    <row r="33" spans="1:5" ht="14.25">
      <c r="A33" s="5">
        <f t="shared" si="1"/>
        <v>19</v>
      </c>
      <c r="B33" s="46">
        <f t="shared" si="2"/>
        <v>2942.9897251256252</v>
      </c>
      <c r="C33" s="1">
        <f t="shared" si="3"/>
        <v>2744.5784119598366</v>
      </c>
      <c r="D33" s="46">
        <f t="shared" si="0"/>
        <v>198.41131316578867</v>
      </c>
      <c r="E33" s="46">
        <f t="shared" si="4"/>
        <v>346485.17756597145</v>
      </c>
    </row>
    <row r="34" spans="1:5" ht="14.25">
      <c r="A34" s="5">
        <f t="shared" si="1"/>
        <v>20</v>
      </c>
      <c r="B34" s="46">
        <f t="shared" si="2"/>
        <v>2942.9897251256252</v>
      </c>
      <c r="C34" s="1">
        <f t="shared" si="3"/>
        <v>2743.0076557306074</v>
      </c>
      <c r="D34" s="46">
        <f t="shared" si="0"/>
        <v>199.9820693950178</v>
      </c>
      <c r="E34" s="46">
        <f t="shared" si="4"/>
        <v>346285.19549657643</v>
      </c>
    </row>
    <row r="35" spans="1:5" ht="14.25">
      <c r="A35" s="5">
        <f t="shared" si="1"/>
        <v>21</v>
      </c>
      <c r="B35" s="46">
        <f t="shared" si="2"/>
        <v>2942.9897251256252</v>
      </c>
      <c r="C35" s="1">
        <f t="shared" si="3"/>
        <v>2741.424464347897</v>
      </c>
      <c r="D35" s="46">
        <f t="shared" si="0"/>
        <v>201.56526077772833</v>
      </c>
      <c r="E35" s="46">
        <f t="shared" si="4"/>
        <v>346083.6302357987</v>
      </c>
    </row>
    <row r="36" spans="1:5" ht="14.25">
      <c r="A36" s="5">
        <f t="shared" si="1"/>
        <v>22</v>
      </c>
      <c r="B36" s="46">
        <f t="shared" si="2"/>
        <v>2942.9897251256252</v>
      </c>
      <c r="C36" s="1">
        <f t="shared" si="3"/>
        <v>2739.82873936674</v>
      </c>
      <c r="D36" s="46">
        <f t="shared" si="0"/>
        <v>203.1609857588851</v>
      </c>
      <c r="E36" s="46">
        <f t="shared" si="4"/>
        <v>345880.46925003984</v>
      </c>
    </row>
    <row r="37" spans="1:5" ht="14.25">
      <c r="A37" s="5">
        <f t="shared" si="1"/>
        <v>23</v>
      </c>
      <c r="B37" s="46">
        <f t="shared" si="2"/>
        <v>2942.9897251256252</v>
      </c>
      <c r="C37" s="1">
        <f t="shared" si="3"/>
        <v>2738.2203815628154</v>
      </c>
      <c r="D37" s="46">
        <f t="shared" si="0"/>
        <v>204.7693435628098</v>
      </c>
      <c r="E37" s="46">
        <f t="shared" si="4"/>
        <v>345675.699906477</v>
      </c>
    </row>
    <row r="38" spans="1:5" ht="14.25">
      <c r="A38" s="5">
        <f t="shared" si="1"/>
        <v>24</v>
      </c>
      <c r="B38" s="46">
        <f t="shared" si="2"/>
        <v>2942.9897251256252</v>
      </c>
      <c r="C38" s="1">
        <f t="shared" si="3"/>
        <v>2736.5992909262764</v>
      </c>
      <c r="D38" s="46">
        <f t="shared" si="0"/>
        <v>206.39043419934887</v>
      </c>
      <c r="E38" s="46">
        <f t="shared" si="4"/>
        <v>345469.30947227764</v>
      </c>
    </row>
    <row r="39" spans="1:5" ht="14.25">
      <c r="A39" s="5">
        <f t="shared" si="1"/>
        <v>25</v>
      </c>
      <c r="B39" s="46">
        <f t="shared" si="2"/>
        <v>2942.9897251256252</v>
      </c>
      <c r="C39" s="1">
        <f t="shared" si="3"/>
        <v>2734.9653666555314</v>
      </c>
      <c r="D39" s="46">
        <f t="shared" si="0"/>
        <v>208.02435847009383</v>
      </c>
      <c r="E39" s="46">
        <f t="shared" si="4"/>
        <v>345261.28511380753</v>
      </c>
    </row>
    <row r="40" spans="1:5" ht="14.25">
      <c r="A40" s="5">
        <f t="shared" si="1"/>
        <v>26</v>
      </c>
      <c r="B40" s="46">
        <f t="shared" si="2"/>
        <v>2942.9897251256252</v>
      </c>
      <c r="C40" s="1">
        <f t="shared" si="3"/>
        <v>2733.3185071509765</v>
      </c>
      <c r="D40" s="46">
        <f t="shared" si="0"/>
        <v>209.6712179746487</v>
      </c>
      <c r="E40" s="46">
        <f t="shared" si="4"/>
        <v>345051.6138958329</v>
      </c>
    </row>
    <row r="41" spans="1:5" ht="14.25">
      <c r="A41" s="5">
        <f t="shared" si="1"/>
        <v>27</v>
      </c>
      <c r="B41" s="46">
        <f t="shared" si="2"/>
        <v>2942.9897251256252</v>
      </c>
      <c r="C41" s="1">
        <f t="shared" si="3"/>
        <v>2731.6586100086774</v>
      </c>
      <c r="D41" s="46">
        <f t="shared" si="0"/>
        <v>211.33111511694779</v>
      </c>
      <c r="E41" s="46">
        <f t="shared" si="4"/>
        <v>344840.28278071596</v>
      </c>
    </row>
    <row r="42" spans="1:5" ht="14.25">
      <c r="A42" s="5">
        <f t="shared" si="1"/>
        <v>28</v>
      </c>
      <c r="B42" s="46">
        <f t="shared" si="2"/>
        <v>2942.9897251256252</v>
      </c>
      <c r="C42" s="1">
        <f t="shared" si="3"/>
        <v>2729.9855720140017</v>
      </c>
      <c r="D42" s="46">
        <f t="shared" si="0"/>
        <v>213.0041531116235</v>
      </c>
      <c r="E42" s="46">
        <f t="shared" si="4"/>
        <v>344627.27862760436</v>
      </c>
    </row>
    <row r="43" spans="1:5" ht="14.25">
      <c r="A43" s="5">
        <f t="shared" si="1"/>
        <v>29</v>
      </c>
      <c r="B43" s="46">
        <f t="shared" si="2"/>
        <v>2942.9897251256252</v>
      </c>
      <c r="C43" s="1">
        <f t="shared" si="3"/>
        <v>2728.2992891352014</v>
      </c>
      <c r="D43" s="46">
        <f t="shared" si="0"/>
        <v>214.6904359904238</v>
      </c>
      <c r="E43" s="46">
        <f t="shared" si="4"/>
        <v>344412.58819161396</v>
      </c>
    </row>
    <row r="44" spans="1:5" ht="14.25">
      <c r="A44" s="5">
        <f t="shared" si="1"/>
        <v>30</v>
      </c>
      <c r="B44" s="46">
        <f t="shared" si="2"/>
        <v>2942.9897251256252</v>
      </c>
      <c r="C44" s="1">
        <f t="shared" si="3"/>
        <v>2726.599656516944</v>
      </c>
      <c r="D44" s="46">
        <f t="shared" si="0"/>
        <v>216.3900686086813</v>
      </c>
      <c r="E44" s="46">
        <f t="shared" si="4"/>
        <v>344196.1981230053</v>
      </c>
    </row>
    <row r="45" spans="1:5" ht="14.25">
      <c r="A45" s="5">
        <f t="shared" si="1"/>
        <v>31</v>
      </c>
      <c r="B45" s="46">
        <f t="shared" si="2"/>
        <v>2942.9897251256252</v>
      </c>
      <c r="C45" s="1">
        <f t="shared" si="3"/>
        <v>2724.886568473792</v>
      </c>
      <c r="D45" s="46">
        <f t="shared" si="0"/>
        <v>218.10315665183316</v>
      </c>
      <c r="E45" s="46">
        <f t="shared" si="4"/>
        <v>343978.09496635344</v>
      </c>
    </row>
    <row r="46" spans="1:5" ht="14.25">
      <c r="A46" s="5">
        <f t="shared" si="1"/>
        <v>32</v>
      </c>
      <c r="B46" s="46">
        <f t="shared" si="2"/>
        <v>2942.9897251256252</v>
      </c>
      <c r="C46" s="1">
        <f t="shared" si="3"/>
        <v>2723.159918483632</v>
      </c>
      <c r="D46" s="46">
        <f t="shared" si="0"/>
        <v>219.8298066419934</v>
      </c>
      <c r="E46" s="46">
        <f t="shared" si="4"/>
        <v>343758.2651597115</v>
      </c>
    </row>
    <row r="47" spans="1:5" ht="14.25">
      <c r="A47" s="5">
        <f t="shared" si="1"/>
        <v>33</v>
      </c>
      <c r="B47" s="46">
        <f t="shared" si="2"/>
        <v>2942.9897251256252</v>
      </c>
      <c r="C47" s="1">
        <f t="shared" si="3"/>
        <v>2721.4195991810493</v>
      </c>
      <c r="D47" s="46">
        <f t="shared" si="0"/>
        <v>221.57012594457592</v>
      </c>
      <c r="E47" s="46">
        <f t="shared" si="4"/>
        <v>343536.6950337669</v>
      </c>
    </row>
    <row r="48" spans="1:5" ht="14.25">
      <c r="A48" s="5">
        <f t="shared" si="1"/>
        <v>34</v>
      </c>
      <c r="B48" s="46">
        <f t="shared" si="2"/>
        <v>2942.9897251256252</v>
      </c>
      <c r="C48" s="1">
        <f t="shared" si="3"/>
        <v>2719.665502350655</v>
      </c>
      <c r="D48" s="46">
        <f t="shared" si="0"/>
        <v>223.32422277497017</v>
      </c>
      <c r="E48" s="46">
        <f t="shared" si="4"/>
        <v>343313.37081099197</v>
      </c>
    </row>
    <row r="49" spans="1:5" ht="14.25">
      <c r="A49" s="5">
        <f t="shared" si="1"/>
        <v>35</v>
      </c>
      <c r="B49" s="46">
        <f t="shared" si="2"/>
        <v>2942.9897251256252</v>
      </c>
      <c r="C49" s="1">
        <f t="shared" si="3"/>
        <v>2717.8975189203534</v>
      </c>
      <c r="D49" s="46">
        <f t="shared" si="0"/>
        <v>225.09220620527185</v>
      </c>
      <c r="E49" s="46">
        <f t="shared" si="4"/>
        <v>343088.27860478667</v>
      </c>
    </row>
    <row r="50" spans="1:5" ht="14.25">
      <c r="A50" s="5">
        <f t="shared" si="1"/>
        <v>36</v>
      </c>
      <c r="B50" s="46">
        <f t="shared" si="2"/>
        <v>2942.9897251256252</v>
      </c>
      <c r="C50" s="1">
        <f t="shared" si="3"/>
        <v>2716.1155389545615</v>
      </c>
      <c r="D50" s="46">
        <f t="shared" si="0"/>
        <v>226.87418617106368</v>
      </c>
      <c r="E50" s="46">
        <f t="shared" si="4"/>
        <v>342861.4044186156</v>
      </c>
    </row>
    <row r="51" spans="1:5" ht="14.25">
      <c r="A51" s="5">
        <f t="shared" si="1"/>
        <v>37</v>
      </c>
      <c r="B51" s="46">
        <f t="shared" si="2"/>
        <v>2942.9897251256252</v>
      </c>
      <c r="C51" s="1">
        <f t="shared" si="3"/>
        <v>2714.319451647374</v>
      </c>
      <c r="D51" s="46">
        <f t="shared" si="0"/>
        <v>228.67027347825115</v>
      </c>
      <c r="E51" s="46">
        <f t="shared" si="4"/>
        <v>342632.73414513736</v>
      </c>
    </row>
    <row r="52" spans="1:5" ht="14.25">
      <c r="A52" s="5">
        <f t="shared" si="1"/>
        <v>38</v>
      </c>
      <c r="B52" s="46">
        <f t="shared" si="2"/>
        <v>2942.9897251256252</v>
      </c>
      <c r="C52" s="1">
        <f t="shared" si="3"/>
        <v>2712.509145315671</v>
      </c>
      <c r="D52" s="46">
        <f t="shared" si="0"/>
        <v>230.48057980995418</v>
      </c>
      <c r="E52" s="46">
        <f t="shared" si="4"/>
        <v>342402.25356532744</v>
      </c>
    </row>
    <row r="53" spans="1:5" ht="14.25">
      <c r="A53" s="5">
        <f t="shared" si="1"/>
        <v>39</v>
      </c>
      <c r="B53" s="46">
        <f t="shared" si="2"/>
        <v>2942.9897251256252</v>
      </c>
      <c r="C53" s="1">
        <f t="shared" si="3"/>
        <v>2710.684507392176</v>
      </c>
      <c r="D53" s="46">
        <f t="shared" si="0"/>
        <v>232.30521773344935</v>
      </c>
      <c r="E53" s="46">
        <f t="shared" si="4"/>
        <v>342169.948347594</v>
      </c>
    </row>
    <row r="54" spans="1:5" ht="14.25">
      <c r="A54" s="5">
        <f t="shared" si="1"/>
        <v>40</v>
      </c>
      <c r="B54" s="46">
        <f t="shared" si="2"/>
        <v>2942.9897251256252</v>
      </c>
      <c r="C54" s="1">
        <f t="shared" si="3"/>
        <v>2708.8454244184527</v>
      </c>
      <c r="D54" s="46">
        <f t="shared" si="0"/>
        <v>234.14430070717253</v>
      </c>
      <c r="E54" s="46">
        <f t="shared" si="4"/>
        <v>341935.80404688686</v>
      </c>
    </row>
    <row r="55" spans="1:5" ht="14.25">
      <c r="A55" s="5">
        <f t="shared" si="1"/>
        <v>41</v>
      </c>
      <c r="B55" s="46">
        <f t="shared" si="2"/>
        <v>2942.9897251256252</v>
      </c>
      <c r="C55" s="1">
        <f t="shared" si="3"/>
        <v>2706.9917820378546</v>
      </c>
      <c r="D55" s="46">
        <f t="shared" si="0"/>
        <v>235.99794308777064</v>
      </c>
      <c r="E55" s="46">
        <f t="shared" si="4"/>
        <v>341699.8061037991</v>
      </c>
    </row>
    <row r="56" spans="1:5" ht="14.25">
      <c r="A56" s="5">
        <f t="shared" si="1"/>
        <v>42</v>
      </c>
      <c r="B56" s="46">
        <f t="shared" si="2"/>
        <v>2942.9897251256252</v>
      </c>
      <c r="C56" s="1">
        <f t="shared" si="3"/>
        <v>2705.1234649884095</v>
      </c>
      <c r="D56" s="46">
        <f t="shared" si="0"/>
        <v>237.8662601372157</v>
      </c>
      <c r="E56" s="46">
        <f t="shared" si="4"/>
        <v>341461.93984366185</v>
      </c>
    </row>
    <row r="57" spans="1:5" ht="14.25">
      <c r="A57" s="5">
        <f t="shared" si="1"/>
        <v>43</v>
      </c>
      <c r="B57" s="46">
        <f t="shared" si="2"/>
        <v>2942.9897251256252</v>
      </c>
      <c r="C57" s="1">
        <f t="shared" si="3"/>
        <v>2703.2403570956567</v>
      </c>
      <c r="D57" s="46">
        <f t="shared" si="0"/>
        <v>239.74936802996854</v>
      </c>
      <c r="E57" s="46">
        <f t="shared" si="4"/>
        <v>341222.19047563185</v>
      </c>
    </row>
    <row r="58" spans="1:5" ht="14.25">
      <c r="A58" s="5">
        <f t="shared" si="1"/>
        <v>44</v>
      </c>
      <c r="B58" s="46">
        <f t="shared" si="2"/>
        <v>2942.9897251256252</v>
      </c>
      <c r="C58" s="1">
        <f t="shared" si="3"/>
        <v>2701.3423412654192</v>
      </c>
      <c r="D58" s="46">
        <f t="shared" si="0"/>
        <v>241.647383860206</v>
      </c>
      <c r="E58" s="46">
        <f t="shared" si="4"/>
        <v>340980.54309177166</v>
      </c>
    </row>
    <row r="59" spans="1:5" ht="14.25">
      <c r="A59" s="5">
        <f t="shared" si="1"/>
        <v>45</v>
      </c>
      <c r="B59" s="46">
        <f t="shared" si="2"/>
        <v>2942.9897251256252</v>
      </c>
      <c r="C59" s="1">
        <f t="shared" si="3"/>
        <v>2699.429299476526</v>
      </c>
      <c r="D59" s="46">
        <f t="shared" si="0"/>
        <v>243.56042564909922</v>
      </c>
      <c r="E59" s="46">
        <f t="shared" si="4"/>
        <v>340736.98266612255</v>
      </c>
    </row>
    <row r="60" spans="1:5" ht="14.25">
      <c r="A60" s="5">
        <f t="shared" si="1"/>
        <v>46</v>
      </c>
      <c r="B60" s="46">
        <f t="shared" si="2"/>
        <v>2942.9897251256252</v>
      </c>
      <c r="C60" s="1">
        <f t="shared" si="3"/>
        <v>2697.5011127734706</v>
      </c>
      <c r="D60" s="46">
        <f t="shared" si="0"/>
        <v>245.48861235215463</v>
      </c>
      <c r="E60" s="46">
        <f t="shared" si="4"/>
        <v>340491.4940537704</v>
      </c>
    </row>
    <row r="61" spans="1:5" ht="14.25">
      <c r="A61" s="5">
        <f t="shared" si="1"/>
        <v>47</v>
      </c>
      <c r="B61" s="46">
        <f t="shared" si="2"/>
        <v>2942.9897251256252</v>
      </c>
      <c r="C61" s="1">
        <f t="shared" si="3"/>
        <v>2695.5576612590157</v>
      </c>
      <c r="D61" s="46">
        <f t="shared" si="0"/>
        <v>247.4320638666095</v>
      </c>
      <c r="E61" s="46">
        <f t="shared" si="4"/>
        <v>340244.0619899038</v>
      </c>
    </row>
    <row r="62" spans="1:5" ht="14.25">
      <c r="A62" s="5">
        <f t="shared" si="1"/>
        <v>48</v>
      </c>
      <c r="B62" s="46">
        <f t="shared" si="2"/>
        <v>2942.9897251256252</v>
      </c>
      <c r="C62" s="1">
        <f t="shared" si="3"/>
        <v>2693.5988240867387</v>
      </c>
      <c r="D62" s="46">
        <f t="shared" si="0"/>
        <v>249.39090103888657</v>
      </c>
      <c r="E62" s="46">
        <f t="shared" si="4"/>
        <v>339994.6710888649</v>
      </c>
    </row>
    <row r="63" spans="1:5" ht="14.25">
      <c r="A63" s="5">
        <f t="shared" si="1"/>
        <v>49</v>
      </c>
      <c r="B63" s="46">
        <f t="shared" si="2"/>
        <v>2942.9897251256252</v>
      </c>
      <c r="C63" s="1">
        <f t="shared" si="3"/>
        <v>2691.624479453514</v>
      </c>
      <c r="D63" s="46">
        <f t="shared" si="0"/>
        <v>251.3652456721111</v>
      </c>
      <c r="E63" s="46">
        <f t="shared" si="4"/>
        <v>339743.3058431928</v>
      </c>
    </row>
    <row r="64" spans="1:5" ht="14.25">
      <c r="A64" s="5">
        <f t="shared" si="1"/>
        <v>50</v>
      </c>
      <c r="B64" s="46">
        <f t="shared" si="2"/>
        <v>2942.9897251256252</v>
      </c>
      <c r="C64" s="1">
        <f t="shared" si="3"/>
        <v>2689.6345045919434</v>
      </c>
      <c r="D64" s="46">
        <f t="shared" si="0"/>
        <v>253.35522053368186</v>
      </c>
      <c r="E64" s="46">
        <f t="shared" si="4"/>
        <v>339489.9506226591</v>
      </c>
    </row>
    <row r="65" spans="1:5" ht="14.25">
      <c r="A65" s="5">
        <f t="shared" si="1"/>
        <v>51</v>
      </c>
      <c r="B65" s="46">
        <f t="shared" si="2"/>
        <v>2942.9897251256252</v>
      </c>
      <c r="C65" s="1">
        <f t="shared" si="3"/>
        <v>2687.6287757627183</v>
      </c>
      <c r="D65" s="46">
        <f t="shared" si="0"/>
        <v>255.36094936290692</v>
      </c>
      <c r="E65" s="46">
        <f t="shared" si="4"/>
        <v>339234.5896732962</v>
      </c>
    </row>
    <row r="66" spans="1:5" ht="14.25">
      <c r="A66" s="5">
        <f t="shared" si="1"/>
        <v>52</v>
      </c>
      <c r="B66" s="46">
        <f t="shared" si="2"/>
        <v>2942.9897251256252</v>
      </c>
      <c r="C66" s="1">
        <f t="shared" si="3"/>
        <v>2685.6071682469283</v>
      </c>
      <c r="D66" s="46">
        <f t="shared" si="0"/>
        <v>257.38255687869696</v>
      </c>
      <c r="E66" s="46">
        <f t="shared" si="4"/>
        <v>338977.2071164175</v>
      </c>
    </row>
    <row r="67" spans="1:5" ht="14.25">
      <c r="A67" s="5">
        <f t="shared" si="1"/>
        <v>53</v>
      </c>
      <c r="B67" s="46">
        <f t="shared" si="2"/>
        <v>2942.9897251256252</v>
      </c>
      <c r="C67" s="1">
        <f t="shared" si="3"/>
        <v>2683.5695563383056</v>
      </c>
      <c r="D67" s="46">
        <f t="shared" si="0"/>
        <v>259.42016878731965</v>
      </c>
      <c r="E67" s="46">
        <f t="shared" si="4"/>
        <v>338717.78694763023</v>
      </c>
    </row>
    <row r="68" spans="1:5" ht="14.25">
      <c r="A68" s="5">
        <f t="shared" si="1"/>
        <v>54</v>
      </c>
      <c r="B68" s="46">
        <f t="shared" si="2"/>
        <v>2942.9897251256252</v>
      </c>
      <c r="C68" s="1">
        <f t="shared" si="3"/>
        <v>2681.515813335406</v>
      </c>
      <c r="D68" s="46">
        <f t="shared" si="0"/>
        <v>261.47391179021906</v>
      </c>
      <c r="E68" s="46">
        <f t="shared" si="4"/>
        <v>338456.31303584</v>
      </c>
    </row>
    <row r="69" spans="1:5" ht="14.25">
      <c r="A69" s="5">
        <f t="shared" si="1"/>
        <v>55</v>
      </c>
      <c r="B69" s="46">
        <f t="shared" si="2"/>
        <v>2942.9897251256252</v>
      </c>
      <c r="C69" s="1">
        <f t="shared" si="3"/>
        <v>2679.4458115337334</v>
      </c>
      <c r="D69" s="46">
        <f t="shared" si="0"/>
        <v>263.54391359189185</v>
      </c>
      <c r="E69" s="46">
        <f t="shared" si="4"/>
        <v>338192.7691222481</v>
      </c>
    </row>
    <row r="70" spans="1:5" ht="14.25">
      <c r="A70" s="5">
        <f t="shared" si="1"/>
        <v>56</v>
      </c>
      <c r="B70" s="46">
        <f t="shared" si="2"/>
        <v>2942.9897251256252</v>
      </c>
      <c r="C70" s="1">
        <f t="shared" si="3"/>
        <v>2677.3594222177976</v>
      </c>
      <c r="D70" s="46">
        <f t="shared" si="0"/>
        <v>265.6303029078276</v>
      </c>
      <c r="E70" s="46">
        <f t="shared" si="4"/>
        <v>337927.13881934027</v>
      </c>
    </row>
    <row r="71" spans="1:5" ht="14.25">
      <c r="A71" s="5">
        <f t="shared" si="1"/>
        <v>57</v>
      </c>
      <c r="B71" s="46">
        <f t="shared" si="2"/>
        <v>2942.9897251256252</v>
      </c>
      <c r="C71" s="1">
        <f t="shared" si="3"/>
        <v>2675.2565156531105</v>
      </c>
      <c r="D71" s="46">
        <f t="shared" si="0"/>
        <v>267.7332094725148</v>
      </c>
      <c r="E71" s="46">
        <f t="shared" si="4"/>
        <v>337659.40560986777</v>
      </c>
    </row>
    <row r="72" spans="1:5" ht="14.25">
      <c r="A72" s="5">
        <f t="shared" si="1"/>
        <v>58</v>
      </c>
      <c r="B72" s="46">
        <f t="shared" si="2"/>
        <v>2942.9897251256252</v>
      </c>
      <c r="C72" s="1">
        <f t="shared" si="3"/>
        <v>2673.13696107812</v>
      </c>
      <c r="D72" s="46">
        <f t="shared" si="0"/>
        <v>269.8527640475054</v>
      </c>
      <c r="E72" s="46">
        <f t="shared" si="4"/>
        <v>337389.55284582026</v>
      </c>
    </row>
    <row r="73" spans="1:5" ht="14.25">
      <c r="A73" s="5">
        <f t="shared" si="1"/>
        <v>59</v>
      </c>
      <c r="B73" s="46">
        <f t="shared" si="2"/>
        <v>2942.9897251256252</v>
      </c>
      <c r="C73" s="1">
        <f t="shared" si="3"/>
        <v>2671.0006266960772</v>
      </c>
      <c r="D73" s="46">
        <f t="shared" si="0"/>
        <v>271.989098429548</v>
      </c>
      <c r="E73" s="46">
        <f t="shared" si="4"/>
        <v>337117.5637473907</v>
      </c>
    </row>
    <row r="74" spans="1:5" ht="14.25">
      <c r="A74" s="5">
        <f t="shared" si="1"/>
        <v>60</v>
      </c>
      <c r="B74" s="46">
        <f t="shared" si="2"/>
        <v>2942.9897251256252</v>
      </c>
      <c r="C74" s="1">
        <f t="shared" si="3"/>
        <v>2668.847379666843</v>
      </c>
      <c r="D74" s="46">
        <f t="shared" si="0"/>
        <v>274.1423454587821</v>
      </c>
      <c r="E74" s="46">
        <f t="shared" si="4"/>
        <v>336843.4214019319</v>
      </c>
    </row>
    <row r="75" spans="1:5" ht="14.25">
      <c r="A75" s="5">
        <f t="shared" si="1"/>
        <v>61</v>
      </c>
      <c r="B75" s="46">
        <f t="shared" si="2"/>
        <v>2942.9897251256252</v>
      </c>
      <c r="C75" s="1">
        <f t="shared" si="3"/>
        <v>2666.677086098628</v>
      </c>
      <c r="D75" s="46">
        <f t="shared" si="0"/>
        <v>276.3126390269972</v>
      </c>
      <c r="E75" s="46">
        <f t="shared" si="4"/>
        <v>336567.1087629049</v>
      </c>
    </row>
    <row r="76" spans="1:5" ht="14.25">
      <c r="A76" s="5">
        <f t="shared" si="1"/>
        <v>62</v>
      </c>
      <c r="B76" s="46">
        <f t="shared" si="2"/>
        <v>2942.9897251256252</v>
      </c>
      <c r="C76" s="1">
        <f t="shared" si="3"/>
        <v>2664.489611039664</v>
      </c>
      <c r="D76" s="46">
        <f t="shared" si="0"/>
        <v>278.5001140859613</v>
      </c>
      <c r="E76" s="46">
        <f t="shared" si="4"/>
        <v>336288.6086488189</v>
      </c>
    </row>
    <row r="77" spans="1:5" ht="14.25">
      <c r="A77" s="5">
        <f t="shared" si="1"/>
        <v>63</v>
      </c>
      <c r="B77" s="46">
        <f t="shared" si="2"/>
        <v>2942.9897251256252</v>
      </c>
      <c r="C77" s="1">
        <f t="shared" si="3"/>
        <v>2662.284818469817</v>
      </c>
      <c r="D77" s="46">
        <f t="shared" si="0"/>
        <v>280.7049066558084</v>
      </c>
      <c r="E77" s="46">
        <f t="shared" si="4"/>
        <v>336007.9037421631</v>
      </c>
    </row>
    <row r="78" spans="1:5" ht="14.25">
      <c r="A78" s="5">
        <f t="shared" si="1"/>
        <v>64</v>
      </c>
      <c r="B78" s="46">
        <f t="shared" si="2"/>
        <v>2942.9897251256252</v>
      </c>
      <c r="C78" s="1">
        <f t="shared" si="3"/>
        <v>2660.0625712921246</v>
      </c>
      <c r="D78" s="46">
        <f t="shared" si="0"/>
        <v>282.9271538335006</v>
      </c>
      <c r="E78" s="46">
        <f t="shared" si="4"/>
        <v>335724.9765883296</v>
      </c>
    </row>
    <row r="79" spans="1:5" ht="14.25">
      <c r="A79" s="5">
        <f t="shared" si="1"/>
        <v>65</v>
      </c>
      <c r="B79" s="46">
        <f t="shared" si="2"/>
        <v>2942.9897251256252</v>
      </c>
      <c r="C79" s="1">
        <f t="shared" si="3"/>
        <v>2657.822731324276</v>
      </c>
      <c r="D79" s="46">
        <f aca="true" t="shared" si="5" ref="D79:D142">B79-C79</f>
        <v>285.16699380134924</v>
      </c>
      <c r="E79" s="46">
        <f t="shared" si="4"/>
        <v>335439.8095945282</v>
      </c>
    </row>
    <row r="80" spans="1:5" ht="14.25">
      <c r="A80" s="5">
        <f aca="true" t="shared" si="6" ref="A80:A143">A79+1</f>
        <v>66</v>
      </c>
      <c r="B80" s="46">
        <f aca="true" t="shared" si="7" ref="B80:B143">-$B$9</f>
        <v>2942.9897251256252</v>
      </c>
      <c r="C80" s="1">
        <f aca="true" t="shared" si="8" ref="C80:C143">E79*$B$6</f>
        <v>2655.5651592900153</v>
      </c>
      <c r="D80" s="46">
        <f t="shared" si="5"/>
        <v>287.4245658356099</v>
      </c>
      <c r="E80" s="46">
        <f aca="true" t="shared" si="9" ref="E80:E143">E79-D80</f>
        <v>335152.3850286926</v>
      </c>
    </row>
    <row r="81" spans="1:5" ht="14.25">
      <c r="A81" s="5">
        <f t="shared" si="6"/>
        <v>67</v>
      </c>
      <c r="B81" s="46">
        <f t="shared" si="7"/>
        <v>2942.9897251256252</v>
      </c>
      <c r="C81" s="1">
        <f t="shared" si="8"/>
        <v>2653.2897148104835</v>
      </c>
      <c r="D81" s="46">
        <f t="shared" si="5"/>
        <v>289.70001031514175</v>
      </c>
      <c r="E81" s="46">
        <f t="shared" si="9"/>
        <v>334862.68501837744</v>
      </c>
    </row>
    <row r="82" spans="1:5" ht="14.25">
      <c r="A82" s="5">
        <f t="shared" si="6"/>
        <v>68</v>
      </c>
      <c r="B82" s="46">
        <f t="shared" si="7"/>
        <v>2942.9897251256252</v>
      </c>
      <c r="C82" s="1">
        <f t="shared" si="8"/>
        <v>2650.996256395488</v>
      </c>
      <c r="D82" s="46">
        <f t="shared" si="5"/>
        <v>291.993468730137</v>
      </c>
      <c r="E82" s="46">
        <f t="shared" si="9"/>
        <v>334570.6915496473</v>
      </c>
    </row>
    <row r="83" spans="1:5" ht="14.25">
      <c r="A83" s="5">
        <f t="shared" si="6"/>
        <v>69</v>
      </c>
      <c r="B83" s="46">
        <f t="shared" si="7"/>
        <v>2942.9897251256252</v>
      </c>
      <c r="C83" s="1">
        <f t="shared" si="8"/>
        <v>2648.6846414347083</v>
      </c>
      <c r="D83" s="46">
        <f t="shared" si="5"/>
        <v>294.30508369091694</v>
      </c>
      <c r="E83" s="46">
        <f t="shared" si="9"/>
        <v>334276.3864659564</v>
      </c>
    </row>
    <row r="84" spans="1:5" ht="14.25">
      <c r="A84" s="5">
        <f t="shared" si="6"/>
        <v>70</v>
      </c>
      <c r="B84" s="46">
        <f t="shared" si="7"/>
        <v>2942.9897251256252</v>
      </c>
      <c r="C84" s="1">
        <f t="shared" si="8"/>
        <v>2646.3547261888216</v>
      </c>
      <c r="D84" s="46">
        <f t="shared" si="5"/>
        <v>296.63499893680364</v>
      </c>
      <c r="E84" s="46">
        <f t="shared" si="9"/>
        <v>333979.7514670196</v>
      </c>
    </row>
    <row r="85" spans="1:5" ht="14.25">
      <c r="A85" s="5">
        <f t="shared" si="6"/>
        <v>71</v>
      </c>
      <c r="B85" s="46">
        <f t="shared" si="7"/>
        <v>2942.9897251256252</v>
      </c>
      <c r="C85" s="1">
        <f t="shared" si="8"/>
        <v>2644.006365780572</v>
      </c>
      <c r="D85" s="46">
        <f t="shared" si="5"/>
        <v>298.98335934505303</v>
      </c>
      <c r="E85" s="46">
        <f t="shared" si="9"/>
        <v>333680.76810767455</v>
      </c>
    </row>
    <row r="86" spans="1:5" ht="14.25">
      <c r="A86" s="5">
        <f t="shared" si="6"/>
        <v>72</v>
      </c>
      <c r="B86" s="46">
        <f t="shared" si="7"/>
        <v>2942.9897251256252</v>
      </c>
      <c r="C86" s="1">
        <f t="shared" si="8"/>
        <v>2641.6394141857572</v>
      </c>
      <c r="D86" s="46">
        <f t="shared" si="5"/>
        <v>301.350310939868</v>
      </c>
      <c r="E86" s="46">
        <f t="shared" si="9"/>
        <v>333379.41779673466</v>
      </c>
    </row>
    <row r="87" spans="1:5" ht="14.25">
      <c r="A87" s="5">
        <f t="shared" si="6"/>
        <v>73</v>
      </c>
      <c r="B87" s="46">
        <f t="shared" si="7"/>
        <v>2942.9897251256252</v>
      </c>
      <c r="C87" s="1">
        <f t="shared" si="8"/>
        <v>2639.2537242241497</v>
      </c>
      <c r="D87" s="46">
        <f t="shared" si="5"/>
        <v>303.73600090147556</v>
      </c>
      <c r="E87" s="46">
        <f t="shared" si="9"/>
        <v>333075.68179583317</v>
      </c>
    </row>
    <row r="88" spans="1:5" ht="14.25">
      <c r="A88" s="5">
        <f t="shared" si="6"/>
        <v>74</v>
      </c>
      <c r="B88" s="46">
        <f t="shared" si="7"/>
        <v>2942.9897251256252</v>
      </c>
      <c r="C88" s="1">
        <f t="shared" si="8"/>
        <v>2636.849147550346</v>
      </c>
      <c r="D88" s="46">
        <f t="shared" si="5"/>
        <v>306.14057757527917</v>
      </c>
      <c r="E88" s="46">
        <f t="shared" si="9"/>
        <v>332769.54121825786</v>
      </c>
    </row>
    <row r="89" spans="1:5" ht="14.25">
      <c r="A89" s="5">
        <f t="shared" si="6"/>
        <v>75</v>
      </c>
      <c r="B89" s="46">
        <f t="shared" si="7"/>
        <v>2942.9897251256252</v>
      </c>
      <c r="C89" s="1">
        <f t="shared" si="8"/>
        <v>2634.4255346445416</v>
      </c>
      <c r="D89" s="46">
        <f t="shared" si="5"/>
        <v>308.56419048108364</v>
      </c>
      <c r="E89" s="46">
        <f t="shared" si="9"/>
        <v>332460.97702777677</v>
      </c>
    </row>
    <row r="90" spans="1:5" ht="14.25">
      <c r="A90" s="5">
        <f t="shared" si="6"/>
        <v>76</v>
      </c>
      <c r="B90" s="46">
        <f t="shared" si="7"/>
        <v>2942.9897251256252</v>
      </c>
      <c r="C90" s="1">
        <f t="shared" si="8"/>
        <v>2631.982734803233</v>
      </c>
      <c r="D90" s="46">
        <f t="shared" si="5"/>
        <v>311.0069903223921</v>
      </c>
      <c r="E90" s="46">
        <f t="shared" si="9"/>
        <v>332149.9700374544</v>
      </c>
    </row>
    <row r="91" spans="1:5" ht="14.25">
      <c r="A91" s="5">
        <f t="shared" si="6"/>
        <v>77</v>
      </c>
      <c r="B91" s="46">
        <f t="shared" si="7"/>
        <v>2942.9897251256252</v>
      </c>
      <c r="C91" s="1">
        <f t="shared" si="8"/>
        <v>2629.5205961298475</v>
      </c>
      <c r="D91" s="46">
        <f t="shared" si="5"/>
        <v>313.46912899577774</v>
      </c>
      <c r="E91" s="46">
        <f t="shared" si="9"/>
        <v>331836.5009084586</v>
      </c>
    </row>
    <row r="92" spans="1:5" ht="14.25">
      <c r="A92" s="5">
        <f t="shared" si="6"/>
        <v>78</v>
      </c>
      <c r="B92" s="46">
        <f t="shared" si="7"/>
        <v>2942.9897251256252</v>
      </c>
      <c r="C92" s="1">
        <f t="shared" si="8"/>
        <v>2627.0389655252975</v>
      </c>
      <c r="D92" s="46">
        <f t="shared" si="5"/>
        <v>315.95075960032773</v>
      </c>
      <c r="E92" s="46">
        <f t="shared" si="9"/>
        <v>331520.5501488583</v>
      </c>
    </row>
    <row r="93" spans="1:5" ht="14.25">
      <c r="A93" s="5">
        <f t="shared" si="6"/>
        <v>79</v>
      </c>
      <c r="B93" s="46">
        <f t="shared" si="7"/>
        <v>2942.9897251256252</v>
      </c>
      <c r="C93" s="1">
        <f t="shared" si="8"/>
        <v>2624.5376886784616</v>
      </c>
      <c r="D93" s="46">
        <f t="shared" si="5"/>
        <v>318.45203644716366</v>
      </c>
      <c r="E93" s="46">
        <f t="shared" si="9"/>
        <v>331202.0981124111</v>
      </c>
    </row>
    <row r="94" spans="1:5" ht="14.25">
      <c r="A94" s="5">
        <f t="shared" si="6"/>
        <v>80</v>
      </c>
      <c r="B94" s="46">
        <f t="shared" si="7"/>
        <v>2942.9897251256252</v>
      </c>
      <c r="C94" s="1">
        <f t="shared" si="8"/>
        <v>2622.016610056588</v>
      </c>
      <c r="D94" s="46">
        <f t="shared" si="5"/>
        <v>320.97311506903725</v>
      </c>
      <c r="E94" s="46">
        <f t="shared" si="9"/>
        <v>330881.12499734206</v>
      </c>
    </row>
    <row r="95" spans="1:5" ht="14.25">
      <c r="A95" s="5">
        <f t="shared" si="6"/>
        <v>81</v>
      </c>
      <c r="B95" s="46">
        <f t="shared" si="7"/>
        <v>2942.9897251256252</v>
      </c>
      <c r="C95" s="1">
        <f t="shared" si="8"/>
        <v>2619.4755728956247</v>
      </c>
      <c r="D95" s="46">
        <f t="shared" si="5"/>
        <v>323.5141522300005</v>
      </c>
      <c r="E95" s="46">
        <f t="shared" si="9"/>
        <v>330557.61084511207</v>
      </c>
    </row>
    <row r="96" spans="1:5" ht="14.25">
      <c r="A96" s="5">
        <f t="shared" si="6"/>
        <v>82</v>
      </c>
      <c r="B96" s="46">
        <f t="shared" si="7"/>
        <v>2942.9897251256252</v>
      </c>
      <c r="C96" s="1">
        <f t="shared" si="8"/>
        <v>2616.9144191904707</v>
      </c>
      <c r="D96" s="46">
        <f t="shared" si="5"/>
        <v>326.0753059351546</v>
      </c>
      <c r="E96" s="46">
        <f t="shared" si="9"/>
        <v>330231.5355391769</v>
      </c>
    </row>
    <row r="97" spans="1:5" ht="14.25">
      <c r="A97" s="5">
        <f t="shared" si="6"/>
        <v>83</v>
      </c>
      <c r="B97" s="46">
        <f t="shared" si="7"/>
        <v>2942.9897251256252</v>
      </c>
      <c r="C97" s="1">
        <f t="shared" si="8"/>
        <v>2614.3329896851506</v>
      </c>
      <c r="D97" s="46">
        <f t="shared" si="5"/>
        <v>328.6567354404747</v>
      </c>
      <c r="E97" s="46">
        <f t="shared" si="9"/>
        <v>329902.8788037364</v>
      </c>
    </row>
    <row r="98" spans="1:5" ht="14.25">
      <c r="A98" s="5">
        <f t="shared" si="6"/>
        <v>84</v>
      </c>
      <c r="B98" s="46">
        <f t="shared" si="7"/>
        <v>2942.9897251256252</v>
      </c>
      <c r="C98" s="1">
        <f t="shared" si="8"/>
        <v>2611.7311238629136</v>
      </c>
      <c r="D98" s="46">
        <f t="shared" si="5"/>
        <v>331.25860126271164</v>
      </c>
      <c r="E98" s="46">
        <f t="shared" si="9"/>
        <v>329571.6202024737</v>
      </c>
    </row>
    <row r="99" spans="1:5" ht="14.25">
      <c r="A99" s="5">
        <f t="shared" si="6"/>
        <v>85</v>
      </c>
      <c r="B99" s="46">
        <f t="shared" si="7"/>
        <v>2942.9897251256252</v>
      </c>
      <c r="C99" s="1">
        <f t="shared" si="8"/>
        <v>2609.1086599362507</v>
      </c>
      <c r="D99" s="46">
        <f t="shared" si="5"/>
        <v>333.88106518937457</v>
      </c>
      <c r="E99" s="46">
        <f t="shared" si="9"/>
        <v>329237.73913728434</v>
      </c>
    </row>
    <row r="100" spans="1:5" ht="14.25">
      <c r="A100" s="5">
        <f t="shared" si="6"/>
        <v>86</v>
      </c>
      <c r="B100" s="46">
        <f t="shared" si="7"/>
        <v>2942.9897251256252</v>
      </c>
      <c r="C100" s="1">
        <f t="shared" si="8"/>
        <v>2606.4654348368344</v>
      </c>
      <c r="D100" s="46">
        <f t="shared" si="5"/>
        <v>336.5242902887908</v>
      </c>
      <c r="E100" s="46">
        <f t="shared" si="9"/>
        <v>328901.21484699554</v>
      </c>
    </row>
    <row r="101" spans="1:5" ht="14.25">
      <c r="A101" s="5">
        <f t="shared" si="6"/>
        <v>87</v>
      </c>
      <c r="B101" s="46">
        <f t="shared" si="7"/>
        <v>2942.9897251256252</v>
      </c>
      <c r="C101" s="1">
        <f t="shared" si="8"/>
        <v>2603.8012842053818</v>
      </c>
      <c r="D101" s="46">
        <f t="shared" si="5"/>
        <v>339.18844092024347</v>
      </c>
      <c r="E101" s="46">
        <f t="shared" si="9"/>
        <v>328562.0264060753</v>
      </c>
    </row>
    <row r="102" spans="1:5" ht="14.25">
      <c r="A102" s="5">
        <f t="shared" si="6"/>
        <v>88</v>
      </c>
      <c r="B102" s="46">
        <f t="shared" si="7"/>
        <v>2942.9897251256252</v>
      </c>
      <c r="C102" s="1">
        <f t="shared" si="8"/>
        <v>2601.1160423814295</v>
      </c>
      <c r="D102" s="46">
        <f t="shared" si="5"/>
        <v>341.8736827441958</v>
      </c>
      <c r="E102" s="46">
        <f t="shared" si="9"/>
        <v>328220.15272333106</v>
      </c>
    </row>
    <row r="103" spans="1:5" ht="14.25">
      <c r="A103" s="5">
        <f t="shared" si="6"/>
        <v>89</v>
      </c>
      <c r="B103" s="46">
        <f t="shared" si="7"/>
        <v>2942.9897251256252</v>
      </c>
      <c r="C103" s="1">
        <f t="shared" si="8"/>
        <v>2598.409542393038</v>
      </c>
      <c r="D103" s="46">
        <f t="shared" si="5"/>
        <v>344.5801827325872</v>
      </c>
      <c r="E103" s="46">
        <f t="shared" si="9"/>
        <v>327875.57254059846</v>
      </c>
    </row>
    <row r="104" spans="1:5" ht="14.25">
      <c r="A104" s="5">
        <f t="shared" si="6"/>
        <v>90</v>
      </c>
      <c r="B104" s="46">
        <f t="shared" si="7"/>
        <v>2942.9897251256252</v>
      </c>
      <c r="C104" s="1">
        <f t="shared" si="8"/>
        <v>2595.6816159464047</v>
      </c>
      <c r="D104" s="46">
        <f t="shared" si="5"/>
        <v>347.30810917922054</v>
      </c>
      <c r="E104" s="46">
        <f t="shared" si="9"/>
        <v>327528.26443141926</v>
      </c>
    </row>
    <row r="105" spans="1:5" ht="14.25">
      <c r="A105" s="5">
        <f t="shared" si="6"/>
        <v>91</v>
      </c>
      <c r="B105" s="46">
        <f t="shared" si="7"/>
        <v>2942.9897251256252</v>
      </c>
      <c r="C105" s="1">
        <f t="shared" si="8"/>
        <v>2592.9320934154025</v>
      </c>
      <c r="D105" s="46">
        <f t="shared" si="5"/>
        <v>350.0576317102227</v>
      </c>
      <c r="E105" s="46">
        <f t="shared" si="9"/>
        <v>327178.20679970906</v>
      </c>
    </row>
    <row r="106" spans="1:5" ht="14.25">
      <c r="A106" s="5">
        <f t="shared" si="6"/>
        <v>92</v>
      </c>
      <c r="B106" s="46">
        <f t="shared" si="7"/>
        <v>2942.9897251256252</v>
      </c>
      <c r="C106" s="1">
        <f t="shared" si="8"/>
        <v>2590.16080383103</v>
      </c>
      <c r="D106" s="46">
        <f t="shared" si="5"/>
        <v>352.82892129459515</v>
      </c>
      <c r="E106" s="46">
        <f t="shared" si="9"/>
        <v>326825.37787841447</v>
      </c>
    </row>
    <row r="107" spans="1:5" ht="14.25">
      <c r="A107" s="5">
        <f t="shared" si="6"/>
        <v>93</v>
      </c>
      <c r="B107" s="46">
        <f t="shared" si="7"/>
        <v>2942.9897251256252</v>
      </c>
      <c r="C107" s="1">
        <f t="shared" si="8"/>
        <v>2587.3675748707815</v>
      </c>
      <c r="D107" s="46">
        <f t="shared" si="5"/>
        <v>355.62215025484375</v>
      </c>
      <c r="E107" s="46">
        <f t="shared" si="9"/>
        <v>326469.7557281596</v>
      </c>
    </row>
    <row r="108" spans="1:5" ht="14.25">
      <c r="A108" s="5">
        <f t="shared" si="6"/>
        <v>94</v>
      </c>
      <c r="B108" s="46">
        <f t="shared" si="7"/>
        <v>2942.9897251256252</v>
      </c>
      <c r="C108" s="1">
        <f t="shared" si="8"/>
        <v>2584.5522328479306</v>
      </c>
      <c r="D108" s="46">
        <f t="shared" si="5"/>
        <v>358.4374922776947</v>
      </c>
      <c r="E108" s="46">
        <f t="shared" si="9"/>
        <v>326111.3182358819</v>
      </c>
    </row>
    <row r="109" spans="1:5" ht="14.25">
      <c r="A109" s="5">
        <f t="shared" si="6"/>
        <v>95</v>
      </c>
      <c r="B109" s="46">
        <f t="shared" si="7"/>
        <v>2942.9897251256252</v>
      </c>
      <c r="C109" s="1">
        <f t="shared" si="8"/>
        <v>2581.714602700732</v>
      </c>
      <c r="D109" s="46">
        <f t="shared" si="5"/>
        <v>361.2751224248932</v>
      </c>
      <c r="E109" s="46">
        <f t="shared" si="9"/>
        <v>325750.04311345704</v>
      </c>
    </row>
    <row r="110" spans="1:5" ht="14.25">
      <c r="A110" s="5">
        <f t="shared" si="6"/>
        <v>96</v>
      </c>
      <c r="B110" s="46">
        <f t="shared" si="7"/>
        <v>2942.9897251256252</v>
      </c>
      <c r="C110" s="1">
        <f t="shared" si="8"/>
        <v>2578.8545079815353</v>
      </c>
      <c r="D110" s="46">
        <f t="shared" si="5"/>
        <v>364.1352171440899</v>
      </c>
      <c r="E110" s="46">
        <f t="shared" si="9"/>
        <v>325385.90789631294</v>
      </c>
    </row>
    <row r="111" spans="1:5" ht="14.25">
      <c r="A111" s="5">
        <f t="shared" si="6"/>
        <v>97</v>
      </c>
      <c r="B111" s="46">
        <f t="shared" si="7"/>
        <v>2942.9897251256252</v>
      </c>
      <c r="C111" s="1">
        <f t="shared" si="8"/>
        <v>2575.971770845811</v>
      </c>
      <c r="D111" s="46">
        <f t="shared" si="5"/>
        <v>367.01795427981415</v>
      </c>
      <c r="E111" s="46">
        <f t="shared" si="9"/>
        <v>325018.8899420331</v>
      </c>
    </row>
    <row r="112" spans="1:5" ht="14.25">
      <c r="A112" s="5">
        <f t="shared" si="6"/>
        <v>98</v>
      </c>
      <c r="B112" s="46">
        <f t="shared" si="7"/>
        <v>2942.9897251256252</v>
      </c>
      <c r="C112" s="1">
        <f t="shared" si="8"/>
        <v>2573.0662120410957</v>
      </c>
      <c r="D112" s="46">
        <f t="shared" si="5"/>
        <v>369.92351308452953</v>
      </c>
      <c r="E112" s="46">
        <f t="shared" si="9"/>
        <v>324648.96642894857</v>
      </c>
    </row>
    <row r="113" spans="1:5" ht="14.25">
      <c r="A113" s="5">
        <f t="shared" si="6"/>
        <v>99</v>
      </c>
      <c r="B113" s="46">
        <f t="shared" si="7"/>
        <v>2942.9897251256252</v>
      </c>
      <c r="C113" s="1">
        <f t="shared" si="8"/>
        <v>2570.137650895843</v>
      </c>
      <c r="D113" s="46">
        <f t="shared" si="5"/>
        <v>372.8520742297824</v>
      </c>
      <c r="E113" s="46">
        <f t="shared" si="9"/>
        <v>324276.11435471877</v>
      </c>
    </row>
    <row r="114" spans="1:5" ht="14.25">
      <c r="A114" s="5">
        <f t="shared" si="6"/>
        <v>100</v>
      </c>
      <c r="B114" s="46">
        <f t="shared" si="7"/>
        <v>2942.9897251256252</v>
      </c>
      <c r="C114" s="1">
        <f t="shared" si="8"/>
        <v>2567.1859053081903</v>
      </c>
      <c r="D114" s="46">
        <f t="shared" si="5"/>
        <v>375.80381981743494</v>
      </c>
      <c r="E114" s="46">
        <f t="shared" si="9"/>
        <v>323900.31053490133</v>
      </c>
    </row>
    <row r="115" spans="1:5" ht="14.25">
      <c r="A115" s="5">
        <f t="shared" si="6"/>
        <v>101</v>
      </c>
      <c r="B115" s="46">
        <f t="shared" si="7"/>
        <v>2942.9897251256252</v>
      </c>
      <c r="C115" s="1">
        <f t="shared" si="8"/>
        <v>2564.2107917346357</v>
      </c>
      <c r="D115" s="46">
        <f t="shared" si="5"/>
        <v>378.77893339098955</v>
      </c>
      <c r="E115" s="46">
        <f t="shared" si="9"/>
        <v>323521.53160151036</v>
      </c>
    </row>
    <row r="116" spans="1:5" ht="14.25">
      <c r="A116" s="5">
        <f t="shared" si="6"/>
        <v>102</v>
      </c>
      <c r="B116" s="46">
        <f t="shared" si="7"/>
        <v>2942.9897251256252</v>
      </c>
      <c r="C116" s="1">
        <f t="shared" si="8"/>
        <v>2561.212125178624</v>
      </c>
      <c r="D116" s="46">
        <f t="shared" si="5"/>
        <v>381.77759994700136</v>
      </c>
      <c r="E116" s="46">
        <f t="shared" si="9"/>
        <v>323139.75400156336</v>
      </c>
    </row>
    <row r="117" spans="1:5" ht="14.25">
      <c r="A117" s="5">
        <f t="shared" si="6"/>
        <v>103</v>
      </c>
      <c r="B117" s="46">
        <f t="shared" si="7"/>
        <v>2942.9897251256252</v>
      </c>
      <c r="C117" s="1">
        <f t="shared" si="8"/>
        <v>2558.1897191790435</v>
      </c>
      <c r="D117" s="46">
        <f t="shared" si="5"/>
        <v>384.8000059465817</v>
      </c>
      <c r="E117" s="46">
        <f t="shared" si="9"/>
        <v>322754.95399561676</v>
      </c>
    </row>
    <row r="118" spans="1:5" ht="14.25">
      <c r="A118" s="5">
        <f t="shared" si="6"/>
        <v>104</v>
      </c>
      <c r="B118" s="46">
        <f t="shared" si="7"/>
        <v>2942.9897251256252</v>
      </c>
      <c r="C118" s="1">
        <f t="shared" si="8"/>
        <v>2555.143385798633</v>
      </c>
      <c r="D118" s="46">
        <f t="shared" si="5"/>
        <v>387.84633932699217</v>
      </c>
      <c r="E118" s="46">
        <f t="shared" si="9"/>
        <v>322367.10765628977</v>
      </c>
    </row>
    <row r="119" spans="1:5" ht="14.25">
      <c r="A119" s="5">
        <f t="shared" si="6"/>
        <v>105</v>
      </c>
      <c r="B119" s="46">
        <f t="shared" si="7"/>
        <v>2942.9897251256252</v>
      </c>
      <c r="C119" s="1">
        <f t="shared" si="8"/>
        <v>2552.0729356122943</v>
      </c>
      <c r="D119" s="46">
        <f t="shared" si="5"/>
        <v>390.91678951333097</v>
      </c>
      <c r="E119" s="46">
        <f t="shared" si="9"/>
        <v>321976.19086677645</v>
      </c>
    </row>
    <row r="120" spans="1:5" ht="14.25">
      <c r="A120" s="5">
        <f t="shared" si="6"/>
        <v>106</v>
      </c>
      <c r="B120" s="46">
        <f t="shared" si="7"/>
        <v>2942.9897251256252</v>
      </c>
      <c r="C120" s="1">
        <f t="shared" si="8"/>
        <v>2548.9781776953137</v>
      </c>
      <c r="D120" s="46">
        <f t="shared" si="5"/>
        <v>394.01154743031157</v>
      </c>
      <c r="E120" s="46">
        <f t="shared" si="9"/>
        <v>321582.17931934615</v>
      </c>
    </row>
    <row r="121" spans="1:5" ht="14.25">
      <c r="A121" s="5">
        <f t="shared" si="6"/>
        <v>107</v>
      </c>
      <c r="B121" s="46">
        <f t="shared" si="7"/>
        <v>2942.9897251256252</v>
      </c>
      <c r="C121" s="1">
        <f t="shared" si="8"/>
        <v>2545.8589196114904</v>
      </c>
      <c r="D121" s="46">
        <f t="shared" si="5"/>
        <v>397.13080551413486</v>
      </c>
      <c r="E121" s="46">
        <f t="shared" si="9"/>
        <v>321185.04851383204</v>
      </c>
    </row>
    <row r="122" spans="1:5" ht="14.25">
      <c r="A122" s="5">
        <f t="shared" si="6"/>
        <v>108</v>
      </c>
      <c r="B122" s="46">
        <f t="shared" si="7"/>
        <v>2942.9897251256252</v>
      </c>
      <c r="C122" s="1">
        <f t="shared" si="8"/>
        <v>2542.7149674011707</v>
      </c>
      <c r="D122" s="46">
        <f t="shared" si="5"/>
        <v>400.2747577244545</v>
      </c>
      <c r="E122" s="46">
        <f t="shared" si="9"/>
        <v>320784.7737561076</v>
      </c>
    </row>
    <row r="123" spans="1:5" ht="14.25">
      <c r="A123" s="5">
        <f t="shared" si="6"/>
        <v>109</v>
      </c>
      <c r="B123" s="46">
        <f t="shared" si="7"/>
        <v>2942.9897251256252</v>
      </c>
      <c r="C123" s="1">
        <f t="shared" si="8"/>
        <v>2539.5461255691853</v>
      </c>
      <c r="D123" s="46">
        <f t="shared" si="5"/>
        <v>403.44359955643995</v>
      </c>
      <c r="E123" s="46">
        <f t="shared" si="9"/>
        <v>320381.33015655115</v>
      </c>
    </row>
    <row r="124" spans="1:5" ht="14.25">
      <c r="A124" s="5">
        <f t="shared" si="6"/>
        <v>110</v>
      </c>
      <c r="B124" s="46">
        <f t="shared" si="7"/>
        <v>2942.9897251256252</v>
      </c>
      <c r="C124" s="1">
        <f t="shared" si="8"/>
        <v>2536.352197072697</v>
      </c>
      <c r="D124" s="46">
        <f t="shared" si="5"/>
        <v>406.63752805292825</v>
      </c>
      <c r="E124" s="46">
        <f t="shared" si="9"/>
        <v>319974.69262849825</v>
      </c>
    </row>
    <row r="125" spans="1:5" ht="14.25">
      <c r="A125" s="5">
        <f t="shared" si="6"/>
        <v>111</v>
      </c>
      <c r="B125" s="46">
        <f t="shared" si="7"/>
        <v>2942.9897251256252</v>
      </c>
      <c r="C125" s="1">
        <f t="shared" si="8"/>
        <v>2533.132983308945</v>
      </c>
      <c r="D125" s="46">
        <f t="shared" si="5"/>
        <v>409.85674181668037</v>
      </c>
      <c r="E125" s="46">
        <f t="shared" si="9"/>
        <v>319564.83588668157</v>
      </c>
    </row>
    <row r="126" spans="1:5" ht="14.25">
      <c r="A126" s="5">
        <f t="shared" si="6"/>
        <v>112</v>
      </c>
      <c r="B126" s="46">
        <f t="shared" si="7"/>
        <v>2942.9897251256252</v>
      </c>
      <c r="C126" s="1">
        <f t="shared" si="8"/>
        <v>2529.888284102896</v>
      </c>
      <c r="D126" s="46">
        <f t="shared" si="5"/>
        <v>413.10144102272943</v>
      </c>
      <c r="E126" s="46">
        <f t="shared" si="9"/>
        <v>319151.73444565886</v>
      </c>
    </row>
    <row r="127" spans="1:5" ht="14.25">
      <c r="A127" s="5">
        <f t="shared" si="6"/>
        <v>113</v>
      </c>
      <c r="B127" s="46">
        <f t="shared" si="7"/>
        <v>2942.9897251256252</v>
      </c>
      <c r="C127" s="1">
        <f t="shared" si="8"/>
        <v>2526.6178976947995</v>
      </c>
      <c r="D127" s="46">
        <f t="shared" si="5"/>
        <v>416.37182743082576</v>
      </c>
      <c r="E127" s="46">
        <f t="shared" si="9"/>
        <v>318735.362618228</v>
      </c>
    </row>
    <row r="128" spans="1:5" ht="14.25">
      <c r="A128" s="5">
        <f t="shared" si="6"/>
        <v>114</v>
      </c>
      <c r="B128" s="46">
        <f t="shared" si="7"/>
        <v>2942.9897251256252</v>
      </c>
      <c r="C128" s="1">
        <f t="shared" si="8"/>
        <v>2523.3216207276387</v>
      </c>
      <c r="D128" s="46">
        <f t="shared" si="5"/>
        <v>419.66810439798655</v>
      </c>
      <c r="E128" s="46">
        <f t="shared" si="9"/>
        <v>318315.69451383</v>
      </c>
    </row>
    <row r="129" spans="1:5" ht="14.25">
      <c r="A129" s="5">
        <f t="shared" si="6"/>
        <v>115</v>
      </c>
      <c r="B129" s="46">
        <f t="shared" si="7"/>
        <v>2942.9897251256252</v>
      </c>
      <c r="C129" s="1">
        <f t="shared" si="8"/>
        <v>2519.999248234488</v>
      </c>
      <c r="D129" s="46">
        <f t="shared" si="5"/>
        <v>422.9904768911374</v>
      </c>
      <c r="E129" s="46">
        <f t="shared" si="9"/>
        <v>317892.70403693884</v>
      </c>
    </row>
    <row r="130" spans="1:5" ht="14.25">
      <c r="A130" s="5">
        <f t="shared" si="6"/>
        <v>116</v>
      </c>
      <c r="B130" s="46">
        <f t="shared" si="7"/>
        <v>2942.9897251256252</v>
      </c>
      <c r="C130" s="1">
        <f t="shared" si="8"/>
        <v>2516.650573625766</v>
      </c>
      <c r="D130" s="46">
        <f t="shared" si="5"/>
        <v>426.3391514998593</v>
      </c>
      <c r="E130" s="46">
        <f t="shared" si="9"/>
        <v>317466.364885439</v>
      </c>
    </row>
    <row r="131" spans="1:5" ht="14.25">
      <c r="A131" s="5">
        <f t="shared" si="6"/>
        <v>117</v>
      </c>
      <c r="B131" s="46">
        <f t="shared" si="7"/>
        <v>2942.9897251256252</v>
      </c>
      <c r="C131" s="1">
        <f t="shared" si="8"/>
        <v>2513.275388676392</v>
      </c>
      <c r="D131" s="46">
        <f t="shared" si="5"/>
        <v>429.7143364492331</v>
      </c>
      <c r="E131" s="46">
        <f t="shared" si="9"/>
        <v>317036.65054898977</v>
      </c>
    </row>
    <row r="132" spans="1:5" ht="14.25">
      <c r="A132" s="5">
        <f t="shared" si="6"/>
        <v>118</v>
      </c>
      <c r="B132" s="46">
        <f t="shared" si="7"/>
        <v>2942.9897251256252</v>
      </c>
      <c r="C132" s="1">
        <f t="shared" si="8"/>
        <v>2509.8734835128357</v>
      </c>
      <c r="D132" s="46">
        <f t="shared" si="5"/>
        <v>433.1162416127895</v>
      </c>
      <c r="E132" s="46">
        <f t="shared" si="9"/>
        <v>316603.534307377</v>
      </c>
    </row>
    <row r="133" spans="1:5" ht="14.25">
      <c r="A133" s="5">
        <f t="shared" si="6"/>
        <v>119</v>
      </c>
      <c r="B133" s="46">
        <f t="shared" si="7"/>
        <v>2942.9897251256252</v>
      </c>
      <c r="C133" s="1">
        <f t="shared" si="8"/>
        <v>2506.444646600068</v>
      </c>
      <c r="D133" s="46">
        <f t="shared" si="5"/>
        <v>436.5450785255571</v>
      </c>
      <c r="E133" s="46">
        <f t="shared" si="9"/>
        <v>316166.98922885145</v>
      </c>
    </row>
    <row r="134" spans="1:5" ht="14.25">
      <c r="A134" s="5">
        <f t="shared" si="6"/>
        <v>120</v>
      </c>
      <c r="B134" s="46">
        <f t="shared" si="7"/>
        <v>2942.9897251256252</v>
      </c>
      <c r="C134" s="1">
        <f t="shared" si="8"/>
        <v>2502.9886647284075</v>
      </c>
      <c r="D134" s="46">
        <f t="shared" si="5"/>
        <v>440.00106039721777</v>
      </c>
      <c r="E134" s="46">
        <f t="shared" si="9"/>
        <v>315726.98816845426</v>
      </c>
    </row>
    <row r="135" spans="1:5" ht="14.25">
      <c r="A135" s="5">
        <f t="shared" si="6"/>
        <v>121</v>
      </c>
      <c r="B135" s="46">
        <f t="shared" si="7"/>
        <v>2942.9897251256252</v>
      </c>
      <c r="C135" s="1">
        <f t="shared" si="8"/>
        <v>2499.505323000263</v>
      </c>
      <c r="D135" s="46">
        <f t="shared" si="5"/>
        <v>443.48440212536207</v>
      </c>
      <c r="E135" s="46">
        <f t="shared" si="9"/>
        <v>315283.5037663289</v>
      </c>
    </row>
    <row r="136" spans="1:5" ht="14.25">
      <c r="A136" s="5">
        <f t="shared" si="6"/>
        <v>122</v>
      </c>
      <c r="B136" s="46">
        <f t="shared" si="7"/>
        <v>2942.9897251256252</v>
      </c>
      <c r="C136" s="1">
        <f t="shared" si="8"/>
        <v>2495.994404816771</v>
      </c>
      <c r="D136" s="46">
        <f t="shared" si="5"/>
        <v>446.9953203088544</v>
      </c>
      <c r="E136" s="46">
        <f t="shared" si="9"/>
        <v>314836.5084460201</v>
      </c>
    </row>
    <row r="137" spans="1:5" ht="14.25">
      <c r="A137" s="5">
        <f t="shared" si="6"/>
        <v>123</v>
      </c>
      <c r="B137" s="46">
        <f t="shared" si="7"/>
        <v>2942.9897251256252</v>
      </c>
      <c r="C137" s="1">
        <f t="shared" si="8"/>
        <v>2492.4556918643257</v>
      </c>
      <c r="D137" s="46">
        <f t="shared" si="5"/>
        <v>450.53403326129956</v>
      </c>
      <c r="E137" s="46">
        <f t="shared" si="9"/>
        <v>314385.9744127588</v>
      </c>
    </row>
    <row r="138" spans="1:5" ht="14.25">
      <c r="A138" s="5">
        <f t="shared" si="6"/>
        <v>124</v>
      </c>
      <c r="B138" s="46">
        <f t="shared" si="7"/>
        <v>2942.9897251256252</v>
      </c>
      <c r="C138" s="1">
        <f t="shared" si="8"/>
        <v>2488.8889641010073</v>
      </c>
      <c r="D138" s="46">
        <f t="shared" si="5"/>
        <v>454.1007610246179</v>
      </c>
      <c r="E138" s="46">
        <f t="shared" si="9"/>
        <v>313931.87365173415</v>
      </c>
    </row>
    <row r="139" spans="1:5" ht="14.25">
      <c r="A139" s="5">
        <f t="shared" si="6"/>
        <v>125</v>
      </c>
      <c r="B139" s="46">
        <f t="shared" si="7"/>
        <v>2942.9897251256252</v>
      </c>
      <c r="C139" s="1">
        <f t="shared" si="8"/>
        <v>2485.2939997428957</v>
      </c>
      <c r="D139" s="46">
        <f t="shared" si="5"/>
        <v>457.6957253827295</v>
      </c>
      <c r="E139" s="46">
        <f t="shared" si="9"/>
        <v>313474.17792635143</v>
      </c>
    </row>
    <row r="140" spans="1:5" ht="14.25">
      <c r="A140" s="5">
        <f t="shared" si="6"/>
        <v>126</v>
      </c>
      <c r="B140" s="46">
        <f t="shared" si="7"/>
        <v>2942.9897251256252</v>
      </c>
      <c r="C140" s="1">
        <f t="shared" si="8"/>
        <v>2481.6705752502826</v>
      </c>
      <c r="D140" s="46">
        <f t="shared" si="5"/>
        <v>461.31914987534265</v>
      </c>
      <c r="E140" s="46">
        <f t="shared" si="9"/>
        <v>313012.8587764761</v>
      </c>
    </row>
    <row r="141" spans="1:5" ht="14.25">
      <c r="A141" s="5">
        <f t="shared" si="6"/>
        <v>127</v>
      </c>
      <c r="B141" s="46">
        <f t="shared" si="7"/>
        <v>2942.9897251256252</v>
      </c>
      <c r="C141" s="1">
        <f t="shared" si="8"/>
        <v>2478.0184653137694</v>
      </c>
      <c r="D141" s="46">
        <f t="shared" si="5"/>
        <v>464.9712598118558</v>
      </c>
      <c r="E141" s="46">
        <f t="shared" si="9"/>
        <v>312547.8875166643</v>
      </c>
    </row>
    <row r="142" spans="1:5" ht="14.25">
      <c r="A142" s="5">
        <f t="shared" si="6"/>
        <v>128</v>
      </c>
      <c r="B142" s="46">
        <f t="shared" si="7"/>
        <v>2942.9897251256252</v>
      </c>
      <c r="C142" s="1">
        <f t="shared" si="8"/>
        <v>2474.337442840259</v>
      </c>
      <c r="D142" s="46">
        <f t="shared" si="5"/>
        <v>468.65228228536625</v>
      </c>
      <c r="E142" s="46">
        <f t="shared" si="9"/>
        <v>312079.2352343789</v>
      </c>
    </row>
    <row r="143" spans="1:5" ht="14.25">
      <c r="A143" s="5">
        <f t="shared" si="6"/>
        <v>129</v>
      </c>
      <c r="B143" s="46">
        <f t="shared" si="7"/>
        <v>2942.9897251256252</v>
      </c>
      <c r="C143" s="1">
        <f t="shared" si="8"/>
        <v>2470.627278938833</v>
      </c>
      <c r="D143" s="46">
        <f aca="true" t="shared" si="10" ref="D143:D206">B143-C143</f>
        <v>472.3624461867921</v>
      </c>
      <c r="E143" s="46">
        <f t="shared" si="9"/>
        <v>311606.8727881921</v>
      </c>
    </row>
    <row r="144" spans="1:5" ht="14.25">
      <c r="A144" s="5">
        <f aca="true" t="shared" si="11" ref="A144:A207">A143+1</f>
        <v>130</v>
      </c>
      <c r="B144" s="46">
        <f aca="true" t="shared" si="12" ref="B144:B207">-$B$9</f>
        <v>2942.9897251256252</v>
      </c>
      <c r="C144" s="1">
        <f aca="true" t="shared" si="13" ref="C144:C207">E143*$B$6</f>
        <v>2466.887742906521</v>
      </c>
      <c r="D144" s="46">
        <f t="shared" si="10"/>
        <v>476.10198221910423</v>
      </c>
      <c r="E144" s="46">
        <f aca="true" t="shared" si="14" ref="E144:E207">E143-D144</f>
        <v>311130.77080597304</v>
      </c>
    </row>
    <row r="145" spans="1:5" ht="14.25">
      <c r="A145" s="5">
        <f t="shared" si="11"/>
        <v>131</v>
      </c>
      <c r="B145" s="46">
        <f t="shared" si="12"/>
        <v>2942.9897251256252</v>
      </c>
      <c r="C145" s="1">
        <f t="shared" si="13"/>
        <v>2463.118602213953</v>
      </c>
      <c r="D145" s="46">
        <f t="shared" si="10"/>
        <v>479.87112291167205</v>
      </c>
      <c r="E145" s="46">
        <f t="shared" si="14"/>
        <v>310650.89968306135</v>
      </c>
    </row>
    <row r="146" spans="1:5" ht="14.25">
      <c r="A146" s="5">
        <f t="shared" si="11"/>
        <v>132</v>
      </c>
      <c r="B146" s="46">
        <f t="shared" si="12"/>
        <v>2942.9897251256252</v>
      </c>
      <c r="C146" s="1">
        <f t="shared" si="13"/>
        <v>2459.3196224909025</v>
      </c>
      <c r="D146" s="46">
        <f t="shared" si="10"/>
        <v>483.67010263472275</v>
      </c>
      <c r="E146" s="46">
        <f t="shared" si="14"/>
        <v>310167.22958042665</v>
      </c>
    </row>
    <row r="147" spans="1:5" ht="14.25">
      <c r="A147" s="5">
        <f t="shared" si="11"/>
        <v>133</v>
      </c>
      <c r="B147" s="46">
        <f t="shared" si="12"/>
        <v>2942.9897251256252</v>
      </c>
      <c r="C147" s="1">
        <f t="shared" si="13"/>
        <v>2455.490567511711</v>
      </c>
      <c r="D147" s="46">
        <f t="shared" si="10"/>
        <v>487.4991576139141</v>
      </c>
      <c r="E147" s="46">
        <f t="shared" si="14"/>
        <v>309679.73042281275</v>
      </c>
    </row>
    <row r="148" spans="1:5" ht="14.25">
      <c r="A148" s="5">
        <f t="shared" si="11"/>
        <v>134</v>
      </c>
      <c r="B148" s="46">
        <f t="shared" si="12"/>
        <v>2942.9897251256252</v>
      </c>
      <c r="C148" s="1">
        <f t="shared" si="13"/>
        <v>2451.631199180601</v>
      </c>
      <c r="D148" s="46">
        <f t="shared" si="10"/>
        <v>491.3585259450242</v>
      </c>
      <c r="E148" s="46">
        <f t="shared" si="14"/>
        <v>309188.3718968677</v>
      </c>
    </row>
    <row r="149" spans="1:5" ht="14.25">
      <c r="A149" s="5">
        <f t="shared" si="11"/>
        <v>135</v>
      </c>
      <c r="B149" s="46">
        <f t="shared" si="12"/>
        <v>2942.9897251256252</v>
      </c>
      <c r="C149" s="1">
        <f t="shared" si="13"/>
        <v>2447.7412775168696</v>
      </c>
      <c r="D149" s="46">
        <f t="shared" si="10"/>
        <v>495.24844760875567</v>
      </c>
      <c r="E149" s="46">
        <f t="shared" si="14"/>
        <v>308693.123449259</v>
      </c>
    </row>
    <row r="150" spans="1:5" ht="14.25">
      <c r="A150" s="5">
        <f t="shared" si="11"/>
        <v>136</v>
      </c>
      <c r="B150" s="46">
        <f t="shared" si="12"/>
        <v>2942.9897251256252</v>
      </c>
      <c r="C150" s="1">
        <f t="shared" si="13"/>
        <v>2443.820560639967</v>
      </c>
      <c r="D150" s="46">
        <f t="shared" si="10"/>
        <v>499.16916448565826</v>
      </c>
      <c r="E150" s="46">
        <f t="shared" si="14"/>
        <v>308193.9542847733</v>
      </c>
    </row>
    <row r="151" spans="1:5" ht="14.25">
      <c r="A151" s="5">
        <f t="shared" si="11"/>
        <v>137</v>
      </c>
      <c r="B151" s="46">
        <f t="shared" si="12"/>
        <v>2942.9897251256252</v>
      </c>
      <c r="C151" s="1">
        <f t="shared" si="13"/>
        <v>2439.8688047544556</v>
      </c>
      <c r="D151" s="46">
        <f t="shared" si="10"/>
        <v>503.12092037116963</v>
      </c>
      <c r="E151" s="46">
        <f t="shared" si="14"/>
        <v>307690.8333644022</v>
      </c>
    </row>
    <row r="152" spans="1:5" ht="14.25">
      <c r="A152" s="5">
        <f t="shared" si="11"/>
        <v>138</v>
      </c>
      <c r="B152" s="46">
        <f t="shared" si="12"/>
        <v>2942.9897251256252</v>
      </c>
      <c r="C152" s="1">
        <f t="shared" si="13"/>
        <v>2435.885764134851</v>
      </c>
      <c r="D152" s="46">
        <f t="shared" si="10"/>
        <v>507.10396099077434</v>
      </c>
      <c r="E152" s="46">
        <f t="shared" si="14"/>
        <v>307183.7294034114</v>
      </c>
    </row>
    <row r="153" spans="1:5" ht="14.25">
      <c r="A153" s="5">
        <f t="shared" si="11"/>
        <v>139</v>
      </c>
      <c r="B153" s="46">
        <f t="shared" si="12"/>
        <v>2942.9897251256252</v>
      </c>
      <c r="C153" s="1">
        <f t="shared" si="13"/>
        <v>2431.8711911103405</v>
      </c>
      <c r="D153" s="46">
        <f t="shared" si="10"/>
        <v>511.1185340152847</v>
      </c>
      <c r="E153" s="46">
        <f t="shared" si="14"/>
        <v>306672.6108693961</v>
      </c>
    </row>
    <row r="154" spans="1:5" ht="14.25">
      <c r="A154" s="5">
        <f t="shared" si="11"/>
        <v>140</v>
      </c>
      <c r="B154" s="46">
        <f t="shared" si="12"/>
        <v>2942.9897251256252</v>
      </c>
      <c r="C154" s="1">
        <f t="shared" si="13"/>
        <v>2427.8248360493862</v>
      </c>
      <c r="D154" s="46">
        <f t="shared" si="10"/>
        <v>515.164889076239</v>
      </c>
      <c r="E154" s="46">
        <f t="shared" si="14"/>
        <v>306157.44598031987</v>
      </c>
    </row>
    <row r="155" spans="1:5" ht="14.25">
      <c r="A155" s="5">
        <f t="shared" si="11"/>
        <v>141</v>
      </c>
      <c r="B155" s="46">
        <f t="shared" si="12"/>
        <v>2942.9897251256252</v>
      </c>
      <c r="C155" s="1">
        <f t="shared" si="13"/>
        <v>2423.746447344199</v>
      </c>
      <c r="D155" s="46">
        <f t="shared" si="10"/>
        <v>519.2432777814261</v>
      </c>
      <c r="E155" s="46">
        <f t="shared" si="14"/>
        <v>305638.20270253846</v>
      </c>
    </row>
    <row r="156" spans="1:5" ht="14.25">
      <c r="A156" s="5">
        <f t="shared" si="11"/>
        <v>142</v>
      </c>
      <c r="B156" s="46">
        <f t="shared" si="12"/>
        <v>2942.9897251256252</v>
      </c>
      <c r="C156" s="1">
        <f t="shared" si="13"/>
        <v>2419.6357713950965</v>
      </c>
      <c r="D156" s="46">
        <f t="shared" si="10"/>
        <v>523.3539537305287</v>
      </c>
      <c r="E156" s="46">
        <f t="shared" si="14"/>
        <v>305114.8487488079</v>
      </c>
    </row>
    <row r="157" spans="1:5" ht="14.25">
      <c r="A157" s="5">
        <f t="shared" si="11"/>
        <v>143</v>
      </c>
      <c r="B157" s="46">
        <f t="shared" si="12"/>
        <v>2942.9897251256252</v>
      </c>
      <c r="C157" s="1">
        <f t="shared" si="13"/>
        <v>2415.4925525947297</v>
      </c>
      <c r="D157" s="46">
        <f t="shared" si="10"/>
        <v>527.4971725308956</v>
      </c>
      <c r="E157" s="46">
        <f t="shared" si="14"/>
        <v>304587.351576277</v>
      </c>
    </row>
    <row r="158" spans="1:5" ht="14.25">
      <c r="A158" s="5">
        <f t="shared" si="11"/>
        <v>144</v>
      </c>
      <c r="B158" s="46">
        <f t="shared" si="12"/>
        <v>2942.9897251256252</v>
      </c>
      <c r="C158" s="1">
        <f t="shared" si="13"/>
        <v>2411.3165333121933</v>
      </c>
      <c r="D158" s="46">
        <f t="shared" si="10"/>
        <v>531.6731918134319</v>
      </c>
      <c r="E158" s="46">
        <f t="shared" si="14"/>
        <v>304055.67838446354</v>
      </c>
    </row>
    <row r="159" spans="1:5" ht="14.25">
      <c r="A159" s="5">
        <f t="shared" si="11"/>
        <v>145</v>
      </c>
      <c r="B159" s="46">
        <f t="shared" si="12"/>
        <v>2942.9897251256252</v>
      </c>
      <c r="C159" s="1">
        <f t="shared" si="13"/>
        <v>2407.107453877003</v>
      </c>
      <c r="D159" s="46">
        <f t="shared" si="10"/>
        <v>535.8822712486221</v>
      </c>
      <c r="E159" s="46">
        <f t="shared" si="14"/>
        <v>303519.7961132149</v>
      </c>
    </row>
    <row r="160" spans="1:5" ht="14.25">
      <c r="A160" s="5">
        <f t="shared" si="11"/>
        <v>146</v>
      </c>
      <c r="B160" s="46">
        <f t="shared" si="12"/>
        <v>2942.9897251256252</v>
      </c>
      <c r="C160" s="1">
        <f t="shared" si="13"/>
        <v>2402.865052562952</v>
      </c>
      <c r="D160" s="46">
        <f t="shared" si="10"/>
        <v>540.1246725626734</v>
      </c>
      <c r="E160" s="46">
        <f t="shared" si="14"/>
        <v>302979.6714406522</v>
      </c>
    </row>
    <row r="161" spans="1:5" ht="14.25">
      <c r="A161" s="5">
        <f t="shared" si="11"/>
        <v>147</v>
      </c>
      <c r="B161" s="46">
        <f t="shared" si="12"/>
        <v>2942.9897251256252</v>
      </c>
      <c r="C161" s="1">
        <f t="shared" si="13"/>
        <v>2398.5890655718304</v>
      </c>
      <c r="D161" s="46">
        <f t="shared" si="10"/>
        <v>544.4006595537949</v>
      </c>
      <c r="E161" s="46">
        <f t="shared" si="14"/>
        <v>302435.2707810984</v>
      </c>
    </row>
    <row r="162" spans="1:5" ht="14.25">
      <c r="A162" s="5">
        <f t="shared" si="11"/>
        <v>148</v>
      </c>
      <c r="B162" s="46">
        <f t="shared" si="12"/>
        <v>2942.9897251256252</v>
      </c>
      <c r="C162" s="1">
        <f t="shared" si="13"/>
        <v>2394.2792270170294</v>
      </c>
      <c r="D162" s="46">
        <f t="shared" si="10"/>
        <v>548.7104981085959</v>
      </c>
      <c r="E162" s="46">
        <f t="shared" si="14"/>
        <v>301886.5602829898</v>
      </c>
    </row>
    <row r="163" spans="1:5" ht="14.25">
      <c r="A163" s="5">
        <f t="shared" si="11"/>
        <v>149</v>
      </c>
      <c r="B163" s="46">
        <f t="shared" si="12"/>
        <v>2942.9897251256252</v>
      </c>
      <c r="C163" s="1">
        <f t="shared" si="13"/>
        <v>2389.935268907003</v>
      </c>
      <c r="D163" s="46">
        <f t="shared" si="10"/>
        <v>553.0544562186224</v>
      </c>
      <c r="E163" s="46">
        <f t="shared" si="14"/>
        <v>301333.5058267712</v>
      </c>
    </row>
    <row r="164" spans="1:5" ht="14.25">
      <c r="A164" s="5">
        <f t="shared" si="11"/>
        <v>150</v>
      </c>
      <c r="B164" s="46">
        <f t="shared" si="12"/>
        <v>2942.9897251256252</v>
      </c>
      <c r="C164" s="1">
        <f t="shared" si="13"/>
        <v>2385.5569211286056</v>
      </c>
      <c r="D164" s="46">
        <f t="shared" si="10"/>
        <v>557.4328039970196</v>
      </c>
      <c r="E164" s="46">
        <f t="shared" si="14"/>
        <v>300776.0730227742</v>
      </c>
    </row>
    <row r="165" spans="1:5" ht="14.25">
      <c r="A165" s="5">
        <f t="shared" si="11"/>
        <v>151</v>
      </c>
      <c r="B165" s="46">
        <f t="shared" si="12"/>
        <v>2942.9897251256252</v>
      </c>
      <c r="C165" s="1">
        <f t="shared" si="13"/>
        <v>2381.1439114302957</v>
      </c>
      <c r="D165" s="46">
        <f t="shared" si="10"/>
        <v>561.8458136953295</v>
      </c>
      <c r="E165" s="46">
        <f t="shared" si="14"/>
        <v>300214.22720907885</v>
      </c>
    </row>
    <row r="166" spans="1:5" ht="14.25">
      <c r="A166" s="5">
        <f t="shared" si="11"/>
        <v>152</v>
      </c>
      <c r="B166" s="46">
        <f t="shared" si="12"/>
        <v>2942.9897251256252</v>
      </c>
      <c r="C166" s="1">
        <f t="shared" si="13"/>
        <v>2376.6959654052075</v>
      </c>
      <c r="D166" s="46">
        <f t="shared" si="10"/>
        <v>566.2937597204177</v>
      </c>
      <c r="E166" s="46">
        <f t="shared" si="14"/>
        <v>299647.93344935845</v>
      </c>
    </row>
    <row r="167" spans="1:5" ht="14.25">
      <c r="A167" s="5">
        <f t="shared" si="11"/>
        <v>153</v>
      </c>
      <c r="B167" s="46">
        <f t="shared" si="12"/>
        <v>2942.9897251256252</v>
      </c>
      <c r="C167" s="1">
        <f t="shared" si="13"/>
        <v>2372.2128064740878</v>
      </c>
      <c r="D167" s="46">
        <f t="shared" si="10"/>
        <v>570.7769186515375</v>
      </c>
      <c r="E167" s="46">
        <f t="shared" si="14"/>
        <v>299077.1565307069</v>
      </c>
    </row>
    <row r="168" spans="1:5" ht="14.25">
      <c r="A168" s="5">
        <f t="shared" si="11"/>
        <v>154</v>
      </c>
      <c r="B168" s="46">
        <f t="shared" si="12"/>
        <v>2942.9897251256252</v>
      </c>
      <c r="C168" s="1">
        <f t="shared" si="13"/>
        <v>2367.6941558680965</v>
      </c>
      <c r="D168" s="46">
        <f t="shared" si="10"/>
        <v>575.2955692575288</v>
      </c>
      <c r="E168" s="46">
        <f t="shared" si="14"/>
        <v>298501.8609614494</v>
      </c>
    </row>
    <row r="169" spans="1:5" ht="14.25">
      <c r="A169" s="5">
        <f t="shared" si="11"/>
        <v>155</v>
      </c>
      <c r="B169" s="46">
        <f t="shared" si="12"/>
        <v>2942.9897251256252</v>
      </c>
      <c r="C169" s="1">
        <f t="shared" si="13"/>
        <v>2363.1397326114748</v>
      </c>
      <c r="D169" s="46">
        <f t="shared" si="10"/>
        <v>579.8499925141505</v>
      </c>
      <c r="E169" s="46">
        <f t="shared" si="14"/>
        <v>297922.01096893527</v>
      </c>
    </row>
    <row r="170" spans="1:5" ht="14.25">
      <c r="A170" s="5">
        <f t="shared" si="11"/>
        <v>156</v>
      </c>
      <c r="B170" s="46">
        <f t="shared" si="12"/>
        <v>2942.9897251256252</v>
      </c>
      <c r="C170" s="1">
        <f t="shared" si="13"/>
        <v>2358.549253504071</v>
      </c>
      <c r="D170" s="46">
        <f t="shared" si="10"/>
        <v>584.440471621554</v>
      </c>
      <c r="E170" s="46">
        <f t="shared" si="14"/>
        <v>297337.5704973137</v>
      </c>
    </row>
    <row r="171" spans="1:5" ht="14.25">
      <c r="A171" s="5">
        <f t="shared" si="11"/>
        <v>157</v>
      </c>
      <c r="B171" s="46">
        <f t="shared" si="12"/>
        <v>2942.9897251256252</v>
      </c>
      <c r="C171" s="1">
        <f t="shared" si="13"/>
        <v>2353.9224331037335</v>
      </c>
      <c r="D171" s="46">
        <f t="shared" si="10"/>
        <v>589.0672920218917</v>
      </c>
      <c r="E171" s="46">
        <f t="shared" si="14"/>
        <v>296748.5032052918</v>
      </c>
    </row>
    <row r="172" spans="1:5" ht="14.25">
      <c r="A172" s="5">
        <f t="shared" si="11"/>
        <v>158</v>
      </c>
      <c r="B172" s="46">
        <f t="shared" si="12"/>
        <v>2942.9897251256252</v>
      </c>
      <c r="C172" s="1">
        <f t="shared" si="13"/>
        <v>2349.25898370856</v>
      </c>
      <c r="D172" s="46">
        <f t="shared" si="10"/>
        <v>593.730741417065</v>
      </c>
      <c r="E172" s="46">
        <f t="shared" si="14"/>
        <v>296154.7724638747</v>
      </c>
    </row>
    <row r="173" spans="1:5" ht="14.25">
      <c r="A173" s="5">
        <f t="shared" si="11"/>
        <v>159</v>
      </c>
      <c r="B173" s="46">
        <f t="shared" si="12"/>
        <v>2942.9897251256252</v>
      </c>
      <c r="C173" s="1">
        <f t="shared" si="13"/>
        <v>2344.558615339008</v>
      </c>
      <c r="D173" s="46">
        <f t="shared" si="10"/>
        <v>598.4311097866171</v>
      </c>
      <c r="E173" s="46">
        <f t="shared" si="14"/>
        <v>295556.3413540881</v>
      </c>
    </row>
    <row r="174" spans="1:5" ht="14.25">
      <c r="A174" s="5">
        <f t="shared" si="11"/>
        <v>160</v>
      </c>
      <c r="B174" s="46">
        <f t="shared" si="12"/>
        <v>2942.9897251256252</v>
      </c>
      <c r="C174" s="1">
        <f t="shared" si="13"/>
        <v>2339.8210357198645</v>
      </c>
      <c r="D174" s="46">
        <f t="shared" si="10"/>
        <v>603.1686894057607</v>
      </c>
      <c r="E174" s="46">
        <f t="shared" si="14"/>
        <v>294953.1726646823</v>
      </c>
    </row>
    <row r="175" spans="1:5" ht="14.25">
      <c r="A175" s="5">
        <f t="shared" si="11"/>
        <v>161</v>
      </c>
      <c r="B175" s="46">
        <f t="shared" si="12"/>
        <v>2942.9897251256252</v>
      </c>
      <c r="C175" s="1">
        <f t="shared" si="13"/>
        <v>2335.045950262069</v>
      </c>
      <c r="D175" s="46">
        <f t="shared" si="10"/>
        <v>607.9437748635564</v>
      </c>
      <c r="E175" s="46">
        <f t="shared" si="14"/>
        <v>294345.22888981877</v>
      </c>
    </row>
    <row r="176" spans="1:5" ht="14.25">
      <c r="A176" s="5">
        <f t="shared" si="11"/>
        <v>162</v>
      </c>
      <c r="B176" s="46">
        <f t="shared" si="12"/>
        <v>2942.9897251256252</v>
      </c>
      <c r="C176" s="1">
        <f t="shared" si="13"/>
        <v>2330.2330620443986</v>
      </c>
      <c r="D176" s="46">
        <f t="shared" si="10"/>
        <v>612.7566630812266</v>
      </c>
      <c r="E176" s="46">
        <f t="shared" si="14"/>
        <v>293732.47222673753</v>
      </c>
    </row>
    <row r="177" spans="1:5" ht="14.25">
      <c r="A177" s="5">
        <f t="shared" si="11"/>
        <v>163</v>
      </c>
      <c r="B177" s="46">
        <f t="shared" si="12"/>
        <v>2942.9897251256252</v>
      </c>
      <c r="C177" s="1">
        <f t="shared" si="13"/>
        <v>2325.3820717950057</v>
      </c>
      <c r="D177" s="46">
        <f t="shared" si="10"/>
        <v>617.6076533306195</v>
      </c>
      <c r="E177" s="46">
        <f t="shared" si="14"/>
        <v>293114.8645734069</v>
      </c>
    </row>
    <row r="178" spans="1:5" ht="14.25">
      <c r="A178" s="5">
        <f t="shared" si="11"/>
        <v>164</v>
      </c>
      <c r="B178" s="46">
        <f t="shared" si="12"/>
        <v>2942.9897251256252</v>
      </c>
      <c r="C178" s="1">
        <f t="shared" si="13"/>
        <v>2320.492677872805</v>
      </c>
      <c r="D178" s="46">
        <f t="shared" si="10"/>
        <v>622.4970472528203</v>
      </c>
      <c r="E178" s="46">
        <f t="shared" si="14"/>
        <v>292492.3675261541</v>
      </c>
    </row>
    <row r="179" spans="1:5" ht="14.25">
      <c r="A179" s="5">
        <f t="shared" si="11"/>
        <v>165</v>
      </c>
      <c r="B179" s="46">
        <f t="shared" si="12"/>
        <v>2942.9897251256252</v>
      </c>
      <c r="C179" s="1">
        <f t="shared" si="13"/>
        <v>2315.56457624872</v>
      </c>
      <c r="D179" s="46">
        <f t="shared" si="10"/>
        <v>627.425148876905</v>
      </c>
      <c r="E179" s="46">
        <f t="shared" si="14"/>
        <v>291864.9423772772</v>
      </c>
    </row>
    <row r="180" spans="1:5" ht="14.25">
      <c r="A180" s="5">
        <f t="shared" si="11"/>
        <v>166</v>
      </c>
      <c r="B180" s="46">
        <f t="shared" si="12"/>
        <v>2942.9897251256252</v>
      </c>
      <c r="C180" s="1">
        <f t="shared" si="13"/>
        <v>2310.597460486778</v>
      </c>
      <c r="D180" s="46">
        <f t="shared" si="10"/>
        <v>632.3922646388473</v>
      </c>
      <c r="E180" s="46">
        <f t="shared" si="14"/>
        <v>291232.55011263833</v>
      </c>
    </row>
    <row r="181" spans="1:5" ht="14.25">
      <c r="A181" s="5">
        <f t="shared" si="11"/>
        <v>167</v>
      </c>
      <c r="B181" s="46">
        <f t="shared" si="12"/>
        <v>2942.9897251256252</v>
      </c>
      <c r="C181" s="1">
        <f t="shared" si="13"/>
        <v>2305.5910217250535</v>
      </c>
      <c r="D181" s="46">
        <f t="shared" si="10"/>
        <v>637.3987034005718</v>
      </c>
      <c r="E181" s="46">
        <f t="shared" si="14"/>
        <v>290595.15140923776</v>
      </c>
    </row>
    <row r="182" spans="1:5" ht="14.25">
      <c r="A182" s="5">
        <f t="shared" si="11"/>
        <v>168</v>
      </c>
      <c r="B182" s="46">
        <f t="shared" si="12"/>
        <v>2942.9897251256252</v>
      </c>
      <c r="C182" s="1">
        <f t="shared" si="13"/>
        <v>2300.5449486564657</v>
      </c>
      <c r="D182" s="46">
        <f t="shared" si="10"/>
        <v>642.4447764691595</v>
      </c>
      <c r="E182" s="46">
        <f t="shared" si="14"/>
        <v>289952.7066327686</v>
      </c>
    </row>
    <row r="183" spans="1:5" ht="14.25">
      <c r="A183" s="5">
        <f t="shared" si="11"/>
        <v>169</v>
      </c>
      <c r="B183" s="46">
        <f t="shared" si="12"/>
        <v>2942.9897251256252</v>
      </c>
      <c r="C183" s="1">
        <f t="shared" si="13"/>
        <v>2295.4589275094186</v>
      </c>
      <c r="D183" s="46">
        <f t="shared" si="10"/>
        <v>647.5307976162067</v>
      </c>
      <c r="E183" s="46">
        <f t="shared" si="14"/>
        <v>289305.1758351524</v>
      </c>
    </row>
    <row r="184" spans="1:5" ht="14.25">
      <c r="A184" s="5">
        <f t="shared" si="11"/>
        <v>170</v>
      </c>
      <c r="B184" s="46">
        <f t="shared" si="12"/>
        <v>2942.9897251256252</v>
      </c>
      <c r="C184" s="1">
        <f t="shared" si="13"/>
        <v>2290.33264202829</v>
      </c>
      <c r="D184" s="46">
        <f t="shared" si="10"/>
        <v>652.6570830973351</v>
      </c>
      <c r="E184" s="46">
        <f t="shared" si="14"/>
        <v>288652.51875205507</v>
      </c>
    </row>
    <row r="185" spans="1:5" ht="14.25">
      <c r="A185" s="5">
        <f t="shared" si="11"/>
        <v>171</v>
      </c>
      <c r="B185" s="46">
        <f t="shared" si="12"/>
        <v>2942.9897251256252</v>
      </c>
      <c r="C185" s="1">
        <f t="shared" si="13"/>
        <v>2285.1657734537694</v>
      </c>
      <c r="D185" s="46">
        <f t="shared" si="10"/>
        <v>657.8239516718559</v>
      </c>
      <c r="E185" s="46">
        <f t="shared" si="14"/>
        <v>287994.69480038324</v>
      </c>
    </row>
    <row r="186" spans="1:5" ht="14.25">
      <c r="A186" s="5">
        <f t="shared" si="11"/>
        <v>172</v>
      </c>
      <c r="B186" s="46">
        <f t="shared" si="12"/>
        <v>2942.9897251256252</v>
      </c>
      <c r="C186" s="1">
        <f t="shared" si="13"/>
        <v>2279.9580005030343</v>
      </c>
      <c r="D186" s="46">
        <f t="shared" si="10"/>
        <v>663.0317246225909</v>
      </c>
      <c r="E186" s="46">
        <f t="shared" si="14"/>
        <v>287331.66307576065</v>
      </c>
    </row>
    <row r="187" spans="1:5" ht="14.25">
      <c r="A187" s="5">
        <f t="shared" si="11"/>
        <v>173</v>
      </c>
      <c r="B187" s="46">
        <f t="shared" si="12"/>
        <v>2942.9897251256252</v>
      </c>
      <c r="C187" s="1">
        <f t="shared" si="13"/>
        <v>2274.708999349772</v>
      </c>
      <c r="D187" s="46">
        <f t="shared" si="10"/>
        <v>668.2807257758532</v>
      </c>
      <c r="E187" s="46">
        <f t="shared" si="14"/>
        <v>286663.3823499848</v>
      </c>
    </row>
    <row r="188" spans="1:5" ht="14.25">
      <c r="A188" s="5">
        <f t="shared" si="11"/>
        <v>174</v>
      </c>
      <c r="B188" s="46">
        <f t="shared" si="12"/>
        <v>2942.9897251256252</v>
      </c>
      <c r="C188" s="1">
        <f t="shared" si="13"/>
        <v>2269.4184436040464</v>
      </c>
      <c r="D188" s="46">
        <f t="shared" si="10"/>
        <v>673.5712815215788</v>
      </c>
      <c r="E188" s="46">
        <f t="shared" si="14"/>
        <v>285989.8110684632</v>
      </c>
    </row>
    <row r="189" spans="1:5" ht="14.25">
      <c r="A189" s="5">
        <f t="shared" si="11"/>
        <v>175</v>
      </c>
      <c r="B189" s="46">
        <f t="shared" si="12"/>
        <v>2942.9897251256252</v>
      </c>
      <c r="C189" s="1">
        <f t="shared" si="13"/>
        <v>2264.0860042920003</v>
      </c>
      <c r="D189" s="46">
        <f t="shared" si="10"/>
        <v>678.9037208336249</v>
      </c>
      <c r="E189" s="46">
        <f t="shared" si="14"/>
        <v>285310.90734762955</v>
      </c>
    </row>
    <row r="190" spans="1:5" ht="14.25">
      <c r="A190" s="5">
        <f t="shared" si="11"/>
        <v>176</v>
      </c>
      <c r="B190" s="46">
        <f t="shared" si="12"/>
        <v>2942.9897251256252</v>
      </c>
      <c r="C190" s="1">
        <f t="shared" si="13"/>
        <v>2258.7113498354006</v>
      </c>
      <c r="D190" s="46">
        <f t="shared" si="10"/>
        <v>684.2783752902246</v>
      </c>
      <c r="E190" s="46">
        <f t="shared" si="14"/>
        <v>284626.6289723393</v>
      </c>
    </row>
    <row r="191" spans="1:5" ht="14.25">
      <c r="A191" s="5">
        <f t="shared" si="11"/>
        <v>177</v>
      </c>
      <c r="B191" s="46">
        <f t="shared" si="12"/>
        <v>2942.9897251256252</v>
      </c>
      <c r="C191" s="1">
        <f t="shared" si="13"/>
        <v>2253.29414603102</v>
      </c>
      <c r="D191" s="46">
        <f t="shared" si="10"/>
        <v>689.6955790946054</v>
      </c>
      <c r="E191" s="46">
        <f t="shared" si="14"/>
        <v>283936.93339324475</v>
      </c>
    </row>
    <row r="192" spans="1:5" ht="14.25">
      <c r="A192" s="5">
        <f t="shared" si="11"/>
        <v>178</v>
      </c>
      <c r="B192" s="46">
        <f t="shared" si="12"/>
        <v>2942.9897251256252</v>
      </c>
      <c r="C192" s="1">
        <f t="shared" si="13"/>
        <v>2247.8340560298543</v>
      </c>
      <c r="D192" s="46">
        <f t="shared" si="10"/>
        <v>695.1556690957709</v>
      </c>
      <c r="E192" s="46">
        <f t="shared" si="14"/>
        <v>283241.777724149</v>
      </c>
    </row>
    <row r="193" spans="1:5" ht="14.25">
      <c r="A193" s="5">
        <f t="shared" si="11"/>
        <v>179</v>
      </c>
      <c r="B193" s="46">
        <f t="shared" si="12"/>
        <v>2942.9897251256252</v>
      </c>
      <c r="C193" s="1">
        <f t="shared" si="13"/>
        <v>2242.33074031618</v>
      </c>
      <c r="D193" s="46">
        <f t="shared" si="10"/>
        <v>700.6589848094454</v>
      </c>
      <c r="E193" s="46">
        <f t="shared" si="14"/>
        <v>282541.1187393395</v>
      </c>
    </row>
    <row r="194" spans="1:5" ht="14.25">
      <c r="A194" s="5">
        <f t="shared" si="11"/>
        <v>180</v>
      </c>
      <c r="B194" s="46">
        <f t="shared" si="12"/>
        <v>2942.9897251256252</v>
      </c>
      <c r="C194" s="1">
        <f t="shared" si="13"/>
        <v>2236.783856686438</v>
      </c>
      <c r="D194" s="46">
        <f t="shared" si="10"/>
        <v>706.2058684391873</v>
      </c>
      <c r="E194" s="46">
        <f t="shared" si="14"/>
        <v>281834.91287090036</v>
      </c>
    </row>
    <row r="195" spans="1:5" ht="14.25">
      <c r="A195" s="5">
        <f t="shared" si="11"/>
        <v>181</v>
      </c>
      <c r="B195" s="46">
        <f t="shared" si="12"/>
        <v>2942.9897251256252</v>
      </c>
      <c r="C195" s="1">
        <f t="shared" si="13"/>
        <v>2231.1930602279613</v>
      </c>
      <c r="D195" s="46">
        <f t="shared" si="10"/>
        <v>711.796664897664</v>
      </c>
      <c r="E195" s="46">
        <f t="shared" si="14"/>
        <v>281123.1162060027</v>
      </c>
    </row>
    <row r="196" spans="1:5" ht="14.25">
      <c r="A196" s="5">
        <f t="shared" si="11"/>
        <v>182</v>
      </c>
      <c r="B196" s="46">
        <f t="shared" si="12"/>
        <v>2942.9897251256252</v>
      </c>
      <c r="C196" s="1">
        <f t="shared" si="13"/>
        <v>2225.5580032975217</v>
      </c>
      <c r="D196" s="46">
        <f t="shared" si="10"/>
        <v>717.4317218281035</v>
      </c>
      <c r="E196" s="46">
        <f t="shared" si="14"/>
        <v>280405.6844841746</v>
      </c>
    </row>
    <row r="197" spans="1:5" ht="14.25">
      <c r="A197" s="5">
        <f t="shared" si="11"/>
        <v>183</v>
      </c>
      <c r="B197" s="46">
        <f t="shared" si="12"/>
        <v>2942.9897251256252</v>
      </c>
      <c r="C197" s="1">
        <f t="shared" si="13"/>
        <v>2219.878335499716</v>
      </c>
      <c r="D197" s="46">
        <f t="shared" si="10"/>
        <v>723.1113896259094</v>
      </c>
      <c r="E197" s="46">
        <f t="shared" si="14"/>
        <v>279682.57309454866</v>
      </c>
    </row>
    <row r="198" spans="1:5" ht="14.25">
      <c r="A198" s="5">
        <f t="shared" si="11"/>
        <v>184</v>
      </c>
      <c r="B198" s="46">
        <f t="shared" si="12"/>
        <v>2942.9897251256252</v>
      </c>
      <c r="C198" s="1">
        <f t="shared" si="13"/>
        <v>2214.153703665177</v>
      </c>
      <c r="D198" s="46">
        <f t="shared" si="10"/>
        <v>728.8360214604481</v>
      </c>
      <c r="E198" s="46">
        <f t="shared" si="14"/>
        <v>278953.7370730882</v>
      </c>
    </row>
    <row r="199" spans="1:5" ht="14.25">
      <c r="A199" s="5">
        <f t="shared" si="11"/>
        <v>185</v>
      </c>
      <c r="B199" s="46">
        <f t="shared" si="12"/>
        <v>2942.9897251256252</v>
      </c>
      <c r="C199" s="1">
        <f t="shared" si="13"/>
        <v>2208.383751828615</v>
      </c>
      <c r="D199" s="46">
        <f t="shared" si="10"/>
        <v>734.6059732970102</v>
      </c>
      <c r="E199" s="46">
        <f t="shared" si="14"/>
        <v>278219.13109979115</v>
      </c>
    </row>
    <row r="200" spans="1:5" ht="14.25">
      <c r="A200" s="5">
        <f t="shared" si="11"/>
        <v>186</v>
      </c>
      <c r="B200" s="46">
        <f t="shared" si="12"/>
        <v>2942.9897251256252</v>
      </c>
      <c r="C200" s="1">
        <f t="shared" si="13"/>
        <v>2202.56812120668</v>
      </c>
      <c r="D200" s="46">
        <f t="shared" si="10"/>
        <v>740.421603918945</v>
      </c>
      <c r="E200" s="46">
        <f t="shared" si="14"/>
        <v>277478.7094958722</v>
      </c>
    </row>
    <row r="201" spans="1:5" ht="14.25">
      <c r="A201" s="5">
        <f t="shared" si="11"/>
        <v>187</v>
      </c>
      <c r="B201" s="46">
        <f t="shared" si="12"/>
        <v>2942.9897251256252</v>
      </c>
      <c r="C201" s="1">
        <f t="shared" si="13"/>
        <v>2196.706450175655</v>
      </c>
      <c r="D201" s="46">
        <f t="shared" si="10"/>
        <v>746.2832749499703</v>
      </c>
      <c r="E201" s="46">
        <f t="shared" si="14"/>
        <v>276732.4262209222</v>
      </c>
    </row>
    <row r="202" spans="1:5" ht="14.25">
      <c r="A202" s="5">
        <f t="shared" si="11"/>
        <v>188</v>
      </c>
      <c r="B202" s="46">
        <f t="shared" si="12"/>
        <v>2942.9897251256252</v>
      </c>
      <c r="C202" s="1">
        <f t="shared" si="13"/>
        <v>2190.798374248968</v>
      </c>
      <c r="D202" s="46">
        <f t="shared" si="10"/>
        <v>752.1913508766575</v>
      </c>
      <c r="E202" s="46">
        <f t="shared" si="14"/>
        <v>275980.23487004556</v>
      </c>
    </row>
    <row r="203" spans="1:5" ht="14.25">
      <c r="A203" s="5">
        <f t="shared" si="11"/>
        <v>189</v>
      </c>
      <c r="B203" s="46">
        <f t="shared" si="12"/>
        <v>2942.9897251256252</v>
      </c>
      <c r="C203" s="1">
        <f t="shared" si="13"/>
        <v>2184.8435260545275</v>
      </c>
      <c r="D203" s="46">
        <f t="shared" si="10"/>
        <v>758.1461990710977</v>
      </c>
      <c r="E203" s="46">
        <f t="shared" si="14"/>
        <v>275222.0886709745</v>
      </c>
    </row>
    <row r="204" spans="1:5" ht="14.25">
      <c r="A204" s="5">
        <f t="shared" si="11"/>
        <v>190</v>
      </c>
      <c r="B204" s="46">
        <f t="shared" si="12"/>
        <v>2942.9897251256252</v>
      </c>
      <c r="C204" s="1">
        <f t="shared" si="13"/>
        <v>2178.8415353118817</v>
      </c>
      <c r="D204" s="46">
        <f t="shared" si="10"/>
        <v>764.1481898137436</v>
      </c>
      <c r="E204" s="46">
        <f t="shared" si="14"/>
        <v>274457.9404811607</v>
      </c>
    </row>
    <row r="205" spans="1:5" ht="14.25">
      <c r="A205" s="5">
        <f t="shared" si="11"/>
        <v>191</v>
      </c>
      <c r="B205" s="46">
        <f t="shared" si="12"/>
        <v>2942.9897251256252</v>
      </c>
      <c r="C205" s="1">
        <f t="shared" si="13"/>
        <v>2172.792028809189</v>
      </c>
      <c r="D205" s="46">
        <f t="shared" si="10"/>
        <v>770.1976963164361</v>
      </c>
      <c r="E205" s="46">
        <f t="shared" si="14"/>
        <v>273687.74278484425</v>
      </c>
    </row>
    <row r="206" spans="1:5" ht="14.25">
      <c r="A206" s="5">
        <f t="shared" si="11"/>
        <v>192</v>
      </c>
      <c r="B206" s="46">
        <f t="shared" si="12"/>
        <v>2942.9897251256252</v>
      </c>
      <c r="C206" s="1">
        <f t="shared" si="13"/>
        <v>2166.6946303800173</v>
      </c>
      <c r="D206" s="46">
        <f t="shared" si="10"/>
        <v>776.2950947456079</v>
      </c>
      <c r="E206" s="46">
        <f t="shared" si="14"/>
        <v>272911.44769009866</v>
      </c>
    </row>
    <row r="207" spans="1:5" ht="14.25">
      <c r="A207" s="5">
        <f t="shared" si="11"/>
        <v>193</v>
      </c>
      <c r="B207" s="46">
        <f t="shared" si="12"/>
        <v>2942.9897251256252</v>
      </c>
      <c r="C207" s="1">
        <f t="shared" si="13"/>
        <v>2160.548960879948</v>
      </c>
      <c r="D207" s="46">
        <f aca="true" t="shared" si="15" ref="D207:D270">B207-C207</f>
        <v>782.4407642456772</v>
      </c>
      <c r="E207" s="46">
        <f t="shared" si="14"/>
        <v>272129.00692585297</v>
      </c>
    </row>
    <row r="208" spans="1:5" ht="14.25">
      <c r="A208" s="5">
        <f aca="true" t="shared" si="16" ref="A208:A271">A207+1</f>
        <v>194</v>
      </c>
      <c r="B208" s="46">
        <f aca="true" t="shared" si="17" ref="B208:B271">-$B$9</f>
        <v>2942.9897251256252</v>
      </c>
      <c r="C208" s="1">
        <f aca="true" t="shared" si="18" ref="C208:C271">E207*$B$6</f>
        <v>2154.354638163003</v>
      </c>
      <c r="D208" s="46">
        <f t="shared" si="15"/>
        <v>788.6350869626222</v>
      </c>
      <c r="E208" s="46">
        <f aca="true" t="shared" si="19" ref="E208:E271">E207-D208</f>
        <v>271340.37183889037</v>
      </c>
    </row>
    <row r="209" spans="1:5" ht="14.25">
      <c r="A209" s="5">
        <f t="shared" si="16"/>
        <v>195</v>
      </c>
      <c r="B209" s="46">
        <f t="shared" si="17"/>
        <v>2942.9897251256252</v>
      </c>
      <c r="C209" s="1">
        <f t="shared" si="18"/>
        <v>2148.111277057882</v>
      </c>
      <c r="D209" s="46">
        <f t="shared" si="15"/>
        <v>794.8784480677432</v>
      </c>
      <c r="E209" s="46">
        <f t="shared" si="19"/>
        <v>270545.4933908226</v>
      </c>
    </row>
    <row r="210" spans="1:5" ht="14.25">
      <c r="A210" s="5">
        <f t="shared" si="16"/>
        <v>196</v>
      </c>
      <c r="B210" s="46">
        <f t="shared" si="17"/>
        <v>2942.9897251256252</v>
      </c>
      <c r="C210" s="1">
        <f t="shared" si="18"/>
        <v>2141.8184893440125</v>
      </c>
      <c r="D210" s="46">
        <f t="shared" si="15"/>
        <v>801.1712357816127</v>
      </c>
      <c r="E210" s="46">
        <f t="shared" si="19"/>
        <v>269744.322155041</v>
      </c>
    </row>
    <row r="211" spans="1:5" ht="14.25">
      <c r="A211" s="5">
        <f t="shared" si="16"/>
        <v>197</v>
      </c>
      <c r="B211" s="46">
        <f t="shared" si="17"/>
        <v>2942.9897251256252</v>
      </c>
      <c r="C211" s="1">
        <f t="shared" si="18"/>
        <v>2135.475883727408</v>
      </c>
      <c r="D211" s="46">
        <f t="shared" si="15"/>
        <v>807.5138413982172</v>
      </c>
      <c r="E211" s="46">
        <f t="shared" si="19"/>
        <v>268936.80831364274</v>
      </c>
    </row>
    <row r="212" spans="1:5" ht="14.25">
      <c r="A212" s="5">
        <f t="shared" si="16"/>
        <v>198</v>
      </c>
      <c r="B212" s="46">
        <f t="shared" si="17"/>
        <v>2942.9897251256252</v>
      </c>
      <c r="C212" s="1">
        <f t="shared" si="18"/>
        <v>2129.0830658163386</v>
      </c>
      <c r="D212" s="46">
        <f t="shared" si="15"/>
        <v>813.9066593092866</v>
      </c>
      <c r="E212" s="46">
        <f t="shared" si="19"/>
        <v>268122.90165433346</v>
      </c>
    </row>
    <row r="213" spans="1:5" ht="14.25">
      <c r="A213" s="5">
        <f t="shared" si="16"/>
        <v>199</v>
      </c>
      <c r="B213" s="46">
        <f t="shared" si="17"/>
        <v>2942.9897251256252</v>
      </c>
      <c r="C213" s="1">
        <f t="shared" si="18"/>
        <v>2122.6396380968067</v>
      </c>
      <c r="D213" s="46">
        <f t="shared" si="15"/>
        <v>820.3500870288185</v>
      </c>
      <c r="E213" s="46">
        <f t="shared" si="19"/>
        <v>267302.55156730465</v>
      </c>
    </row>
    <row r="214" spans="1:5" ht="14.25">
      <c r="A214" s="5">
        <f t="shared" si="16"/>
        <v>200</v>
      </c>
      <c r="B214" s="46">
        <f t="shared" si="17"/>
        <v>2942.9897251256252</v>
      </c>
      <c r="C214" s="1">
        <f t="shared" si="18"/>
        <v>2116.1451999078286</v>
      </c>
      <c r="D214" s="46">
        <f t="shared" si="15"/>
        <v>826.8445252177967</v>
      </c>
      <c r="E214" s="46">
        <f t="shared" si="19"/>
        <v>266475.70704208687</v>
      </c>
    </row>
    <row r="215" spans="1:5" ht="14.25">
      <c r="A215" s="5">
        <f t="shared" si="16"/>
        <v>201</v>
      </c>
      <c r="B215" s="46">
        <f t="shared" si="17"/>
        <v>2942.9897251256252</v>
      </c>
      <c r="C215" s="1">
        <f t="shared" si="18"/>
        <v>2109.599347416521</v>
      </c>
      <c r="D215" s="46">
        <f t="shared" si="15"/>
        <v>833.3903777091041</v>
      </c>
      <c r="E215" s="46">
        <f t="shared" si="19"/>
        <v>265642.31666437775</v>
      </c>
    </row>
    <row r="216" spans="1:5" ht="14.25">
      <c r="A216" s="5">
        <f t="shared" si="16"/>
        <v>202</v>
      </c>
      <c r="B216" s="46">
        <f t="shared" si="17"/>
        <v>2942.9897251256252</v>
      </c>
      <c r="C216" s="1">
        <f t="shared" si="18"/>
        <v>2103.0016735929908</v>
      </c>
      <c r="D216" s="46">
        <f t="shared" si="15"/>
        <v>839.9880515326345</v>
      </c>
      <c r="E216" s="46">
        <f t="shared" si="19"/>
        <v>264802.3286128451</v>
      </c>
    </row>
    <row r="217" spans="1:5" ht="14.25">
      <c r="A217" s="5">
        <f t="shared" si="16"/>
        <v>203</v>
      </c>
      <c r="B217" s="46">
        <f t="shared" si="17"/>
        <v>2942.9897251256252</v>
      </c>
      <c r="C217" s="1">
        <f t="shared" si="18"/>
        <v>2096.351768185024</v>
      </c>
      <c r="D217" s="46">
        <f t="shared" si="15"/>
        <v>846.6379569406013</v>
      </c>
      <c r="E217" s="46">
        <f t="shared" si="19"/>
        <v>263955.6906559045</v>
      </c>
    </row>
    <row r="218" spans="1:5" ht="14.25">
      <c r="A218" s="5">
        <f t="shared" si="16"/>
        <v>204</v>
      </c>
      <c r="B218" s="46">
        <f t="shared" si="17"/>
        <v>2942.9897251256252</v>
      </c>
      <c r="C218" s="1">
        <f t="shared" si="18"/>
        <v>2089.649217692577</v>
      </c>
      <c r="D218" s="46">
        <f t="shared" si="15"/>
        <v>853.3405074330481</v>
      </c>
      <c r="E218" s="46">
        <f t="shared" si="19"/>
        <v>263102.3501484714</v>
      </c>
    </row>
    <row r="219" spans="1:5" ht="14.25">
      <c r="A219" s="5">
        <f t="shared" si="16"/>
        <v>205</v>
      </c>
      <c r="B219" s="46">
        <f t="shared" si="17"/>
        <v>2942.9897251256252</v>
      </c>
      <c r="C219" s="1">
        <f t="shared" si="18"/>
        <v>2082.8936053420657</v>
      </c>
      <c r="D219" s="46">
        <f t="shared" si="15"/>
        <v>860.0961197835595</v>
      </c>
      <c r="E219" s="46">
        <f t="shared" si="19"/>
        <v>262242.25402868784</v>
      </c>
    </row>
    <row r="220" spans="1:5" ht="14.25">
      <c r="A220" s="5">
        <f t="shared" si="16"/>
        <v>206</v>
      </c>
      <c r="B220" s="46">
        <f t="shared" si="17"/>
        <v>2942.9897251256252</v>
      </c>
      <c r="C220" s="1">
        <f t="shared" si="18"/>
        <v>2076.0845110604455</v>
      </c>
      <c r="D220" s="46">
        <f t="shared" si="15"/>
        <v>866.9052140651797</v>
      </c>
      <c r="E220" s="46">
        <f t="shared" si="19"/>
        <v>261375.34881462264</v>
      </c>
    </row>
    <row r="221" spans="1:5" ht="14.25">
      <c r="A221" s="5">
        <f t="shared" si="16"/>
        <v>207</v>
      </c>
      <c r="B221" s="46">
        <f t="shared" si="17"/>
        <v>2942.9897251256252</v>
      </c>
      <c r="C221" s="1">
        <f t="shared" si="18"/>
        <v>2069.221511449096</v>
      </c>
      <c r="D221" s="46">
        <f t="shared" si="15"/>
        <v>873.7682136765293</v>
      </c>
      <c r="E221" s="46">
        <f t="shared" si="19"/>
        <v>260501.58060094612</v>
      </c>
    </row>
    <row r="222" spans="1:5" ht="14.25">
      <c r="A222" s="5">
        <f t="shared" si="16"/>
        <v>208</v>
      </c>
      <c r="B222" s="46">
        <f t="shared" si="17"/>
        <v>2942.9897251256252</v>
      </c>
      <c r="C222" s="1">
        <f t="shared" si="18"/>
        <v>2062.30417975749</v>
      </c>
      <c r="D222" s="46">
        <f t="shared" si="15"/>
        <v>880.6855453681351</v>
      </c>
      <c r="E222" s="46">
        <f t="shared" si="19"/>
        <v>259620.89505557797</v>
      </c>
    </row>
    <row r="223" spans="1:5" ht="14.25">
      <c r="A223" s="5">
        <f t="shared" si="16"/>
        <v>209</v>
      </c>
      <c r="B223" s="46">
        <f t="shared" si="17"/>
        <v>2942.9897251256252</v>
      </c>
      <c r="C223" s="1">
        <f t="shared" si="18"/>
        <v>2055.332085856659</v>
      </c>
      <c r="D223" s="46">
        <f t="shared" si="15"/>
        <v>887.6576392689662</v>
      </c>
      <c r="E223" s="46">
        <f t="shared" si="19"/>
        <v>258733.237416309</v>
      </c>
    </row>
    <row r="224" spans="1:5" ht="14.25">
      <c r="A224" s="5">
        <f t="shared" si="16"/>
        <v>210</v>
      </c>
      <c r="B224" s="46">
        <f t="shared" si="17"/>
        <v>2942.9897251256252</v>
      </c>
      <c r="C224" s="1">
        <f t="shared" si="18"/>
        <v>2048.3047962124465</v>
      </c>
      <c r="D224" s="46">
        <f t="shared" si="15"/>
        <v>894.6849289131787</v>
      </c>
      <c r="E224" s="46">
        <f t="shared" si="19"/>
        <v>257838.55248739582</v>
      </c>
    </row>
    <row r="225" spans="1:5" ht="14.25">
      <c r="A225" s="5">
        <f t="shared" si="16"/>
        <v>211</v>
      </c>
      <c r="B225" s="46">
        <f t="shared" si="17"/>
        <v>2942.9897251256252</v>
      </c>
      <c r="C225" s="1">
        <f t="shared" si="18"/>
        <v>2041.2218738585505</v>
      </c>
      <c r="D225" s="46">
        <f t="shared" si="15"/>
        <v>901.7678512670748</v>
      </c>
      <c r="E225" s="46">
        <f t="shared" si="19"/>
        <v>256936.78463612875</v>
      </c>
    </row>
    <row r="226" spans="1:5" ht="14.25">
      <c r="A226" s="5">
        <f t="shared" si="16"/>
        <v>212</v>
      </c>
      <c r="B226" s="46">
        <f t="shared" si="17"/>
        <v>2942.9897251256252</v>
      </c>
      <c r="C226" s="1">
        <f t="shared" si="18"/>
        <v>2034.0828783693528</v>
      </c>
      <c r="D226" s="46">
        <f t="shared" si="15"/>
        <v>908.9068467562724</v>
      </c>
      <c r="E226" s="46">
        <f t="shared" si="19"/>
        <v>256027.8777893725</v>
      </c>
    </row>
    <row r="227" spans="1:5" ht="14.25">
      <c r="A227" s="5">
        <f t="shared" si="16"/>
        <v>213</v>
      </c>
      <c r="B227" s="46">
        <f t="shared" si="17"/>
        <v>2942.9897251256252</v>
      </c>
      <c r="C227" s="1">
        <f t="shared" si="18"/>
        <v>2026.8873658325324</v>
      </c>
      <c r="D227" s="46">
        <f t="shared" si="15"/>
        <v>916.1023592930928</v>
      </c>
      <c r="E227" s="46">
        <f t="shared" si="19"/>
        <v>255111.7754300794</v>
      </c>
    </row>
    <row r="228" spans="1:5" ht="14.25">
      <c r="A228" s="5">
        <f t="shared" si="16"/>
        <v>214</v>
      </c>
      <c r="B228" s="46">
        <f t="shared" si="17"/>
        <v>2942.9897251256252</v>
      </c>
      <c r="C228" s="1">
        <f t="shared" si="18"/>
        <v>2019.634888821462</v>
      </c>
      <c r="D228" s="46">
        <f t="shared" si="15"/>
        <v>923.3548363041632</v>
      </c>
      <c r="E228" s="46">
        <f t="shared" si="19"/>
        <v>254188.42059377523</v>
      </c>
    </row>
    <row r="229" spans="1:5" ht="14.25">
      <c r="A229" s="5">
        <f t="shared" si="16"/>
        <v>215</v>
      </c>
      <c r="B229" s="46">
        <f t="shared" si="17"/>
        <v>2942.9897251256252</v>
      </c>
      <c r="C229" s="1">
        <f t="shared" si="18"/>
        <v>2012.3249963673875</v>
      </c>
      <c r="D229" s="46">
        <f t="shared" si="15"/>
        <v>930.6647287582377</v>
      </c>
      <c r="E229" s="46">
        <f t="shared" si="19"/>
        <v>253257.75586501698</v>
      </c>
    </row>
    <row r="230" spans="1:5" ht="14.25">
      <c r="A230" s="5">
        <f t="shared" si="16"/>
        <v>216</v>
      </c>
      <c r="B230" s="46">
        <f t="shared" si="17"/>
        <v>2942.9897251256252</v>
      </c>
      <c r="C230" s="1">
        <f t="shared" si="18"/>
        <v>2004.9572339313845</v>
      </c>
      <c r="D230" s="46">
        <f t="shared" si="15"/>
        <v>938.0324911942407</v>
      </c>
      <c r="E230" s="46">
        <f t="shared" si="19"/>
        <v>252319.72337382275</v>
      </c>
    </row>
    <row r="231" spans="1:5" ht="14.25">
      <c r="A231" s="5">
        <f t="shared" si="16"/>
        <v>217</v>
      </c>
      <c r="B231" s="46">
        <f t="shared" si="17"/>
        <v>2942.9897251256252</v>
      </c>
      <c r="C231" s="1">
        <f t="shared" si="18"/>
        <v>1997.531143376097</v>
      </c>
      <c r="D231" s="46">
        <f t="shared" si="15"/>
        <v>945.4585817495283</v>
      </c>
      <c r="E231" s="46">
        <f t="shared" si="19"/>
        <v>251374.26479207323</v>
      </c>
    </row>
    <row r="232" spans="1:5" ht="14.25">
      <c r="A232" s="5">
        <f t="shared" si="16"/>
        <v>218</v>
      </c>
      <c r="B232" s="46">
        <f t="shared" si="17"/>
        <v>2942.9897251256252</v>
      </c>
      <c r="C232" s="1">
        <f t="shared" si="18"/>
        <v>1990.0462629372466</v>
      </c>
      <c r="D232" s="46">
        <f t="shared" si="15"/>
        <v>952.9434621883786</v>
      </c>
      <c r="E232" s="46">
        <f t="shared" si="19"/>
        <v>250421.32132988484</v>
      </c>
    </row>
    <row r="233" spans="1:5" ht="14.25">
      <c r="A233" s="5">
        <f t="shared" si="16"/>
        <v>219</v>
      </c>
      <c r="B233" s="46">
        <f t="shared" si="17"/>
        <v>2942.9897251256252</v>
      </c>
      <c r="C233" s="1">
        <f t="shared" si="18"/>
        <v>1982.5021271949217</v>
      </c>
      <c r="D233" s="46">
        <f t="shared" si="15"/>
        <v>960.4875979307035</v>
      </c>
      <c r="E233" s="46">
        <f t="shared" si="19"/>
        <v>249460.83373195413</v>
      </c>
    </row>
    <row r="234" spans="1:5" ht="14.25">
      <c r="A234" s="5">
        <f t="shared" si="16"/>
        <v>220</v>
      </c>
      <c r="B234" s="46">
        <f t="shared" si="17"/>
        <v>2942.9897251256252</v>
      </c>
      <c r="C234" s="1">
        <f t="shared" si="18"/>
        <v>1974.8982670446371</v>
      </c>
      <c r="D234" s="46">
        <f t="shared" si="15"/>
        <v>968.0914580809881</v>
      </c>
      <c r="E234" s="46">
        <f t="shared" si="19"/>
        <v>248492.74227387315</v>
      </c>
    </row>
    <row r="235" spans="1:5" ht="14.25">
      <c r="A235" s="5">
        <f t="shared" si="16"/>
        <v>221</v>
      </c>
      <c r="B235" s="46">
        <f t="shared" si="17"/>
        <v>2942.9897251256252</v>
      </c>
      <c r="C235" s="1">
        <f t="shared" si="18"/>
        <v>1967.2342096681627</v>
      </c>
      <c r="D235" s="46">
        <f t="shared" si="15"/>
        <v>975.7555154574625</v>
      </c>
      <c r="E235" s="46">
        <f t="shared" si="19"/>
        <v>247516.9867584157</v>
      </c>
    </row>
    <row r="236" spans="1:5" ht="14.25">
      <c r="A236" s="5">
        <f t="shared" si="16"/>
        <v>222</v>
      </c>
      <c r="B236" s="46">
        <f t="shared" si="17"/>
        <v>2942.9897251256252</v>
      </c>
      <c r="C236" s="1">
        <f t="shared" si="18"/>
        <v>1959.5094785041244</v>
      </c>
      <c r="D236" s="46">
        <f t="shared" si="15"/>
        <v>983.4802466215008</v>
      </c>
      <c r="E236" s="46">
        <f t="shared" si="19"/>
        <v>246533.5065117942</v>
      </c>
    </row>
    <row r="237" spans="1:5" ht="14.25">
      <c r="A237" s="5">
        <f t="shared" si="16"/>
        <v>223</v>
      </c>
      <c r="B237" s="46">
        <f t="shared" si="17"/>
        <v>2942.9897251256252</v>
      </c>
      <c r="C237" s="1">
        <f t="shared" si="18"/>
        <v>1951.723593218371</v>
      </c>
      <c r="D237" s="46">
        <f t="shared" si="15"/>
        <v>991.2661319072542</v>
      </c>
      <c r="E237" s="46">
        <f t="shared" si="19"/>
        <v>245542.24037988693</v>
      </c>
    </row>
    <row r="238" spans="1:5" ht="14.25">
      <c r="A238" s="5">
        <f t="shared" si="16"/>
        <v>224</v>
      </c>
      <c r="B238" s="46">
        <f t="shared" si="17"/>
        <v>2942.9897251256252</v>
      </c>
      <c r="C238" s="1">
        <f t="shared" si="18"/>
        <v>1943.876069674105</v>
      </c>
      <c r="D238" s="46">
        <f t="shared" si="15"/>
        <v>999.1136554515201</v>
      </c>
      <c r="E238" s="46">
        <f t="shared" si="19"/>
        <v>244543.12672443542</v>
      </c>
    </row>
    <row r="239" spans="1:5" ht="14.25">
      <c r="A239" s="5">
        <f t="shared" si="16"/>
        <v>225</v>
      </c>
      <c r="B239" s="46">
        <f t="shared" si="17"/>
        <v>2942.9897251256252</v>
      </c>
      <c r="C239" s="1">
        <f t="shared" si="18"/>
        <v>1935.9664199017807</v>
      </c>
      <c r="D239" s="46">
        <f t="shared" si="15"/>
        <v>1007.0233052238445</v>
      </c>
      <c r="E239" s="46">
        <f t="shared" si="19"/>
        <v>243536.10341921158</v>
      </c>
    </row>
    <row r="240" spans="1:5" ht="14.25">
      <c r="A240" s="5">
        <f t="shared" si="16"/>
        <v>226</v>
      </c>
      <c r="B240" s="46">
        <f t="shared" si="17"/>
        <v>2942.9897251256252</v>
      </c>
      <c r="C240" s="1">
        <f t="shared" si="18"/>
        <v>1927.9941520687585</v>
      </c>
      <c r="D240" s="46">
        <f t="shared" si="15"/>
        <v>1014.9955730568668</v>
      </c>
      <c r="E240" s="46">
        <f t="shared" si="19"/>
        <v>242521.10784615471</v>
      </c>
    </row>
    <row r="241" spans="1:5" ht="14.25">
      <c r="A241" s="5">
        <f t="shared" si="16"/>
        <v>227</v>
      </c>
      <c r="B241" s="46">
        <f t="shared" si="17"/>
        <v>2942.9897251256252</v>
      </c>
      <c r="C241" s="1">
        <f t="shared" si="18"/>
        <v>1919.958770448725</v>
      </c>
      <c r="D241" s="46">
        <f t="shared" si="15"/>
        <v>1023.0309546769001</v>
      </c>
      <c r="E241" s="46">
        <f t="shared" si="19"/>
        <v>241498.0768914778</v>
      </c>
    </row>
    <row r="242" spans="1:5" ht="14.25">
      <c r="A242" s="5">
        <f t="shared" si="16"/>
        <v>228</v>
      </c>
      <c r="B242" s="46">
        <f t="shared" si="17"/>
        <v>2942.9897251256252</v>
      </c>
      <c r="C242" s="1">
        <f t="shared" si="18"/>
        <v>1911.8597753908662</v>
      </c>
      <c r="D242" s="46">
        <f t="shared" si="15"/>
        <v>1031.129949734759</v>
      </c>
      <c r="E242" s="46">
        <f t="shared" si="19"/>
        <v>240466.94694174305</v>
      </c>
    </row>
    <row r="243" spans="1:5" ht="14.25">
      <c r="A243" s="5">
        <f t="shared" si="16"/>
        <v>229</v>
      </c>
      <c r="B243" s="46">
        <f t="shared" si="17"/>
        <v>2942.9897251256252</v>
      </c>
      <c r="C243" s="1">
        <f t="shared" si="18"/>
        <v>1903.6966632887993</v>
      </c>
      <c r="D243" s="46">
        <f t="shared" si="15"/>
        <v>1039.293061836826</v>
      </c>
      <c r="E243" s="46">
        <f t="shared" si="19"/>
        <v>239427.65387990623</v>
      </c>
    </row>
    <row r="244" spans="1:5" ht="14.25">
      <c r="A244" s="5">
        <f t="shared" si="16"/>
        <v>230</v>
      </c>
      <c r="B244" s="46">
        <f t="shared" si="17"/>
        <v>2942.9897251256252</v>
      </c>
      <c r="C244" s="1">
        <f t="shared" si="18"/>
        <v>1895.4689265492577</v>
      </c>
      <c r="D244" s="46">
        <f t="shared" si="15"/>
        <v>1047.5207985763675</v>
      </c>
      <c r="E244" s="46">
        <f t="shared" si="19"/>
        <v>238380.13308132987</v>
      </c>
    </row>
    <row r="245" spans="1:5" ht="14.25">
      <c r="A245" s="5">
        <f t="shared" si="16"/>
        <v>231</v>
      </c>
      <c r="B245" s="46">
        <f t="shared" si="17"/>
        <v>2942.9897251256252</v>
      </c>
      <c r="C245" s="1">
        <f t="shared" si="18"/>
        <v>1887.1760535605283</v>
      </c>
      <c r="D245" s="46">
        <f t="shared" si="15"/>
        <v>1055.813671565097</v>
      </c>
      <c r="E245" s="46">
        <f t="shared" si="19"/>
        <v>237324.31940976478</v>
      </c>
    </row>
    <row r="246" spans="1:5" ht="14.25">
      <c r="A246" s="5">
        <f t="shared" si="16"/>
        <v>232</v>
      </c>
      <c r="B246" s="46">
        <f t="shared" si="17"/>
        <v>2942.9897251256252</v>
      </c>
      <c r="C246" s="1">
        <f t="shared" si="18"/>
        <v>1878.817528660638</v>
      </c>
      <c r="D246" s="46">
        <f t="shared" si="15"/>
        <v>1064.1721964649873</v>
      </c>
      <c r="E246" s="46">
        <f t="shared" si="19"/>
        <v>236260.1472132998</v>
      </c>
    </row>
    <row r="247" spans="1:5" ht="14.25">
      <c r="A247" s="5">
        <f t="shared" si="16"/>
        <v>233</v>
      </c>
      <c r="B247" s="46">
        <f t="shared" si="17"/>
        <v>2942.9897251256252</v>
      </c>
      <c r="C247" s="1">
        <f t="shared" si="18"/>
        <v>1870.3928321052902</v>
      </c>
      <c r="D247" s="46">
        <f t="shared" si="15"/>
        <v>1072.596893020335</v>
      </c>
      <c r="E247" s="46">
        <f t="shared" si="19"/>
        <v>235187.55032027946</v>
      </c>
    </row>
    <row r="248" spans="1:5" ht="14.25">
      <c r="A248" s="5">
        <f t="shared" si="16"/>
        <v>234</v>
      </c>
      <c r="B248" s="46">
        <f t="shared" si="17"/>
        <v>2942.9897251256252</v>
      </c>
      <c r="C248" s="1">
        <f t="shared" si="18"/>
        <v>1861.9014400355459</v>
      </c>
      <c r="D248" s="46">
        <f t="shared" si="15"/>
        <v>1081.0882850900794</v>
      </c>
      <c r="E248" s="46">
        <f t="shared" si="19"/>
        <v>234106.46203518938</v>
      </c>
    </row>
    <row r="249" spans="1:5" ht="14.25">
      <c r="A249" s="5">
        <f t="shared" si="16"/>
        <v>235</v>
      </c>
      <c r="B249" s="46">
        <f t="shared" si="17"/>
        <v>2942.9897251256252</v>
      </c>
      <c r="C249" s="1">
        <f t="shared" si="18"/>
        <v>1853.3428244452493</v>
      </c>
      <c r="D249" s="46">
        <f t="shared" si="15"/>
        <v>1089.646900680376</v>
      </c>
      <c r="E249" s="46">
        <f t="shared" si="19"/>
        <v>233016.815134509</v>
      </c>
    </row>
    <row r="250" spans="1:5" ht="14.25">
      <c r="A250" s="5">
        <f t="shared" si="16"/>
        <v>236</v>
      </c>
      <c r="B250" s="46">
        <f t="shared" si="17"/>
        <v>2942.9897251256252</v>
      </c>
      <c r="C250" s="1">
        <f t="shared" si="18"/>
        <v>1844.7164531481965</v>
      </c>
      <c r="D250" s="46">
        <f t="shared" si="15"/>
        <v>1098.2732719774287</v>
      </c>
      <c r="E250" s="46">
        <f t="shared" si="19"/>
        <v>231918.54186253157</v>
      </c>
    </row>
    <row r="251" spans="1:5" ht="14.25">
      <c r="A251" s="5">
        <f t="shared" si="16"/>
        <v>237</v>
      </c>
      <c r="B251" s="46">
        <f t="shared" si="17"/>
        <v>2942.9897251256252</v>
      </c>
      <c r="C251" s="1">
        <f t="shared" si="18"/>
        <v>1836.0217897450418</v>
      </c>
      <c r="D251" s="46">
        <f t="shared" si="15"/>
        <v>1106.9679353805834</v>
      </c>
      <c r="E251" s="46">
        <f t="shared" si="19"/>
        <v>230811.57392715098</v>
      </c>
    </row>
    <row r="252" spans="1:5" ht="14.25">
      <c r="A252" s="5">
        <f t="shared" si="16"/>
        <v>238</v>
      </c>
      <c r="B252" s="46">
        <f t="shared" si="17"/>
        <v>2942.9897251256252</v>
      </c>
      <c r="C252" s="1">
        <f t="shared" si="18"/>
        <v>1827.2582935899454</v>
      </c>
      <c r="D252" s="46">
        <f t="shared" si="15"/>
        <v>1115.7314315356798</v>
      </c>
      <c r="E252" s="46">
        <f t="shared" si="19"/>
        <v>229695.8424956153</v>
      </c>
    </row>
    <row r="253" spans="1:5" ht="14.25">
      <c r="A253" s="5">
        <f t="shared" si="16"/>
        <v>239</v>
      </c>
      <c r="B253" s="46">
        <f t="shared" si="17"/>
        <v>2942.9897251256252</v>
      </c>
      <c r="C253" s="1">
        <f t="shared" si="18"/>
        <v>1818.4254197569546</v>
      </c>
      <c r="D253" s="46">
        <f t="shared" si="15"/>
        <v>1124.5643053686706</v>
      </c>
      <c r="E253" s="46">
        <f t="shared" si="19"/>
        <v>228571.27819024664</v>
      </c>
    </row>
    <row r="254" spans="1:5" ht="14.25">
      <c r="A254" s="5">
        <f t="shared" si="16"/>
        <v>240</v>
      </c>
      <c r="B254" s="46">
        <f t="shared" si="17"/>
        <v>2942.9897251256252</v>
      </c>
      <c r="C254" s="1">
        <f t="shared" si="18"/>
        <v>1809.5226190061194</v>
      </c>
      <c r="D254" s="46">
        <f t="shared" si="15"/>
        <v>1133.4671061195058</v>
      </c>
      <c r="E254" s="46">
        <f t="shared" si="19"/>
        <v>227437.81108412714</v>
      </c>
    </row>
    <row r="255" spans="1:5" ht="14.25">
      <c r="A255" s="5">
        <f t="shared" si="16"/>
        <v>241</v>
      </c>
      <c r="B255" s="46">
        <f t="shared" si="17"/>
        <v>2942.9897251256252</v>
      </c>
      <c r="C255" s="1">
        <f t="shared" si="18"/>
        <v>1800.54933774934</v>
      </c>
      <c r="D255" s="46">
        <f t="shared" si="15"/>
        <v>1142.4403873762851</v>
      </c>
      <c r="E255" s="46">
        <f t="shared" si="19"/>
        <v>226295.37069675085</v>
      </c>
    </row>
    <row r="256" spans="1:5" ht="14.25">
      <c r="A256" s="5">
        <f t="shared" si="16"/>
        <v>242</v>
      </c>
      <c r="B256" s="46">
        <f t="shared" si="17"/>
        <v>2942.9897251256252</v>
      </c>
      <c r="C256" s="1">
        <f t="shared" si="18"/>
        <v>1791.5050180159444</v>
      </c>
      <c r="D256" s="46">
        <f t="shared" si="15"/>
        <v>1151.4847071096808</v>
      </c>
      <c r="E256" s="46">
        <f t="shared" si="19"/>
        <v>225143.88598964116</v>
      </c>
    </row>
    <row r="257" spans="1:5" ht="14.25">
      <c r="A257" s="5">
        <f t="shared" si="16"/>
        <v>243</v>
      </c>
      <c r="B257" s="46">
        <f t="shared" si="17"/>
        <v>2942.9897251256252</v>
      </c>
      <c r="C257" s="1">
        <f t="shared" si="18"/>
        <v>1782.3890974179926</v>
      </c>
      <c r="D257" s="46">
        <f t="shared" si="15"/>
        <v>1160.6006277076326</v>
      </c>
      <c r="E257" s="46">
        <f t="shared" si="19"/>
        <v>223983.28536193352</v>
      </c>
    </row>
    <row r="258" spans="1:5" ht="14.25">
      <c r="A258" s="5">
        <f t="shared" si="16"/>
        <v>244</v>
      </c>
      <c r="B258" s="46">
        <f t="shared" si="17"/>
        <v>2942.9897251256252</v>
      </c>
      <c r="C258" s="1">
        <f t="shared" si="18"/>
        <v>1773.2010091153072</v>
      </c>
      <c r="D258" s="46">
        <f t="shared" si="15"/>
        <v>1169.788716010318</v>
      </c>
      <c r="E258" s="46">
        <f t="shared" si="19"/>
        <v>222813.4966459232</v>
      </c>
    </row>
    <row r="259" spans="1:5" ht="14.25">
      <c r="A259" s="5">
        <f t="shared" si="16"/>
        <v>245</v>
      </c>
      <c r="B259" s="46">
        <f t="shared" si="17"/>
        <v>2942.9897251256252</v>
      </c>
      <c r="C259" s="1">
        <f t="shared" si="18"/>
        <v>1763.9401817802257</v>
      </c>
      <c r="D259" s="46">
        <f t="shared" si="15"/>
        <v>1179.0495433453996</v>
      </c>
      <c r="E259" s="46">
        <f t="shared" si="19"/>
        <v>221634.4471025778</v>
      </c>
    </row>
    <row r="260" spans="1:5" ht="14.25">
      <c r="A260" s="5">
        <f t="shared" si="16"/>
        <v>246</v>
      </c>
      <c r="B260" s="46">
        <f t="shared" si="17"/>
        <v>2942.9897251256252</v>
      </c>
      <c r="C260" s="1">
        <f t="shared" si="18"/>
        <v>1754.6060395620743</v>
      </c>
      <c r="D260" s="46">
        <f t="shared" si="15"/>
        <v>1188.383685563551</v>
      </c>
      <c r="E260" s="46">
        <f t="shared" si="19"/>
        <v>220446.06341701426</v>
      </c>
    </row>
    <row r="261" spans="1:5" ht="14.25">
      <c r="A261" s="5">
        <f t="shared" si="16"/>
        <v>247</v>
      </c>
      <c r="B261" s="46">
        <f t="shared" si="17"/>
        <v>2942.9897251256252</v>
      </c>
      <c r="C261" s="1">
        <f t="shared" si="18"/>
        <v>1745.1980020513631</v>
      </c>
      <c r="D261" s="46">
        <f t="shared" si="15"/>
        <v>1197.791723074262</v>
      </c>
      <c r="E261" s="46">
        <f t="shared" si="19"/>
        <v>219248.27169393998</v>
      </c>
    </row>
    <row r="262" spans="1:5" ht="14.25">
      <c r="A262" s="5">
        <f t="shared" si="16"/>
        <v>248</v>
      </c>
      <c r="B262" s="46">
        <f t="shared" si="17"/>
        <v>2942.9897251256252</v>
      </c>
      <c r="C262" s="1">
        <f t="shared" si="18"/>
        <v>1735.7154842436917</v>
      </c>
      <c r="D262" s="46">
        <f t="shared" si="15"/>
        <v>1207.2742408819336</v>
      </c>
      <c r="E262" s="46">
        <f t="shared" si="19"/>
        <v>218040.99745305805</v>
      </c>
    </row>
    <row r="263" spans="1:5" ht="14.25">
      <c r="A263" s="5">
        <f t="shared" si="16"/>
        <v>249</v>
      </c>
      <c r="B263" s="46">
        <f t="shared" si="17"/>
        <v>2942.9897251256252</v>
      </c>
      <c r="C263" s="1">
        <f t="shared" si="18"/>
        <v>1726.1578965033764</v>
      </c>
      <c r="D263" s="46">
        <f t="shared" si="15"/>
        <v>1216.8318286222488</v>
      </c>
      <c r="E263" s="46">
        <f t="shared" si="19"/>
        <v>216824.16562443582</v>
      </c>
    </row>
    <row r="264" spans="1:5" ht="14.25">
      <c r="A264" s="5">
        <f t="shared" si="16"/>
        <v>250</v>
      </c>
      <c r="B264" s="46">
        <f t="shared" si="17"/>
        <v>2942.9897251256252</v>
      </c>
      <c r="C264" s="1">
        <f t="shared" si="18"/>
        <v>1716.5246445267837</v>
      </c>
      <c r="D264" s="46">
        <f t="shared" si="15"/>
        <v>1226.4650805988415</v>
      </c>
      <c r="E264" s="46">
        <f t="shared" si="19"/>
        <v>215597.70054383698</v>
      </c>
    </row>
    <row r="265" spans="1:5" ht="14.25">
      <c r="A265" s="5">
        <f t="shared" si="16"/>
        <v>251</v>
      </c>
      <c r="B265" s="46">
        <f t="shared" si="17"/>
        <v>2942.9897251256252</v>
      </c>
      <c r="C265" s="1">
        <f t="shared" si="18"/>
        <v>1706.8151293053763</v>
      </c>
      <c r="D265" s="46">
        <f t="shared" si="15"/>
        <v>1236.174595820249</v>
      </c>
      <c r="E265" s="46">
        <f t="shared" si="19"/>
        <v>214361.52594801673</v>
      </c>
    </row>
    <row r="266" spans="1:5" ht="14.25">
      <c r="A266" s="5">
        <f t="shared" si="16"/>
        <v>252</v>
      </c>
      <c r="B266" s="46">
        <f t="shared" si="17"/>
        <v>2942.9897251256252</v>
      </c>
      <c r="C266" s="1">
        <f t="shared" si="18"/>
        <v>1697.028747088466</v>
      </c>
      <c r="D266" s="46">
        <f t="shared" si="15"/>
        <v>1245.9609780371593</v>
      </c>
      <c r="E266" s="46">
        <f t="shared" si="19"/>
        <v>213115.56496997958</v>
      </c>
    </row>
    <row r="267" spans="1:5" ht="14.25">
      <c r="A267" s="5">
        <f t="shared" si="16"/>
        <v>253</v>
      </c>
      <c r="B267" s="46">
        <f t="shared" si="17"/>
        <v>2942.9897251256252</v>
      </c>
      <c r="C267" s="1">
        <f t="shared" si="18"/>
        <v>1687.1648893456718</v>
      </c>
      <c r="D267" s="46">
        <f t="shared" si="15"/>
        <v>1255.8248357799534</v>
      </c>
      <c r="E267" s="46">
        <f t="shared" si="19"/>
        <v>211859.74013419962</v>
      </c>
    </row>
    <row r="268" spans="1:5" ht="14.25">
      <c r="A268" s="5">
        <f t="shared" si="16"/>
        <v>254</v>
      </c>
      <c r="B268" s="46">
        <f t="shared" si="17"/>
        <v>2942.9897251256252</v>
      </c>
      <c r="C268" s="1">
        <f t="shared" si="18"/>
        <v>1677.2229427290804</v>
      </c>
      <c r="D268" s="46">
        <f t="shared" si="15"/>
        <v>1265.7667823965448</v>
      </c>
      <c r="E268" s="46">
        <f t="shared" si="19"/>
        <v>210593.97335180308</v>
      </c>
    </row>
    <row r="269" spans="1:5" ht="14.25">
      <c r="A269" s="5">
        <f t="shared" si="16"/>
        <v>255</v>
      </c>
      <c r="B269" s="46">
        <f t="shared" si="17"/>
        <v>2942.9897251256252</v>
      </c>
      <c r="C269" s="1">
        <f t="shared" si="18"/>
        <v>1667.202289035108</v>
      </c>
      <c r="D269" s="46">
        <f t="shared" si="15"/>
        <v>1275.7874360905173</v>
      </c>
      <c r="E269" s="46">
        <f t="shared" si="19"/>
        <v>209318.18591571256</v>
      </c>
    </row>
    <row r="270" spans="1:5" ht="14.25">
      <c r="A270" s="5">
        <f t="shared" si="16"/>
        <v>256</v>
      </c>
      <c r="B270" s="46">
        <f t="shared" si="17"/>
        <v>2942.9897251256252</v>
      </c>
      <c r="C270" s="1">
        <f t="shared" si="18"/>
        <v>1657.102305166058</v>
      </c>
      <c r="D270" s="46">
        <f t="shared" si="15"/>
        <v>1285.8874199595673</v>
      </c>
      <c r="E270" s="46">
        <f t="shared" si="19"/>
        <v>208032.298495753</v>
      </c>
    </row>
    <row r="271" spans="1:5" ht="14.25">
      <c r="A271" s="5">
        <f t="shared" si="16"/>
        <v>257</v>
      </c>
      <c r="B271" s="46">
        <f t="shared" si="17"/>
        <v>2942.9897251256252</v>
      </c>
      <c r="C271" s="1">
        <f t="shared" si="18"/>
        <v>1646.922363091378</v>
      </c>
      <c r="D271" s="46">
        <f aca="true" t="shared" si="20" ref="D271:D334">B271-C271</f>
        <v>1296.0673620342473</v>
      </c>
      <c r="E271" s="46">
        <f t="shared" si="19"/>
        <v>206736.23113371874</v>
      </c>
    </row>
    <row r="272" spans="1:5" ht="14.25">
      <c r="A272" s="5">
        <f aca="true" t="shared" si="21" ref="A272:A335">A271+1</f>
        <v>258</v>
      </c>
      <c r="B272" s="46">
        <f aca="true" t="shared" si="22" ref="B272:B335">-$B$9</f>
        <v>2942.9897251256252</v>
      </c>
      <c r="C272" s="1">
        <f aca="true" t="shared" si="23" ref="C272:C335">E271*$B$6</f>
        <v>1636.6618298086069</v>
      </c>
      <c r="D272" s="46">
        <f t="shared" si="20"/>
        <v>1306.3278953170184</v>
      </c>
      <c r="E272" s="46">
        <f aca="true" t="shared" si="24" ref="E272:E335">E271-D272</f>
        <v>205429.90323840172</v>
      </c>
    </row>
    <row r="273" spans="1:5" ht="14.25">
      <c r="A273" s="5">
        <f t="shared" si="21"/>
        <v>259</v>
      </c>
      <c r="B273" s="46">
        <f t="shared" si="22"/>
        <v>2942.9897251256252</v>
      </c>
      <c r="C273" s="1">
        <f t="shared" si="23"/>
        <v>1626.3200673040137</v>
      </c>
      <c r="D273" s="46">
        <f t="shared" si="20"/>
        <v>1316.6696578216115</v>
      </c>
      <c r="E273" s="46">
        <f t="shared" si="24"/>
        <v>204113.2335805801</v>
      </c>
    </row>
    <row r="274" spans="1:5" ht="14.25">
      <c r="A274" s="5">
        <f t="shared" si="21"/>
        <v>260</v>
      </c>
      <c r="B274" s="46">
        <f t="shared" si="22"/>
        <v>2942.9897251256252</v>
      </c>
      <c r="C274" s="1">
        <f t="shared" si="23"/>
        <v>1615.896432512926</v>
      </c>
      <c r="D274" s="46">
        <f t="shared" si="20"/>
        <v>1327.0932926126993</v>
      </c>
      <c r="E274" s="46">
        <f t="shared" si="24"/>
        <v>202786.1402879674</v>
      </c>
    </row>
    <row r="275" spans="1:5" ht="14.25">
      <c r="A275" s="5">
        <f t="shared" si="21"/>
        <v>261</v>
      </c>
      <c r="B275" s="46">
        <f t="shared" si="22"/>
        <v>2942.9897251256252</v>
      </c>
      <c r="C275" s="1">
        <f t="shared" si="23"/>
        <v>1605.3902772797421</v>
      </c>
      <c r="D275" s="46">
        <f t="shared" si="20"/>
        <v>1337.599447845883</v>
      </c>
      <c r="E275" s="46">
        <f t="shared" si="24"/>
        <v>201448.5408401215</v>
      </c>
    </row>
    <row r="276" spans="1:5" ht="14.25">
      <c r="A276" s="5">
        <f t="shared" si="21"/>
        <v>262</v>
      </c>
      <c r="B276" s="46">
        <f t="shared" si="22"/>
        <v>2942.9897251256252</v>
      </c>
      <c r="C276" s="1">
        <f t="shared" si="23"/>
        <v>1594.8009483176288</v>
      </c>
      <c r="D276" s="46">
        <f t="shared" si="20"/>
        <v>1348.1887768079964</v>
      </c>
      <c r="E276" s="46">
        <f t="shared" si="24"/>
        <v>200100.3520633135</v>
      </c>
    </row>
    <row r="277" spans="1:5" ht="14.25">
      <c r="A277" s="5">
        <f t="shared" si="21"/>
        <v>263</v>
      </c>
      <c r="B277" s="46">
        <f t="shared" si="22"/>
        <v>2942.9897251256252</v>
      </c>
      <c r="C277" s="1">
        <f t="shared" si="23"/>
        <v>1584.1277871678988</v>
      </c>
      <c r="D277" s="46">
        <f t="shared" si="20"/>
        <v>1358.8619379577265</v>
      </c>
      <c r="E277" s="46">
        <f t="shared" si="24"/>
        <v>198741.49012535578</v>
      </c>
    </row>
    <row r="278" spans="1:5" ht="14.25">
      <c r="A278" s="5">
        <f t="shared" si="21"/>
        <v>264</v>
      </c>
      <c r="B278" s="46">
        <f t="shared" si="22"/>
        <v>2942.9897251256252</v>
      </c>
      <c r="C278" s="1">
        <f t="shared" si="23"/>
        <v>1573.3701301590668</v>
      </c>
      <c r="D278" s="46">
        <f t="shared" si="20"/>
        <v>1369.6195949665585</v>
      </c>
      <c r="E278" s="46">
        <f t="shared" si="24"/>
        <v>197371.87053038922</v>
      </c>
    </row>
    <row r="279" spans="1:5" ht="14.25">
      <c r="A279" s="5">
        <f t="shared" si="21"/>
        <v>265</v>
      </c>
      <c r="B279" s="46">
        <f t="shared" si="22"/>
        <v>2942.9897251256252</v>
      </c>
      <c r="C279" s="1">
        <f t="shared" si="23"/>
        <v>1562.5273083655813</v>
      </c>
      <c r="D279" s="46">
        <f t="shared" si="20"/>
        <v>1380.4624167600439</v>
      </c>
      <c r="E279" s="46">
        <f t="shared" si="24"/>
        <v>195991.40811362918</v>
      </c>
    </row>
    <row r="280" spans="1:5" ht="14.25">
      <c r="A280" s="5">
        <f t="shared" si="21"/>
        <v>266</v>
      </c>
      <c r="B280" s="46">
        <f t="shared" si="22"/>
        <v>2942.9897251256252</v>
      </c>
      <c r="C280" s="1">
        <f t="shared" si="23"/>
        <v>1551.5986475662312</v>
      </c>
      <c r="D280" s="46">
        <f t="shared" si="20"/>
        <v>1391.391077559394</v>
      </c>
      <c r="E280" s="46">
        <f t="shared" si="24"/>
        <v>194600.0170360698</v>
      </c>
    </row>
    <row r="281" spans="1:5" ht="14.25">
      <c r="A281" s="5">
        <f t="shared" si="21"/>
        <v>267</v>
      </c>
      <c r="B281" s="46">
        <f t="shared" si="22"/>
        <v>2942.9897251256252</v>
      </c>
      <c r="C281" s="1">
        <f t="shared" si="23"/>
        <v>1540.5834682022194</v>
      </c>
      <c r="D281" s="46">
        <f t="shared" si="20"/>
        <v>1402.4062569234059</v>
      </c>
      <c r="E281" s="46">
        <f t="shared" si="24"/>
        <v>193197.6107791464</v>
      </c>
    </row>
    <row r="282" spans="1:5" ht="14.25">
      <c r="A282" s="5">
        <f t="shared" si="21"/>
        <v>268</v>
      </c>
      <c r="B282" s="46">
        <f t="shared" si="22"/>
        <v>2942.9897251256252</v>
      </c>
      <c r="C282" s="1">
        <f t="shared" si="23"/>
        <v>1529.481085334909</v>
      </c>
      <c r="D282" s="46">
        <f t="shared" si="20"/>
        <v>1413.5086397907162</v>
      </c>
      <c r="E282" s="46">
        <f t="shared" si="24"/>
        <v>191784.10213935567</v>
      </c>
    </row>
    <row r="283" spans="1:5" ht="14.25">
      <c r="A283" s="5">
        <f t="shared" si="21"/>
        <v>269</v>
      </c>
      <c r="B283" s="46">
        <f t="shared" si="22"/>
        <v>2942.9897251256252</v>
      </c>
      <c r="C283" s="1">
        <f t="shared" si="23"/>
        <v>1518.2908086032326</v>
      </c>
      <c r="D283" s="46">
        <f t="shared" si="20"/>
        <v>1424.6989165223927</v>
      </c>
      <c r="E283" s="46">
        <f t="shared" si="24"/>
        <v>190359.4032228333</v>
      </c>
    </row>
    <row r="284" spans="1:5" ht="14.25">
      <c r="A284" s="5">
        <f t="shared" si="21"/>
        <v>270</v>
      </c>
      <c r="B284" s="46">
        <f t="shared" si="22"/>
        <v>2942.9897251256252</v>
      </c>
      <c r="C284" s="1">
        <f t="shared" si="23"/>
        <v>1507.0119421807638</v>
      </c>
      <c r="D284" s="46">
        <f t="shared" si="20"/>
        <v>1435.9777829448615</v>
      </c>
      <c r="E284" s="46">
        <f t="shared" si="24"/>
        <v>188923.42543988844</v>
      </c>
    </row>
    <row r="285" spans="1:5" ht="14.25">
      <c r="A285" s="5">
        <f t="shared" si="21"/>
        <v>271</v>
      </c>
      <c r="B285" s="46">
        <f t="shared" si="22"/>
        <v>2942.9897251256252</v>
      </c>
      <c r="C285" s="1">
        <f t="shared" si="23"/>
        <v>1495.6437847324503</v>
      </c>
      <c r="D285" s="46">
        <f t="shared" si="20"/>
        <v>1447.345940393175</v>
      </c>
      <c r="E285" s="46">
        <f t="shared" si="24"/>
        <v>187476.07949949527</v>
      </c>
    </row>
    <row r="286" spans="1:5" ht="14.25">
      <c r="A286" s="5">
        <f t="shared" si="21"/>
        <v>272</v>
      </c>
      <c r="B286" s="46">
        <f t="shared" si="22"/>
        <v>2942.9897251256252</v>
      </c>
      <c r="C286" s="1">
        <f t="shared" si="23"/>
        <v>1484.1856293710043</v>
      </c>
      <c r="D286" s="46">
        <f t="shared" si="20"/>
        <v>1458.804095754621</v>
      </c>
      <c r="E286" s="46">
        <f t="shared" si="24"/>
        <v>186017.27540374064</v>
      </c>
    </row>
    <row r="287" spans="1:5" ht="14.25">
      <c r="A287" s="5">
        <f t="shared" si="21"/>
        <v>273</v>
      </c>
      <c r="B287" s="46">
        <f t="shared" si="22"/>
        <v>2942.9897251256252</v>
      </c>
      <c r="C287" s="1">
        <f t="shared" si="23"/>
        <v>1472.6367636129469</v>
      </c>
      <c r="D287" s="46">
        <f t="shared" si="20"/>
        <v>1470.3529615126783</v>
      </c>
      <c r="E287" s="46">
        <f t="shared" si="24"/>
        <v>184546.92244222795</v>
      </c>
    </row>
    <row r="288" spans="1:5" ht="14.25">
      <c r="A288" s="5">
        <f t="shared" si="21"/>
        <v>274</v>
      </c>
      <c r="B288" s="46">
        <f t="shared" si="22"/>
        <v>2942.9897251256252</v>
      </c>
      <c r="C288" s="1">
        <f t="shared" si="23"/>
        <v>1460.9964693343047</v>
      </c>
      <c r="D288" s="46">
        <f t="shared" si="20"/>
        <v>1481.9932557913205</v>
      </c>
      <c r="E288" s="46">
        <f t="shared" si="24"/>
        <v>183064.92918643664</v>
      </c>
    </row>
    <row r="289" spans="1:5" ht="14.25">
      <c r="A289" s="5">
        <f t="shared" si="21"/>
        <v>275</v>
      </c>
      <c r="B289" s="46">
        <f t="shared" si="22"/>
        <v>2942.9897251256252</v>
      </c>
      <c r="C289" s="1">
        <f t="shared" si="23"/>
        <v>1449.264022725957</v>
      </c>
      <c r="D289" s="46">
        <f t="shared" si="20"/>
        <v>1493.7257023996683</v>
      </c>
      <c r="E289" s="46">
        <f t="shared" si="24"/>
        <v>181571.20348403696</v>
      </c>
    </row>
    <row r="290" spans="1:5" ht="14.25">
      <c r="A290" s="5">
        <f t="shared" si="21"/>
        <v>276</v>
      </c>
      <c r="B290" s="46">
        <f t="shared" si="22"/>
        <v>2942.9897251256252</v>
      </c>
      <c r="C290" s="1">
        <f t="shared" si="23"/>
        <v>1437.438694248626</v>
      </c>
      <c r="D290" s="46">
        <f t="shared" si="20"/>
        <v>1505.5510308769992</v>
      </c>
      <c r="E290" s="46">
        <f t="shared" si="24"/>
        <v>180065.65245315997</v>
      </c>
    </row>
    <row r="291" spans="1:5" ht="14.25">
      <c r="A291" s="5">
        <f t="shared" si="21"/>
        <v>277</v>
      </c>
      <c r="B291" s="46">
        <f t="shared" si="22"/>
        <v>2942.9897251256252</v>
      </c>
      <c r="C291" s="1">
        <f t="shared" si="23"/>
        <v>1425.5197485875165</v>
      </c>
      <c r="D291" s="46">
        <f t="shared" si="20"/>
        <v>1517.4699765381088</v>
      </c>
      <c r="E291" s="46">
        <f t="shared" si="24"/>
        <v>178548.18247662185</v>
      </c>
    </row>
    <row r="292" spans="1:5" ht="14.25">
      <c r="A292" s="5">
        <f t="shared" si="21"/>
        <v>278</v>
      </c>
      <c r="B292" s="46">
        <f t="shared" si="22"/>
        <v>2942.9897251256252</v>
      </c>
      <c r="C292" s="1">
        <f t="shared" si="23"/>
        <v>1413.5064446065899</v>
      </c>
      <c r="D292" s="46">
        <f t="shared" si="20"/>
        <v>1529.4832805190354</v>
      </c>
      <c r="E292" s="46">
        <f t="shared" si="24"/>
        <v>177018.69919610283</v>
      </c>
    </row>
    <row r="293" spans="1:5" ht="14.25">
      <c r="A293" s="5">
        <f t="shared" si="21"/>
        <v>279</v>
      </c>
      <c r="B293" s="46">
        <f t="shared" si="22"/>
        <v>2942.9897251256252</v>
      </c>
      <c r="C293" s="1">
        <f t="shared" si="23"/>
        <v>1401.3980353024808</v>
      </c>
      <c r="D293" s="46">
        <f t="shared" si="20"/>
        <v>1541.5916898231444</v>
      </c>
      <c r="E293" s="46">
        <f t="shared" si="24"/>
        <v>175477.1075062797</v>
      </c>
    </row>
    <row r="294" spans="1:5" ht="14.25">
      <c r="A294" s="5">
        <f t="shared" si="21"/>
        <v>280</v>
      </c>
      <c r="B294" s="46">
        <f t="shared" si="22"/>
        <v>2942.9897251256252</v>
      </c>
      <c r="C294" s="1">
        <f t="shared" si="23"/>
        <v>1389.1937677580477</v>
      </c>
      <c r="D294" s="46">
        <f t="shared" si="20"/>
        <v>1553.7959573675776</v>
      </c>
      <c r="E294" s="46">
        <f t="shared" si="24"/>
        <v>173923.3115489121</v>
      </c>
    </row>
    <row r="295" spans="1:5" ht="14.25">
      <c r="A295" s="5">
        <f t="shared" si="21"/>
        <v>281</v>
      </c>
      <c r="B295" s="46">
        <f t="shared" si="22"/>
        <v>2942.9897251256252</v>
      </c>
      <c r="C295" s="1">
        <f t="shared" si="23"/>
        <v>1376.8928830955542</v>
      </c>
      <c r="D295" s="46">
        <f t="shared" si="20"/>
        <v>1566.096842030071</v>
      </c>
      <c r="E295" s="46">
        <f t="shared" si="24"/>
        <v>172357.21470688205</v>
      </c>
    </row>
    <row r="296" spans="1:5" ht="14.25">
      <c r="A296" s="5">
        <f t="shared" si="21"/>
        <v>282</v>
      </c>
      <c r="B296" s="46">
        <f t="shared" si="22"/>
        <v>2942.9897251256252</v>
      </c>
      <c r="C296" s="1">
        <f t="shared" si="23"/>
        <v>1364.494616429483</v>
      </c>
      <c r="D296" s="46">
        <f t="shared" si="20"/>
        <v>1578.4951086961423</v>
      </c>
      <c r="E296" s="46">
        <f t="shared" si="24"/>
        <v>170778.7195981859</v>
      </c>
    </row>
    <row r="297" spans="1:5" ht="14.25">
      <c r="A297" s="5">
        <f t="shared" si="21"/>
        <v>283</v>
      </c>
      <c r="B297" s="46">
        <f t="shared" si="22"/>
        <v>2942.9897251256252</v>
      </c>
      <c r="C297" s="1">
        <f t="shared" si="23"/>
        <v>1351.998196818972</v>
      </c>
      <c r="D297" s="46">
        <f t="shared" si="20"/>
        <v>1590.9915283066532</v>
      </c>
      <c r="E297" s="46">
        <f t="shared" si="24"/>
        <v>169187.72806987926</v>
      </c>
    </row>
    <row r="298" spans="1:5" ht="14.25">
      <c r="A298" s="5">
        <f t="shared" si="21"/>
        <v>284</v>
      </c>
      <c r="B298" s="46">
        <f t="shared" si="22"/>
        <v>2942.9897251256252</v>
      </c>
      <c r="C298" s="1">
        <f t="shared" si="23"/>
        <v>1339.4028472198777</v>
      </c>
      <c r="D298" s="46">
        <f t="shared" si="20"/>
        <v>1603.5868779057475</v>
      </c>
      <c r="E298" s="46">
        <f t="shared" si="24"/>
        <v>167584.14119197353</v>
      </c>
    </row>
    <row r="299" spans="1:5" ht="14.25">
      <c r="A299" s="5">
        <f t="shared" si="21"/>
        <v>285</v>
      </c>
      <c r="B299" s="46">
        <f t="shared" si="22"/>
        <v>2942.9897251256252</v>
      </c>
      <c r="C299" s="1">
        <f t="shared" si="23"/>
        <v>1326.7077844364571</v>
      </c>
      <c r="D299" s="46">
        <f t="shared" si="20"/>
        <v>1616.281940689168</v>
      </c>
      <c r="E299" s="46">
        <f t="shared" si="24"/>
        <v>165967.85925128436</v>
      </c>
    </row>
    <row r="300" spans="1:5" ht="14.25">
      <c r="A300" s="5">
        <f t="shared" si="21"/>
        <v>286</v>
      </c>
      <c r="B300" s="46">
        <f t="shared" si="22"/>
        <v>2942.9897251256252</v>
      </c>
      <c r="C300" s="1">
        <f t="shared" si="23"/>
        <v>1313.912219072668</v>
      </c>
      <c r="D300" s="46">
        <f t="shared" si="20"/>
        <v>1629.0775060529572</v>
      </c>
      <c r="E300" s="46">
        <f t="shared" si="24"/>
        <v>164338.7817452314</v>
      </c>
    </row>
    <row r="301" spans="1:5" ht="14.25">
      <c r="A301" s="5">
        <f t="shared" si="21"/>
        <v>287</v>
      </c>
      <c r="B301" s="46">
        <f t="shared" si="22"/>
        <v>2942.9897251256252</v>
      </c>
      <c r="C301" s="1">
        <f t="shared" si="23"/>
        <v>1301.015355483082</v>
      </c>
      <c r="D301" s="46">
        <f t="shared" si="20"/>
        <v>1641.9743696425433</v>
      </c>
      <c r="E301" s="46">
        <f t="shared" si="24"/>
        <v>162696.80737558883</v>
      </c>
    </row>
    <row r="302" spans="1:5" ht="14.25">
      <c r="A302" s="5">
        <f t="shared" si="21"/>
        <v>288</v>
      </c>
      <c r="B302" s="46">
        <f t="shared" si="22"/>
        <v>2942.9897251256252</v>
      </c>
      <c r="C302" s="1">
        <f t="shared" si="23"/>
        <v>1288.0163917234117</v>
      </c>
      <c r="D302" s="46">
        <f t="shared" si="20"/>
        <v>1654.9733334022135</v>
      </c>
      <c r="E302" s="46">
        <f t="shared" si="24"/>
        <v>161041.83404218662</v>
      </c>
    </row>
    <row r="303" spans="1:5" ht="14.25">
      <c r="A303" s="5">
        <f t="shared" si="21"/>
        <v>289</v>
      </c>
      <c r="B303" s="46">
        <f t="shared" si="22"/>
        <v>2942.9897251256252</v>
      </c>
      <c r="C303" s="1">
        <f t="shared" si="23"/>
        <v>1274.9145195006442</v>
      </c>
      <c r="D303" s="46">
        <f t="shared" si="20"/>
        <v>1668.075205624981</v>
      </c>
      <c r="E303" s="46">
        <f t="shared" si="24"/>
        <v>159373.75883656164</v>
      </c>
    </row>
    <row r="304" spans="1:5" ht="14.25">
      <c r="A304" s="5">
        <f t="shared" si="21"/>
        <v>290</v>
      </c>
      <c r="B304" s="46">
        <f t="shared" si="22"/>
        <v>2942.9897251256252</v>
      </c>
      <c r="C304" s="1">
        <f t="shared" si="23"/>
        <v>1261.7089241227798</v>
      </c>
      <c r="D304" s="46">
        <f t="shared" si="20"/>
        <v>1681.2808010028455</v>
      </c>
      <c r="E304" s="46">
        <f t="shared" si="24"/>
        <v>157692.4780355588</v>
      </c>
    </row>
    <row r="305" spans="1:5" ht="14.25">
      <c r="A305" s="5">
        <f t="shared" si="21"/>
        <v>291</v>
      </c>
      <c r="B305" s="46">
        <f t="shared" si="22"/>
        <v>2942.9897251256252</v>
      </c>
      <c r="C305" s="1">
        <f t="shared" si="23"/>
        <v>1248.398784448174</v>
      </c>
      <c r="D305" s="46">
        <f t="shared" si="20"/>
        <v>1694.5909406774513</v>
      </c>
      <c r="E305" s="46">
        <f t="shared" si="24"/>
        <v>155997.88709488136</v>
      </c>
    </row>
    <row r="306" spans="1:5" ht="14.25">
      <c r="A306" s="5">
        <f t="shared" si="21"/>
        <v>292</v>
      </c>
      <c r="B306" s="46">
        <f t="shared" si="22"/>
        <v>2942.9897251256252</v>
      </c>
      <c r="C306" s="1">
        <f t="shared" si="23"/>
        <v>1234.9832728344775</v>
      </c>
      <c r="D306" s="46">
        <f t="shared" si="20"/>
        <v>1708.0064522911478</v>
      </c>
      <c r="E306" s="46">
        <f t="shared" si="24"/>
        <v>154289.8806425902</v>
      </c>
    </row>
    <row r="307" spans="1:5" ht="14.25">
      <c r="A307" s="5">
        <f t="shared" si="21"/>
        <v>293</v>
      </c>
      <c r="B307" s="46">
        <f t="shared" si="22"/>
        <v>2942.9897251256252</v>
      </c>
      <c r="C307" s="1">
        <f t="shared" si="23"/>
        <v>1221.4615550871724</v>
      </c>
      <c r="D307" s="46">
        <f t="shared" si="20"/>
        <v>1721.5281700384528</v>
      </c>
      <c r="E307" s="46">
        <f t="shared" si="24"/>
        <v>152568.35247255175</v>
      </c>
    </row>
    <row r="308" spans="1:5" ht="14.25">
      <c r="A308" s="5">
        <f t="shared" si="21"/>
        <v>294</v>
      </c>
      <c r="B308" s="46">
        <f t="shared" si="22"/>
        <v>2942.9897251256252</v>
      </c>
      <c r="C308" s="1">
        <f t="shared" si="23"/>
        <v>1207.8327904077014</v>
      </c>
      <c r="D308" s="46">
        <f t="shared" si="20"/>
        <v>1735.1569347179238</v>
      </c>
      <c r="E308" s="46">
        <f t="shared" si="24"/>
        <v>150833.19553783382</v>
      </c>
    </row>
    <row r="309" spans="1:5" ht="14.25">
      <c r="A309" s="5">
        <f t="shared" si="21"/>
        <v>295</v>
      </c>
      <c r="B309" s="46">
        <f t="shared" si="22"/>
        <v>2942.9897251256252</v>
      </c>
      <c r="C309" s="1">
        <f t="shared" si="23"/>
        <v>1194.0961313411844</v>
      </c>
      <c r="D309" s="46">
        <f t="shared" si="20"/>
        <v>1748.8935937844408</v>
      </c>
      <c r="E309" s="46">
        <f t="shared" si="24"/>
        <v>149084.30194404937</v>
      </c>
    </row>
    <row r="310" spans="1:5" ht="14.25">
      <c r="A310" s="5">
        <f t="shared" si="21"/>
        <v>296</v>
      </c>
      <c r="B310" s="46">
        <f t="shared" si="22"/>
        <v>2942.9897251256252</v>
      </c>
      <c r="C310" s="1">
        <f t="shared" si="23"/>
        <v>1180.2507237237241</v>
      </c>
      <c r="D310" s="46">
        <f t="shared" si="20"/>
        <v>1762.739001401901</v>
      </c>
      <c r="E310" s="46">
        <f t="shared" si="24"/>
        <v>147321.56294264746</v>
      </c>
    </row>
    <row r="311" spans="1:5" ht="14.25">
      <c r="A311" s="5">
        <f t="shared" si="21"/>
        <v>297</v>
      </c>
      <c r="B311" s="46">
        <f t="shared" si="22"/>
        <v>2942.9897251256252</v>
      </c>
      <c r="C311" s="1">
        <f t="shared" si="23"/>
        <v>1166.2957066292925</v>
      </c>
      <c r="D311" s="46">
        <f t="shared" si="20"/>
        <v>1776.6940184963328</v>
      </c>
      <c r="E311" s="46">
        <f t="shared" si="24"/>
        <v>145544.86892415112</v>
      </c>
    </row>
    <row r="312" spans="1:5" ht="14.25">
      <c r="A312" s="5">
        <f t="shared" si="21"/>
        <v>298</v>
      </c>
      <c r="B312" s="46">
        <f t="shared" si="22"/>
        <v>2942.9897251256252</v>
      </c>
      <c r="C312" s="1">
        <f t="shared" si="23"/>
        <v>1152.2302123161965</v>
      </c>
      <c r="D312" s="46">
        <f t="shared" si="20"/>
        <v>1790.7595128094288</v>
      </c>
      <c r="E312" s="46">
        <f t="shared" si="24"/>
        <v>143754.1094113417</v>
      </c>
    </row>
    <row r="313" spans="1:5" ht="14.25">
      <c r="A313" s="5">
        <f t="shared" si="21"/>
        <v>299</v>
      </c>
      <c r="B313" s="46">
        <f t="shared" si="22"/>
        <v>2942.9897251256252</v>
      </c>
      <c r="C313" s="1">
        <f t="shared" si="23"/>
        <v>1138.0533661731217</v>
      </c>
      <c r="D313" s="46">
        <f t="shared" si="20"/>
        <v>1804.9363589525035</v>
      </c>
      <c r="E313" s="46">
        <f t="shared" si="24"/>
        <v>141949.17305238917</v>
      </c>
    </row>
    <row r="314" spans="1:5" ht="14.25">
      <c r="A314" s="5">
        <f t="shared" si="21"/>
        <v>300</v>
      </c>
      <c r="B314" s="46">
        <f t="shared" si="22"/>
        <v>2942.9897251256252</v>
      </c>
      <c r="C314" s="1">
        <f t="shared" si="23"/>
        <v>1123.7642866647477</v>
      </c>
      <c r="D314" s="46">
        <f t="shared" si="20"/>
        <v>1819.2254384608775</v>
      </c>
      <c r="E314" s="46">
        <f t="shared" si="24"/>
        <v>140129.9476139283</v>
      </c>
    </row>
    <row r="315" spans="1:5" ht="14.25">
      <c r="A315" s="5">
        <f t="shared" si="21"/>
        <v>301</v>
      </c>
      <c r="B315" s="46">
        <f t="shared" si="22"/>
        <v>2942.9897251256252</v>
      </c>
      <c r="C315" s="1">
        <f t="shared" si="23"/>
        <v>1109.3620852769325</v>
      </c>
      <c r="D315" s="46">
        <f t="shared" si="20"/>
        <v>1833.6276398486928</v>
      </c>
      <c r="E315" s="46">
        <f t="shared" si="24"/>
        <v>138296.3199740796</v>
      </c>
    </row>
    <row r="316" spans="1:5" ht="14.25">
      <c r="A316" s="5">
        <f t="shared" si="21"/>
        <v>302</v>
      </c>
      <c r="B316" s="46">
        <f t="shared" si="22"/>
        <v>2942.9897251256252</v>
      </c>
      <c r="C316" s="1">
        <f t="shared" si="23"/>
        <v>1094.8458664614636</v>
      </c>
      <c r="D316" s="46">
        <f t="shared" si="20"/>
        <v>1848.1438586641616</v>
      </c>
      <c r="E316" s="46">
        <f t="shared" si="24"/>
        <v>136448.17611541544</v>
      </c>
    </row>
    <row r="317" spans="1:5" ht="14.25">
      <c r="A317" s="5">
        <f t="shared" si="21"/>
        <v>303</v>
      </c>
      <c r="B317" s="46">
        <f t="shared" si="22"/>
        <v>2942.9897251256252</v>
      </c>
      <c r="C317" s="1">
        <f t="shared" si="23"/>
        <v>1080.2147275803723</v>
      </c>
      <c r="D317" s="46">
        <f t="shared" si="20"/>
        <v>1862.774997545253</v>
      </c>
      <c r="E317" s="46">
        <f t="shared" si="24"/>
        <v>134585.40111787018</v>
      </c>
    </row>
    <row r="318" spans="1:5" ht="14.25">
      <c r="A318" s="5">
        <f t="shared" si="21"/>
        <v>304</v>
      </c>
      <c r="B318" s="46">
        <f t="shared" si="22"/>
        <v>2942.9897251256252</v>
      </c>
      <c r="C318" s="1">
        <f t="shared" si="23"/>
        <v>1065.4677588498057</v>
      </c>
      <c r="D318" s="46">
        <f t="shared" si="20"/>
        <v>1877.5219662758195</v>
      </c>
      <c r="E318" s="46">
        <f t="shared" si="24"/>
        <v>132707.87915159436</v>
      </c>
    </row>
    <row r="319" spans="1:5" ht="14.25">
      <c r="A319" s="5">
        <f t="shared" si="21"/>
        <v>305</v>
      </c>
      <c r="B319" s="46">
        <f t="shared" si="22"/>
        <v>2942.9897251256252</v>
      </c>
      <c r="C319" s="1">
        <f t="shared" si="23"/>
        <v>1050.6040432834554</v>
      </c>
      <c r="D319" s="46">
        <f t="shared" si="20"/>
        <v>1892.3856818421698</v>
      </c>
      <c r="E319" s="46">
        <f t="shared" si="24"/>
        <v>130815.4934697522</v>
      </c>
    </row>
    <row r="320" spans="1:5" ht="14.25">
      <c r="A320" s="5">
        <f t="shared" si="21"/>
        <v>306</v>
      </c>
      <c r="B320" s="46">
        <f t="shared" si="22"/>
        <v>2942.9897251256252</v>
      </c>
      <c r="C320" s="1">
        <f t="shared" si="23"/>
        <v>1035.6226566355383</v>
      </c>
      <c r="D320" s="46">
        <f t="shared" si="20"/>
        <v>1907.367068490087</v>
      </c>
      <c r="E320" s="46">
        <f t="shared" si="24"/>
        <v>128908.12640126211</v>
      </c>
    </row>
    <row r="321" spans="1:5" ht="14.25">
      <c r="A321" s="5">
        <f t="shared" si="21"/>
        <v>307</v>
      </c>
      <c r="B321" s="46">
        <f t="shared" si="22"/>
        <v>2942.9897251256252</v>
      </c>
      <c r="C321" s="1">
        <f t="shared" si="23"/>
        <v>1020.5226673433251</v>
      </c>
      <c r="D321" s="46">
        <f t="shared" si="20"/>
        <v>1922.4670577823001</v>
      </c>
      <c r="E321" s="46">
        <f t="shared" si="24"/>
        <v>126985.65934347981</v>
      </c>
    </row>
    <row r="322" spans="1:5" ht="14.25">
      <c r="A322" s="5">
        <f t="shared" si="21"/>
        <v>308</v>
      </c>
      <c r="B322" s="46">
        <f t="shared" si="22"/>
        <v>2942.9897251256252</v>
      </c>
      <c r="C322" s="1">
        <f t="shared" si="23"/>
        <v>1005.3031364692152</v>
      </c>
      <c r="D322" s="46">
        <f t="shared" si="20"/>
        <v>1937.68658865641</v>
      </c>
      <c r="E322" s="46">
        <f t="shared" si="24"/>
        <v>125047.97275482341</v>
      </c>
    </row>
    <row r="323" spans="1:5" ht="14.25">
      <c r="A323" s="5">
        <f t="shared" si="21"/>
        <v>309</v>
      </c>
      <c r="B323" s="46">
        <f t="shared" si="22"/>
        <v>2942.9897251256252</v>
      </c>
      <c r="C323" s="1">
        <f t="shared" si="23"/>
        <v>989.963117642352</v>
      </c>
      <c r="D323" s="46">
        <f t="shared" si="20"/>
        <v>1953.0266074832732</v>
      </c>
      <c r="E323" s="46">
        <f t="shared" si="24"/>
        <v>123094.94614734013</v>
      </c>
    </row>
    <row r="324" spans="1:5" ht="14.25">
      <c r="A324" s="5">
        <f t="shared" si="21"/>
        <v>310</v>
      </c>
      <c r="B324" s="46">
        <f t="shared" si="22"/>
        <v>2942.9897251256252</v>
      </c>
      <c r="C324" s="1">
        <f t="shared" si="23"/>
        <v>974.5016569997762</v>
      </c>
      <c r="D324" s="46">
        <f t="shared" si="20"/>
        <v>1968.4880681258492</v>
      </c>
      <c r="E324" s="46">
        <f t="shared" si="24"/>
        <v>121126.45807921428</v>
      </c>
    </row>
    <row r="325" spans="1:5" ht="14.25">
      <c r="A325" s="5">
        <f t="shared" si="21"/>
        <v>311</v>
      </c>
      <c r="B325" s="46">
        <f t="shared" si="22"/>
        <v>2942.9897251256252</v>
      </c>
      <c r="C325" s="1">
        <f t="shared" si="23"/>
        <v>958.9177931271131</v>
      </c>
      <c r="D325" s="46">
        <f t="shared" si="20"/>
        <v>1984.0719319985121</v>
      </c>
      <c r="E325" s="46">
        <f t="shared" si="24"/>
        <v>119142.38614721577</v>
      </c>
    </row>
    <row r="326" spans="1:5" ht="14.25">
      <c r="A326" s="5">
        <f t="shared" si="21"/>
        <v>312</v>
      </c>
      <c r="B326" s="46">
        <f t="shared" si="22"/>
        <v>2942.9897251256252</v>
      </c>
      <c r="C326" s="1">
        <f t="shared" si="23"/>
        <v>943.2105569987916</v>
      </c>
      <c r="D326" s="46">
        <f t="shared" si="20"/>
        <v>1999.7791681268336</v>
      </c>
      <c r="E326" s="46">
        <f t="shared" si="24"/>
        <v>117142.60697908895</v>
      </c>
    </row>
    <row r="327" spans="1:5" ht="14.25">
      <c r="A327" s="5">
        <f t="shared" si="21"/>
        <v>313</v>
      </c>
      <c r="B327" s="46">
        <f t="shared" si="22"/>
        <v>2942.9897251256252</v>
      </c>
      <c r="C327" s="1">
        <f t="shared" si="23"/>
        <v>927.3789719177876</v>
      </c>
      <c r="D327" s="46">
        <f t="shared" si="20"/>
        <v>2015.6107532078377</v>
      </c>
      <c r="E327" s="46">
        <f t="shared" si="24"/>
        <v>115126.99622588111</v>
      </c>
    </row>
    <row r="328" spans="1:5" ht="14.25">
      <c r="A328" s="5">
        <f t="shared" si="21"/>
        <v>314</v>
      </c>
      <c r="B328" s="46">
        <f t="shared" si="22"/>
        <v>2942.9897251256252</v>
      </c>
      <c r="C328" s="1">
        <f t="shared" si="23"/>
        <v>911.4220534548922</v>
      </c>
      <c r="D328" s="46">
        <f t="shared" si="20"/>
        <v>2031.567671670733</v>
      </c>
      <c r="E328" s="46">
        <f t="shared" si="24"/>
        <v>113095.42855421038</v>
      </c>
    </row>
    <row r="329" spans="1:5" ht="14.25">
      <c r="A329" s="5">
        <f t="shared" si="21"/>
        <v>315</v>
      </c>
      <c r="B329" s="46">
        <f t="shared" si="22"/>
        <v>2942.9897251256252</v>
      </c>
      <c r="C329" s="1">
        <f t="shared" si="23"/>
        <v>895.3388093874988</v>
      </c>
      <c r="D329" s="46">
        <f t="shared" si="20"/>
        <v>2047.6509157381265</v>
      </c>
      <c r="E329" s="46">
        <f t="shared" si="24"/>
        <v>111047.77763847225</v>
      </c>
    </row>
    <row r="330" spans="1:5" ht="14.25">
      <c r="A330" s="5">
        <f t="shared" si="21"/>
        <v>316</v>
      </c>
      <c r="B330" s="46">
        <f t="shared" si="22"/>
        <v>2942.9897251256252</v>
      </c>
      <c r="C330" s="1">
        <f t="shared" si="23"/>
        <v>879.1282396379054</v>
      </c>
      <c r="D330" s="46">
        <f t="shared" si="20"/>
        <v>2063.8614854877196</v>
      </c>
      <c r="E330" s="46">
        <f t="shared" si="24"/>
        <v>108983.91615298453</v>
      </c>
    </row>
    <row r="331" spans="1:5" ht="14.25">
      <c r="A331" s="5">
        <f t="shared" si="21"/>
        <v>317</v>
      </c>
      <c r="B331" s="46">
        <f t="shared" si="22"/>
        <v>2942.9897251256252</v>
      </c>
      <c r="C331" s="1">
        <f t="shared" si="23"/>
        <v>862.7893362111276</v>
      </c>
      <c r="D331" s="46">
        <f t="shared" si="20"/>
        <v>2080.2003889144976</v>
      </c>
      <c r="E331" s="46">
        <f t="shared" si="24"/>
        <v>106903.71576407003</v>
      </c>
    </row>
    <row r="332" spans="1:5" ht="14.25">
      <c r="A332" s="5">
        <f t="shared" si="21"/>
        <v>318</v>
      </c>
      <c r="B332" s="46">
        <f t="shared" si="22"/>
        <v>2942.9897251256252</v>
      </c>
      <c r="C332" s="1">
        <f t="shared" si="23"/>
        <v>846.3210831322211</v>
      </c>
      <c r="D332" s="46">
        <f t="shared" si="20"/>
        <v>2096.668641993404</v>
      </c>
      <c r="E332" s="46">
        <f t="shared" si="24"/>
        <v>104807.04712207663</v>
      </c>
    </row>
    <row r="333" spans="1:5" ht="14.25">
      <c r="A333" s="5">
        <f t="shared" si="21"/>
        <v>319</v>
      </c>
      <c r="B333" s="46">
        <f t="shared" si="22"/>
        <v>2942.9897251256252</v>
      </c>
      <c r="C333" s="1">
        <f t="shared" si="23"/>
        <v>829.7224563831068</v>
      </c>
      <c r="D333" s="46">
        <f t="shared" si="20"/>
        <v>2113.2672687425184</v>
      </c>
      <c r="E333" s="46">
        <f t="shared" si="24"/>
        <v>102693.77985333411</v>
      </c>
    </row>
    <row r="334" spans="1:5" ht="14.25">
      <c r="A334" s="5">
        <f t="shared" si="21"/>
        <v>320</v>
      </c>
      <c r="B334" s="46">
        <f t="shared" si="22"/>
        <v>2942.9897251256252</v>
      </c>
      <c r="C334" s="1">
        <f t="shared" si="23"/>
        <v>812.9924238388951</v>
      </c>
      <c r="D334" s="46">
        <f t="shared" si="20"/>
        <v>2129.9973012867304</v>
      </c>
      <c r="E334" s="46">
        <f t="shared" si="24"/>
        <v>100563.78255204739</v>
      </c>
    </row>
    <row r="335" spans="1:5" ht="14.25">
      <c r="A335" s="5">
        <f t="shared" si="21"/>
        <v>321</v>
      </c>
      <c r="B335" s="46">
        <f t="shared" si="22"/>
        <v>2942.9897251256252</v>
      </c>
      <c r="C335" s="1">
        <f t="shared" si="23"/>
        <v>796.1299452037085</v>
      </c>
      <c r="D335" s="46">
        <f aca="true" t="shared" si="25" ref="D335:D374">B335-C335</f>
        <v>2146.859779921917</v>
      </c>
      <c r="E335" s="46">
        <f t="shared" si="24"/>
        <v>98416.92277212547</v>
      </c>
    </row>
    <row r="336" spans="1:5" ht="14.25">
      <c r="A336" s="5">
        <f aca="true" t="shared" si="26" ref="A336:A374">A335+1</f>
        <v>322</v>
      </c>
      <c r="B336" s="46">
        <f aca="true" t="shared" si="27" ref="B336:B374">-$B$9</f>
        <v>2942.9897251256252</v>
      </c>
      <c r="C336" s="1">
        <f aca="true" t="shared" si="28" ref="C336:C374">E335*$B$6</f>
        <v>779.1339719459934</v>
      </c>
      <c r="D336" s="46">
        <f t="shared" si="25"/>
        <v>2163.855753179632</v>
      </c>
      <c r="E336" s="46">
        <f aca="true" t="shared" si="29" ref="E336:E374">E335-D336</f>
        <v>96253.06701894585</v>
      </c>
    </row>
    <row r="337" spans="1:5" ht="14.25">
      <c r="A337" s="5">
        <f t="shared" si="26"/>
        <v>323</v>
      </c>
      <c r="B337" s="46">
        <f t="shared" si="27"/>
        <v>2942.9897251256252</v>
      </c>
      <c r="C337" s="1">
        <f t="shared" si="28"/>
        <v>762.0034472333214</v>
      </c>
      <c r="D337" s="46">
        <f t="shared" si="25"/>
        <v>2180.986277892304</v>
      </c>
      <c r="E337" s="46">
        <f t="shared" si="29"/>
        <v>94072.08074105355</v>
      </c>
    </row>
    <row r="338" spans="1:5" ht="14.25">
      <c r="A338" s="5">
        <f t="shared" si="26"/>
        <v>324</v>
      </c>
      <c r="B338" s="46">
        <f t="shared" si="27"/>
        <v>2942.9897251256252</v>
      </c>
      <c r="C338" s="1">
        <f t="shared" si="28"/>
        <v>744.737305866674</v>
      </c>
      <c r="D338" s="46">
        <f t="shared" si="25"/>
        <v>2198.2524192589512</v>
      </c>
      <c r="E338" s="46">
        <f t="shared" si="29"/>
        <v>91873.8283217946</v>
      </c>
    </row>
    <row r="339" spans="1:5" ht="14.25">
      <c r="A339" s="5">
        <f t="shared" si="26"/>
        <v>325</v>
      </c>
      <c r="B339" s="46">
        <f t="shared" si="27"/>
        <v>2942.9897251256252</v>
      </c>
      <c r="C339" s="1">
        <f t="shared" si="28"/>
        <v>727.3344742142074</v>
      </c>
      <c r="D339" s="46">
        <f t="shared" si="25"/>
        <v>2215.655250911418</v>
      </c>
      <c r="E339" s="46">
        <f t="shared" si="29"/>
        <v>89658.17307088319</v>
      </c>
    </row>
    <row r="340" spans="1:5" ht="14.25">
      <c r="A340" s="5">
        <f t="shared" si="26"/>
        <v>326</v>
      </c>
      <c r="B340" s="46">
        <f t="shared" si="27"/>
        <v>2942.9897251256252</v>
      </c>
      <c r="C340" s="1">
        <f t="shared" si="28"/>
        <v>709.793870144492</v>
      </c>
      <c r="D340" s="46">
        <f t="shared" si="25"/>
        <v>2233.1958549811334</v>
      </c>
      <c r="E340" s="46">
        <f t="shared" si="29"/>
        <v>87424.97721590205</v>
      </c>
    </row>
    <row r="341" spans="1:5" ht="14.25">
      <c r="A341" s="5">
        <f t="shared" si="26"/>
        <v>327</v>
      </c>
      <c r="B341" s="46">
        <f t="shared" si="27"/>
        <v>2942.9897251256252</v>
      </c>
      <c r="C341" s="1">
        <f t="shared" si="28"/>
        <v>692.1144029592247</v>
      </c>
      <c r="D341" s="46">
        <f t="shared" si="25"/>
        <v>2250.8753221664006</v>
      </c>
      <c r="E341" s="46">
        <f t="shared" si="29"/>
        <v>85174.10189373566</v>
      </c>
    </row>
    <row r="342" spans="1:5" ht="14.25">
      <c r="A342" s="5">
        <f t="shared" si="26"/>
        <v>328</v>
      </c>
      <c r="B342" s="46">
        <f t="shared" si="27"/>
        <v>2942.9897251256252</v>
      </c>
      <c r="C342" s="1">
        <f t="shared" si="28"/>
        <v>674.2949733254073</v>
      </c>
      <c r="D342" s="46">
        <f t="shared" si="25"/>
        <v>2268.694751800218</v>
      </c>
      <c r="E342" s="46">
        <f t="shared" si="29"/>
        <v>82905.40714193544</v>
      </c>
    </row>
    <row r="343" spans="1:5" ht="14.25">
      <c r="A343" s="5">
        <f t="shared" si="26"/>
        <v>329</v>
      </c>
      <c r="B343" s="46">
        <f t="shared" si="27"/>
        <v>2942.9897251256252</v>
      </c>
      <c r="C343" s="1">
        <f t="shared" si="28"/>
        <v>656.334473206989</v>
      </c>
      <c r="D343" s="46">
        <f t="shared" si="25"/>
        <v>2286.655251918636</v>
      </c>
      <c r="E343" s="46">
        <f t="shared" si="29"/>
        <v>80618.7518900168</v>
      </c>
    </row>
    <row r="344" spans="1:5" ht="14.25">
      <c r="A344" s="5">
        <f t="shared" si="26"/>
        <v>330</v>
      </c>
      <c r="B344" s="46">
        <f t="shared" si="27"/>
        <v>2942.9897251256252</v>
      </c>
      <c r="C344" s="1">
        <f t="shared" si="28"/>
        <v>638.2317857959664</v>
      </c>
      <c r="D344" s="46">
        <f t="shared" si="25"/>
        <v>2304.7579393296587</v>
      </c>
      <c r="E344" s="46">
        <f t="shared" si="29"/>
        <v>78313.99395068715</v>
      </c>
    </row>
    <row r="345" spans="1:5" ht="14.25">
      <c r="A345" s="5">
        <f t="shared" si="26"/>
        <v>331</v>
      </c>
      <c r="B345" s="46">
        <f t="shared" si="27"/>
        <v>2942.9897251256252</v>
      </c>
      <c r="C345" s="1">
        <f t="shared" si="28"/>
        <v>619.9857854429399</v>
      </c>
      <c r="D345" s="46">
        <f t="shared" si="25"/>
        <v>2323.003939682685</v>
      </c>
      <c r="E345" s="46">
        <f t="shared" si="29"/>
        <v>75990.99001100445</v>
      </c>
    </row>
    <row r="346" spans="1:5" ht="14.25">
      <c r="A346" s="5">
        <f t="shared" si="26"/>
        <v>332</v>
      </c>
      <c r="B346" s="46">
        <f t="shared" si="27"/>
        <v>2942.9897251256252</v>
      </c>
      <c r="C346" s="1">
        <f t="shared" si="28"/>
        <v>601.5953375871187</v>
      </c>
      <c r="D346" s="46">
        <f t="shared" si="25"/>
        <v>2341.3943875385066</v>
      </c>
      <c r="E346" s="46">
        <f t="shared" si="29"/>
        <v>73649.59562346595</v>
      </c>
    </row>
    <row r="347" spans="1:5" ht="14.25">
      <c r="A347" s="5">
        <f t="shared" si="26"/>
        <v>333</v>
      </c>
      <c r="B347" s="46">
        <f t="shared" si="27"/>
        <v>2942.9897251256252</v>
      </c>
      <c r="C347" s="1">
        <f t="shared" si="28"/>
        <v>583.0592986857722</v>
      </c>
      <c r="D347" s="46">
        <f t="shared" si="25"/>
        <v>2359.930426439853</v>
      </c>
      <c r="E347" s="46">
        <f t="shared" si="29"/>
        <v>71289.6651970261</v>
      </c>
    </row>
    <row r="348" spans="1:5" ht="14.25">
      <c r="A348" s="5">
        <f t="shared" si="26"/>
        <v>334</v>
      </c>
      <c r="B348" s="46">
        <f t="shared" si="27"/>
        <v>2942.9897251256252</v>
      </c>
      <c r="C348" s="1">
        <f t="shared" si="28"/>
        <v>564.3765161431234</v>
      </c>
      <c r="D348" s="46">
        <f t="shared" si="25"/>
        <v>2378.613208982502</v>
      </c>
      <c r="E348" s="46">
        <f t="shared" si="29"/>
        <v>68911.0519880436</v>
      </c>
    </row>
    <row r="349" spans="1:5" ht="14.25">
      <c r="A349" s="5">
        <f t="shared" si="26"/>
        <v>335</v>
      </c>
      <c r="B349" s="46">
        <f t="shared" si="27"/>
        <v>2942.9897251256252</v>
      </c>
      <c r="C349" s="1">
        <f t="shared" si="28"/>
        <v>545.5458282386786</v>
      </c>
      <c r="D349" s="46">
        <f t="shared" si="25"/>
        <v>2397.4438968869467</v>
      </c>
      <c r="E349" s="46">
        <f t="shared" si="29"/>
        <v>66513.60809115665</v>
      </c>
    </row>
    <row r="350" spans="1:5" ht="14.25">
      <c r="A350" s="5">
        <f t="shared" si="26"/>
        <v>336</v>
      </c>
      <c r="B350" s="46">
        <f t="shared" si="27"/>
        <v>2942.9897251256252</v>
      </c>
      <c r="C350" s="1">
        <f t="shared" si="28"/>
        <v>526.5660640549902</v>
      </c>
      <c r="D350" s="46">
        <f t="shared" si="25"/>
        <v>2416.423661070635</v>
      </c>
      <c r="E350" s="46">
        <f t="shared" si="29"/>
        <v>64097.18443008602</v>
      </c>
    </row>
    <row r="351" spans="1:5" ht="14.25">
      <c r="A351" s="5">
        <f t="shared" si="26"/>
        <v>337</v>
      </c>
      <c r="B351" s="46">
        <f t="shared" si="27"/>
        <v>2942.9897251256252</v>
      </c>
      <c r="C351" s="1">
        <f t="shared" si="28"/>
        <v>507.4360434048477</v>
      </c>
      <c r="D351" s="46">
        <f t="shared" si="25"/>
        <v>2435.5536817207776</v>
      </c>
      <c r="E351" s="46">
        <f t="shared" si="29"/>
        <v>61661.63074836524</v>
      </c>
    </row>
    <row r="352" spans="1:5" ht="14.25">
      <c r="A352" s="5">
        <f t="shared" si="26"/>
        <v>338</v>
      </c>
      <c r="B352" s="46">
        <f t="shared" si="27"/>
        <v>2942.9897251256252</v>
      </c>
      <c r="C352" s="1">
        <f t="shared" si="28"/>
        <v>488.15457675789156</v>
      </c>
      <c r="D352" s="46">
        <f t="shared" si="25"/>
        <v>2454.835148367734</v>
      </c>
      <c r="E352" s="46">
        <f t="shared" si="29"/>
        <v>59206.79559999751</v>
      </c>
    </row>
    <row r="353" spans="1:5" ht="14.25">
      <c r="A353" s="5">
        <f t="shared" si="26"/>
        <v>339</v>
      </c>
      <c r="B353" s="46">
        <f t="shared" si="27"/>
        <v>2942.9897251256252</v>
      </c>
      <c r="C353" s="1">
        <f t="shared" si="28"/>
        <v>468.720465166647</v>
      </c>
      <c r="D353" s="46">
        <f t="shared" si="25"/>
        <v>2474.269259958978</v>
      </c>
      <c r="E353" s="46">
        <f t="shared" si="29"/>
        <v>56732.52634003853</v>
      </c>
    </row>
    <row r="354" spans="1:5" ht="14.25">
      <c r="A354" s="5">
        <f t="shared" si="26"/>
        <v>340</v>
      </c>
      <c r="B354" s="46">
        <f t="shared" si="27"/>
        <v>2942.9897251256252</v>
      </c>
      <c r="C354" s="1">
        <f t="shared" si="28"/>
        <v>449.13250019197176</v>
      </c>
      <c r="D354" s="46">
        <f t="shared" si="25"/>
        <v>2493.8572249336535</v>
      </c>
      <c r="E354" s="46">
        <f t="shared" si="29"/>
        <v>54238.66911510488</v>
      </c>
    </row>
    <row r="355" spans="1:5" ht="14.25">
      <c r="A355" s="5">
        <f t="shared" si="26"/>
        <v>341</v>
      </c>
      <c r="B355" s="46">
        <f t="shared" si="27"/>
        <v>2942.9897251256252</v>
      </c>
      <c r="C355" s="1">
        <f t="shared" si="28"/>
        <v>429.3894638279137</v>
      </c>
      <c r="D355" s="46">
        <f t="shared" si="25"/>
        <v>2513.6002612977118</v>
      </c>
      <c r="E355" s="46">
        <f t="shared" si="29"/>
        <v>51725.06885380717</v>
      </c>
    </row>
    <row r="356" spans="1:5" ht="14.25">
      <c r="A356" s="5">
        <f t="shared" si="26"/>
        <v>342</v>
      </c>
      <c r="B356" s="46">
        <f t="shared" si="27"/>
        <v>2942.9897251256252</v>
      </c>
      <c r="C356" s="1">
        <f t="shared" si="28"/>
        <v>409.49012842597347</v>
      </c>
      <c r="D356" s="46">
        <f t="shared" si="25"/>
        <v>2533.4995966996516</v>
      </c>
      <c r="E356" s="46">
        <f t="shared" si="29"/>
        <v>49191.56925710752</v>
      </c>
    </row>
    <row r="357" spans="1:5" ht="14.25">
      <c r="A357" s="5">
        <f t="shared" si="26"/>
        <v>343</v>
      </c>
      <c r="B357" s="46">
        <f t="shared" si="27"/>
        <v>2942.9897251256252</v>
      </c>
      <c r="C357" s="1">
        <f t="shared" si="28"/>
        <v>389.43325661876787</v>
      </c>
      <c r="D357" s="46">
        <f t="shared" si="25"/>
        <v>2553.5564685068575</v>
      </c>
      <c r="E357" s="46">
        <f t="shared" si="29"/>
        <v>46638.01278860066</v>
      </c>
    </row>
    <row r="358" spans="1:5" ht="14.25">
      <c r="A358" s="5">
        <f t="shared" si="26"/>
        <v>344</v>
      </c>
      <c r="B358" s="46">
        <f t="shared" si="27"/>
        <v>2942.9897251256252</v>
      </c>
      <c r="C358" s="1">
        <f t="shared" si="28"/>
        <v>369.2176012430886</v>
      </c>
      <c r="D358" s="46">
        <f t="shared" si="25"/>
        <v>2573.7721238825366</v>
      </c>
      <c r="E358" s="46">
        <f t="shared" si="29"/>
        <v>44064.24066471812</v>
      </c>
    </row>
    <row r="359" spans="1:5" ht="14.25">
      <c r="A359" s="5">
        <f t="shared" si="26"/>
        <v>345</v>
      </c>
      <c r="B359" s="46">
        <f t="shared" si="27"/>
        <v>2942.9897251256252</v>
      </c>
      <c r="C359" s="1">
        <f t="shared" si="28"/>
        <v>348.8419052623518</v>
      </c>
      <c r="D359" s="46">
        <f t="shared" si="25"/>
        <v>2594.1478198632735</v>
      </c>
      <c r="E359" s="46">
        <f t="shared" si="29"/>
        <v>41470.092844854844</v>
      </c>
    </row>
    <row r="360" spans="1:5" ht="14.25">
      <c r="A360" s="5">
        <f t="shared" si="26"/>
        <v>346</v>
      </c>
      <c r="B360" s="46">
        <f t="shared" si="27"/>
        <v>2942.9897251256252</v>
      </c>
      <c r="C360" s="1">
        <f t="shared" si="28"/>
        <v>328.3049016884342</v>
      </c>
      <c r="D360" s="46">
        <f t="shared" si="25"/>
        <v>2614.684823437191</v>
      </c>
      <c r="E360" s="46">
        <f t="shared" si="29"/>
        <v>38855.40802141765</v>
      </c>
    </row>
    <row r="361" spans="1:5" ht="14.25">
      <c r="A361" s="5">
        <f t="shared" si="26"/>
        <v>347</v>
      </c>
      <c r="B361" s="46">
        <f t="shared" si="27"/>
        <v>2942.9897251256252</v>
      </c>
      <c r="C361" s="1">
        <f t="shared" si="28"/>
        <v>307.60531350288977</v>
      </c>
      <c r="D361" s="46">
        <f t="shared" si="25"/>
        <v>2635.3844116227356</v>
      </c>
      <c r="E361" s="46">
        <f t="shared" si="29"/>
        <v>36220.02360979492</v>
      </c>
    </row>
    <row r="362" spans="1:5" ht="14.25">
      <c r="A362" s="5">
        <f t="shared" si="26"/>
        <v>348</v>
      </c>
      <c r="B362" s="46">
        <f t="shared" si="27"/>
        <v>2942.9897251256252</v>
      </c>
      <c r="C362" s="1">
        <f t="shared" si="28"/>
        <v>286.7418535775431</v>
      </c>
      <c r="D362" s="46">
        <f t="shared" si="25"/>
        <v>2656.247871548082</v>
      </c>
      <c r="E362" s="46">
        <f t="shared" si="29"/>
        <v>33563.77573824683</v>
      </c>
    </row>
    <row r="363" spans="1:5" ht="14.25">
      <c r="A363" s="5">
        <f t="shared" si="26"/>
        <v>349</v>
      </c>
      <c r="B363" s="46">
        <f t="shared" si="27"/>
        <v>2942.9897251256252</v>
      </c>
      <c r="C363" s="1">
        <f t="shared" si="28"/>
        <v>265.7132245944541</v>
      </c>
      <c r="D363" s="46">
        <f t="shared" si="25"/>
        <v>2677.276500531171</v>
      </c>
      <c r="E363" s="46">
        <f t="shared" si="29"/>
        <v>30886.499237715663</v>
      </c>
    </row>
    <row r="364" spans="1:5" ht="14.25">
      <c r="A364" s="5">
        <f t="shared" si="26"/>
        <v>350</v>
      </c>
      <c r="B364" s="46">
        <f t="shared" si="27"/>
        <v>2942.9897251256252</v>
      </c>
      <c r="C364" s="1">
        <f t="shared" si="28"/>
        <v>244.51811896524902</v>
      </c>
      <c r="D364" s="46">
        <f t="shared" si="25"/>
        <v>2698.4716061603763</v>
      </c>
      <c r="E364" s="46">
        <f t="shared" si="29"/>
        <v>28188.027631555287</v>
      </c>
    </row>
    <row r="365" spans="1:5" ht="14.25">
      <c r="A365" s="5">
        <f t="shared" si="26"/>
        <v>351</v>
      </c>
      <c r="B365" s="46">
        <f t="shared" si="27"/>
        <v>2942.9897251256252</v>
      </c>
      <c r="C365" s="1">
        <f t="shared" si="28"/>
        <v>223.15521874981272</v>
      </c>
      <c r="D365" s="46">
        <f t="shared" si="25"/>
        <v>2719.8345063758125</v>
      </c>
      <c r="E365" s="46">
        <f t="shared" si="29"/>
        <v>25468.193125179474</v>
      </c>
    </row>
    <row r="366" spans="1:5" ht="14.25">
      <c r="A366" s="5">
        <f t="shared" si="26"/>
        <v>352</v>
      </c>
      <c r="B366" s="46">
        <f t="shared" si="27"/>
        <v>2942.9897251256252</v>
      </c>
      <c r="C366" s="1">
        <f t="shared" si="28"/>
        <v>201.62319557433753</v>
      </c>
      <c r="D366" s="46">
        <f t="shared" si="25"/>
        <v>2741.366529551288</v>
      </c>
      <c r="E366" s="46">
        <f t="shared" si="29"/>
        <v>22726.826595628187</v>
      </c>
    </row>
    <row r="367" spans="1:5" ht="14.25">
      <c r="A367" s="5">
        <f t="shared" si="26"/>
        <v>353</v>
      </c>
      <c r="B367" s="46">
        <f t="shared" si="27"/>
        <v>2942.9897251256252</v>
      </c>
      <c r="C367" s="1">
        <f t="shared" si="28"/>
        <v>179.92071054872315</v>
      </c>
      <c r="D367" s="46">
        <f t="shared" si="25"/>
        <v>2763.069014576902</v>
      </c>
      <c r="E367" s="46">
        <f t="shared" si="29"/>
        <v>19963.757581051286</v>
      </c>
    </row>
    <row r="368" spans="1:5" ht="14.25">
      <c r="A368" s="5">
        <f t="shared" si="26"/>
        <v>354</v>
      </c>
      <c r="B368" s="46">
        <f t="shared" si="27"/>
        <v>2942.9897251256252</v>
      </c>
      <c r="C368" s="1">
        <f t="shared" si="28"/>
        <v>158.0464141833227</v>
      </c>
      <c r="D368" s="46">
        <f t="shared" si="25"/>
        <v>2784.9433109423026</v>
      </c>
      <c r="E368" s="46">
        <f t="shared" si="29"/>
        <v>17178.814270108982</v>
      </c>
    </row>
    <row r="369" spans="1:5" ht="14.25">
      <c r="A369" s="5">
        <f t="shared" si="26"/>
        <v>355</v>
      </c>
      <c r="B369" s="46">
        <f t="shared" si="27"/>
        <v>2942.9897251256252</v>
      </c>
      <c r="C369" s="1">
        <f t="shared" si="28"/>
        <v>135.99894630502945</v>
      </c>
      <c r="D369" s="46">
        <f t="shared" si="25"/>
        <v>2806.9907788205956</v>
      </c>
      <c r="E369" s="46">
        <f t="shared" si="29"/>
        <v>14371.823491288385</v>
      </c>
    </row>
    <row r="370" spans="1:5" ht="14.25">
      <c r="A370" s="5">
        <f t="shared" si="26"/>
        <v>356</v>
      </c>
      <c r="B370" s="46">
        <f t="shared" si="27"/>
        <v>2942.9897251256252</v>
      </c>
      <c r="C370" s="1">
        <f t="shared" si="28"/>
        <v>113.77693597269973</v>
      </c>
      <c r="D370" s="46">
        <f t="shared" si="25"/>
        <v>2829.2127891529253</v>
      </c>
      <c r="E370" s="46">
        <f t="shared" si="29"/>
        <v>11542.61070213546</v>
      </c>
    </row>
    <row r="371" spans="1:5" ht="14.25">
      <c r="A371" s="5">
        <f t="shared" si="26"/>
        <v>357</v>
      </c>
      <c r="B371" s="46">
        <f t="shared" si="27"/>
        <v>2942.9897251256252</v>
      </c>
      <c r="C371" s="1">
        <f t="shared" si="28"/>
        <v>91.37900139190573</v>
      </c>
      <c r="D371" s="46">
        <f t="shared" si="25"/>
        <v>2851.6107237337196</v>
      </c>
      <c r="E371" s="46">
        <f t="shared" si="29"/>
        <v>8690.99997840174</v>
      </c>
    </row>
    <row r="372" spans="1:5" ht="14.25">
      <c r="A372" s="5">
        <f t="shared" si="26"/>
        <v>358</v>
      </c>
      <c r="B372" s="46">
        <f t="shared" si="27"/>
        <v>2942.9897251256252</v>
      </c>
      <c r="C372" s="1">
        <f t="shared" si="28"/>
        <v>68.80374982901378</v>
      </c>
      <c r="D372" s="46">
        <f t="shared" si="25"/>
        <v>2874.1859752966116</v>
      </c>
      <c r="E372" s="46">
        <f t="shared" si="29"/>
        <v>5816.814003105128</v>
      </c>
    </row>
    <row r="373" spans="1:5" ht="14.25">
      <c r="A373" s="5">
        <f t="shared" si="26"/>
        <v>359</v>
      </c>
      <c r="B373" s="46">
        <f t="shared" si="27"/>
        <v>2942.9897251256252</v>
      </c>
      <c r="C373" s="1">
        <f t="shared" si="28"/>
        <v>46.04977752458227</v>
      </c>
      <c r="D373" s="46">
        <f t="shared" si="25"/>
        <v>2896.939947601043</v>
      </c>
      <c r="E373" s="46">
        <f t="shared" si="29"/>
        <v>2919.874055504085</v>
      </c>
    </row>
    <row r="374" spans="1:5" ht="14.25">
      <c r="A374" s="5">
        <f t="shared" si="26"/>
        <v>360</v>
      </c>
      <c r="B374" s="46">
        <f t="shared" si="27"/>
        <v>2942.9897251256252</v>
      </c>
      <c r="C374" s="1">
        <f t="shared" si="28"/>
        <v>23.115669606074007</v>
      </c>
      <c r="D374" s="46">
        <f t="shared" si="25"/>
        <v>2919.8740555195513</v>
      </c>
      <c r="E374" s="46">
        <f t="shared" si="29"/>
        <v>-1.546641215099953E-08</v>
      </c>
    </row>
  </sheetData>
  <sheetProtection/>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sheetPr>
    <tabColor theme="0"/>
  </sheetPr>
  <dimension ref="A1:F53"/>
  <sheetViews>
    <sheetView zoomScalePageLayoutView="0" workbookViewId="0" topLeftCell="A1">
      <selection activeCell="B1" sqref="B1"/>
    </sheetView>
  </sheetViews>
  <sheetFormatPr defaultColWidth="22.8515625" defaultRowHeight="15"/>
  <cols>
    <col min="1" max="1" width="22.7109375" style="90" bestFit="1" customWidth="1"/>
    <col min="2" max="2" width="13.421875" style="90" bestFit="1" customWidth="1"/>
    <col min="3" max="3" width="7.28125" style="90" bestFit="1" customWidth="1"/>
    <col min="4" max="4" width="28.28125" style="90" customWidth="1"/>
    <col min="5" max="5" width="12.7109375" style="90" bestFit="1" customWidth="1"/>
    <col min="6" max="16384" width="22.8515625" style="90" customWidth="1"/>
  </cols>
  <sheetData>
    <row r="1" spans="1:2" ht="12.75">
      <c r="A1" s="106" t="s">
        <v>277</v>
      </c>
      <c r="B1" s="117"/>
    </row>
    <row r="2" spans="1:2" ht="12.75">
      <c r="A2" s="106" t="s">
        <v>135</v>
      </c>
      <c r="B2" s="98">
        <v>0.07</v>
      </c>
    </row>
    <row r="3" spans="1:2" ht="12.75">
      <c r="A3" s="106" t="s">
        <v>136</v>
      </c>
      <c r="B3" s="89">
        <f>B2/B5</f>
        <v>0.035</v>
      </c>
    </row>
    <row r="4" spans="1:2" ht="12.75">
      <c r="A4" s="106" t="s">
        <v>137</v>
      </c>
      <c r="B4" s="99">
        <v>20</v>
      </c>
    </row>
    <row r="5" spans="1:2" ht="12.75">
      <c r="A5" s="106" t="s">
        <v>138</v>
      </c>
      <c r="B5" s="99">
        <v>2</v>
      </c>
    </row>
    <row r="6" spans="1:2" ht="12.75">
      <c r="A6" s="106" t="s">
        <v>139</v>
      </c>
      <c r="B6" s="89">
        <f>B4*B5</f>
        <v>40</v>
      </c>
    </row>
    <row r="7" spans="1:5" ht="12.75">
      <c r="A7" s="106" t="s">
        <v>145</v>
      </c>
      <c r="B7" s="108">
        <v>1000000</v>
      </c>
      <c r="E7" s="100"/>
    </row>
    <row r="12" spans="3:5" s="101" customFormat="1" ht="51">
      <c r="C12" s="102" t="s">
        <v>141</v>
      </c>
      <c r="D12" s="102" t="s">
        <v>146</v>
      </c>
      <c r="E12" s="102" t="s">
        <v>144</v>
      </c>
    </row>
    <row r="13" spans="3:6" ht="12.75">
      <c r="C13" s="104">
        <v>0</v>
      </c>
      <c r="D13" s="89"/>
      <c r="E13" s="107">
        <f>-PV(B3,B6,,B7)</f>
        <v>252572.46819458736</v>
      </c>
      <c r="F13" s="109"/>
    </row>
    <row r="14" spans="3:6" ht="12.75">
      <c r="C14" s="89">
        <f>C13+1</f>
        <v>1</v>
      </c>
      <c r="D14" s="110">
        <f>E14-E13</f>
        <v>8840.036386810534</v>
      </c>
      <c r="E14" s="110">
        <f aca="true" t="shared" si="0" ref="E14:E53">E13*(1+B$3)</f>
        <v>261412.5045813979</v>
      </c>
      <c r="F14" s="100"/>
    </row>
    <row r="15" spans="3:6" ht="12.75">
      <c r="C15" s="89">
        <f aca="true" t="shared" si="1" ref="C15:C53">C14+1</f>
        <v>2</v>
      </c>
      <c r="D15" s="110">
        <f aca="true" t="shared" si="2" ref="D15:D53">E15-E14</f>
        <v>9149.437660348922</v>
      </c>
      <c r="E15" s="110">
        <f t="shared" si="0"/>
        <v>270561.9422417468</v>
      </c>
      <c r="F15" s="100"/>
    </row>
    <row r="16" spans="3:5" ht="12.75">
      <c r="C16" s="89">
        <f t="shared" si="1"/>
        <v>3</v>
      </c>
      <c r="D16" s="110">
        <f>E16-E15</f>
        <v>9469.667978461133</v>
      </c>
      <c r="E16" s="110">
        <f>E15*(1+B$3)</f>
        <v>280031.61022020795</v>
      </c>
    </row>
    <row r="17" spans="3:5" ht="12.75">
      <c r="C17" s="89">
        <f t="shared" si="1"/>
        <v>4</v>
      </c>
      <c r="D17" s="110">
        <f t="shared" si="2"/>
        <v>9801.106357707235</v>
      </c>
      <c r="E17" s="110">
        <f t="shared" si="0"/>
        <v>289832.7165779152</v>
      </c>
    </row>
    <row r="18" spans="3:5" ht="12.75">
      <c r="C18" s="89">
        <f t="shared" si="1"/>
        <v>5</v>
      </c>
      <c r="D18" s="110">
        <f t="shared" si="2"/>
        <v>10144.145080226997</v>
      </c>
      <c r="E18" s="110">
        <f t="shared" si="0"/>
        <v>299976.8616581422</v>
      </c>
    </row>
    <row r="19" spans="3:5" ht="12.75">
      <c r="C19" s="89">
        <f t="shared" si="1"/>
        <v>6</v>
      </c>
      <c r="D19" s="110">
        <f t="shared" si="2"/>
        <v>10499.190158034966</v>
      </c>
      <c r="E19" s="110">
        <f t="shared" si="0"/>
        <v>310476.05181617715</v>
      </c>
    </row>
    <row r="20" spans="3:5" ht="12.75">
      <c r="C20" s="89">
        <f t="shared" si="1"/>
        <v>7</v>
      </c>
      <c r="D20" s="110">
        <f t="shared" si="2"/>
        <v>10866.66181356617</v>
      </c>
      <c r="E20" s="110">
        <f t="shared" si="0"/>
        <v>321342.7136297433</v>
      </c>
    </row>
    <row r="21" spans="3:5" ht="12.75">
      <c r="C21" s="89">
        <f t="shared" si="1"/>
        <v>8</v>
      </c>
      <c r="D21" s="110">
        <f t="shared" si="2"/>
        <v>11246.994977040973</v>
      </c>
      <c r="E21" s="110">
        <f t="shared" si="0"/>
        <v>332589.7086067843</v>
      </c>
    </row>
    <row r="22" spans="3:5" ht="12.75">
      <c r="C22" s="89">
        <f t="shared" si="1"/>
        <v>9</v>
      </c>
      <c r="D22" s="110">
        <f t="shared" si="2"/>
        <v>11640.639801237441</v>
      </c>
      <c r="E22" s="110">
        <f t="shared" si="0"/>
        <v>344230.34840802173</v>
      </c>
    </row>
    <row r="23" spans="3:5" ht="12.75">
      <c r="C23" s="89">
        <f t="shared" si="1"/>
        <v>10</v>
      </c>
      <c r="D23" s="110">
        <f t="shared" si="2"/>
        <v>12048.062194280734</v>
      </c>
      <c r="E23" s="110">
        <f t="shared" si="0"/>
        <v>356278.41060230247</v>
      </c>
    </row>
    <row r="24" spans="3:5" ht="12.75">
      <c r="C24" s="89">
        <f t="shared" si="1"/>
        <v>11</v>
      </c>
      <c r="D24" s="110">
        <f t="shared" si="2"/>
        <v>12469.744371080538</v>
      </c>
      <c r="E24" s="110">
        <f t="shared" si="0"/>
        <v>368748.154973383</v>
      </c>
    </row>
    <row r="25" spans="3:5" ht="12.75">
      <c r="C25" s="89">
        <f t="shared" si="1"/>
        <v>12</v>
      </c>
      <c r="D25" s="110">
        <f t="shared" si="2"/>
        <v>12906.18542406836</v>
      </c>
      <c r="E25" s="110">
        <f t="shared" si="0"/>
        <v>381654.34039745136</v>
      </c>
    </row>
    <row r="26" spans="3:5" ht="12.75">
      <c r="C26" s="89">
        <f t="shared" si="1"/>
        <v>13</v>
      </c>
      <c r="D26" s="110">
        <f t="shared" si="2"/>
        <v>13357.901913910755</v>
      </c>
      <c r="E26" s="110">
        <f t="shared" si="0"/>
        <v>395012.2423113621</v>
      </c>
    </row>
    <row r="27" spans="3:5" ht="12.75">
      <c r="C27" s="89">
        <f t="shared" si="1"/>
        <v>14</v>
      </c>
      <c r="D27" s="110">
        <f t="shared" si="2"/>
        <v>13825.428480897623</v>
      </c>
      <c r="E27" s="110">
        <f t="shared" si="0"/>
        <v>408837.67079225974</v>
      </c>
    </row>
    <row r="28" spans="3:5" ht="12.75">
      <c r="C28" s="89">
        <f t="shared" si="1"/>
        <v>15</v>
      </c>
      <c r="D28" s="110">
        <f t="shared" si="2"/>
        <v>14309.318477729044</v>
      </c>
      <c r="E28" s="110">
        <f t="shared" si="0"/>
        <v>423146.9892699888</v>
      </c>
    </row>
    <row r="29" spans="3:5" ht="12.75">
      <c r="C29" s="89">
        <f t="shared" si="1"/>
        <v>16</v>
      </c>
      <c r="D29" s="110">
        <f t="shared" si="2"/>
        <v>14810.144624449546</v>
      </c>
      <c r="E29" s="110">
        <f t="shared" si="0"/>
        <v>437957.13389443833</v>
      </c>
    </row>
    <row r="30" spans="3:5" ht="12.75">
      <c r="C30" s="89">
        <f t="shared" si="1"/>
        <v>17</v>
      </c>
      <c r="D30" s="110">
        <f t="shared" si="2"/>
        <v>15328.499686305295</v>
      </c>
      <c r="E30" s="110">
        <f t="shared" si="0"/>
        <v>453285.6335807436</v>
      </c>
    </row>
    <row r="31" spans="3:5" ht="12.75">
      <c r="C31" s="89">
        <f t="shared" si="1"/>
        <v>18</v>
      </c>
      <c r="D31" s="110">
        <f t="shared" si="2"/>
        <v>15864.997175325989</v>
      </c>
      <c r="E31" s="110">
        <f t="shared" si="0"/>
        <v>469150.6307560696</v>
      </c>
    </row>
    <row r="32" spans="3:5" ht="12.75">
      <c r="C32" s="89">
        <f t="shared" si="1"/>
        <v>19</v>
      </c>
      <c r="D32" s="110">
        <f t="shared" si="2"/>
        <v>16420.272076462395</v>
      </c>
      <c r="E32" s="110">
        <f t="shared" si="0"/>
        <v>485570.902832532</v>
      </c>
    </row>
    <row r="33" spans="3:5" ht="12.75">
      <c r="C33" s="89">
        <f t="shared" si="1"/>
        <v>20</v>
      </c>
      <c r="D33" s="110">
        <f t="shared" si="2"/>
        <v>16994.981599138584</v>
      </c>
      <c r="E33" s="110">
        <f t="shared" si="0"/>
        <v>502565.8844316706</v>
      </c>
    </row>
    <row r="34" spans="3:5" ht="12.75">
      <c r="C34" s="89">
        <f t="shared" si="1"/>
        <v>21</v>
      </c>
      <c r="D34" s="110">
        <f t="shared" si="2"/>
        <v>17589.80595510843</v>
      </c>
      <c r="E34" s="110">
        <f t="shared" si="0"/>
        <v>520155.690386779</v>
      </c>
    </row>
    <row r="35" spans="3:5" ht="12.75">
      <c r="C35" s="89">
        <f t="shared" si="1"/>
        <v>22</v>
      </c>
      <c r="D35" s="110">
        <f t="shared" si="2"/>
        <v>18205.44916353724</v>
      </c>
      <c r="E35" s="110">
        <f t="shared" si="0"/>
        <v>538361.1395503163</v>
      </c>
    </row>
    <row r="36" spans="3:5" ht="12.75">
      <c r="C36" s="89">
        <f t="shared" si="1"/>
        <v>23</v>
      </c>
      <c r="D36" s="110">
        <f t="shared" si="2"/>
        <v>18842.639884261065</v>
      </c>
      <c r="E36" s="110">
        <f t="shared" si="0"/>
        <v>557203.7794345773</v>
      </c>
    </row>
    <row r="37" spans="3:5" ht="12.75">
      <c r="C37" s="89">
        <f t="shared" si="1"/>
        <v>24</v>
      </c>
      <c r="D37" s="110">
        <f t="shared" si="2"/>
        <v>19502.13228021015</v>
      </c>
      <c r="E37" s="110">
        <f t="shared" si="0"/>
        <v>576705.9117147875</v>
      </c>
    </row>
    <row r="38" spans="3:5" ht="12.75">
      <c r="C38" s="89">
        <f t="shared" si="1"/>
        <v>25</v>
      </c>
      <c r="D38" s="110">
        <f t="shared" si="2"/>
        <v>20184.70691001753</v>
      </c>
      <c r="E38" s="110">
        <f t="shared" si="0"/>
        <v>596890.618624805</v>
      </c>
    </row>
    <row r="39" spans="3:5" ht="12.75">
      <c r="C39" s="89">
        <f t="shared" si="1"/>
        <v>26</v>
      </c>
      <c r="D39" s="110">
        <f t="shared" si="2"/>
        <v>20891.17165186815</v>
      </c>
      <c r="E39" s="110">
        <f t="shared" si="0"/>
        <v>617781.7902766732</v>
      </c>
    </row>
    <row r="40" spans="3:5" ht="12.75">
      <c r="C40" s="89">
        <f t="shared" si="1"/>
        <v>27</v>
      </c>
      <c r="D40" s="110">
        <f t="shared" si="2"/>
        <v>21622.362659683567</v>
      </c>
      <c r="E40" s="110">
        <f t="shared" si="0"/>
        <v>639404.1529363567</v>
      </c>
    </row>
    <row r="41" spans="3:5" ht="12.75">
      <c r="C41" s="89">
        <f t="shared" si="1"/>
        <v>28</v>
      </c>
      <c r="D41" s="110">
        <f t="shared" si="2"/>
        <v>22379.145352772437</v>
      </c>
      <c r="E41" s="110">
        <f t="shared" si="0"/>
        <v>661783.2982891292</v>
      </c>
    </row>
    <row r="42" spans="3:5" ht="12.75">
      <c r="C42" s="89">
        <f t="shared" si="1"/>
        <v>29</v>
      </c>
      <c r="D42" s="110">
        <f t="shared" si="2"/>
        <v>23162.415440119454</v>
      </c>
      <c r="E42" s="110">
        <f t="shared" si="0"/>
        <v>684945.7137292486</v>
      </c>
    </row>
    <row r="43" spans="3:5" ht="12.75">
      <c r="C43" s="89">
        <f t="shared" si="1"/>
        <v>30</v>
      </c>
      <c r="D43" s="110">
        <f t="shared" si="2"/>
        <v>23973.099980523693</v>
      </c>
      <c r="E43" s="110">
        <f t="shared" si="0"/>
        <v>708918.8137097723</v>
      </c>
    </row>
    <row r="44" spans="3:5" ht="12.75">
      <c r="C44" s="89">
        <f t="shared" si="1"/>
        <v>31</v>
      </c>
      <c r="D44" s="110">
        <f t="shared" si="2"/>
        <v>24812.158479842008</v>
      </c>
      <c r="E44" s="110">
        <f t="shared" si="0"/>
        <v>733730.9721896143</v>
      </c>
    </row>
    <row r="45" spans="3:5" ht="12.75">
      <c r="C45" s="89">
        <f t="shared" si="1"/>
        <v>32</v>
      </c>
      <c r="D45" s="110">
        <f t="shared" si="2"/>
        <v>25680.58402663644</v>
      </c>
      <c r="E45" s="110">
        <f t="shared" si="0"/>
        <v>759411.5562162508</v>
      </c>
    </row>
    <row r="46" spans="3:5" ht="12.75">
      <c r="C46" s="89">
        <f t="shared" si="1"/>
        <v>33</v>
      </c>
      <c r="D46" s="110">
        <f t="shared" si="2"/>
        <v>26579.404467568733</v>
      </c>
      <c r="E46" s="110">
        <f t="shared" si="0"/>
        <v>785990.9606838195</v>
      </c>
    </row>
    <row r="47" spans="3:5" ht="12.75">
      <c r="C47" s="89">
        <f t="shared" si="1"/>
        <v>34</v>
      </c>
      <c r="D47" s="110">
        <f t="shared" si="2"/>
        <v>27509.683623933583</v>
      </c>
      <c r="E47" s="110">
        <f t="shared" si="0"/>
        <v>813500.6443077531</v>
      </c>
    </row>
    <row r="48" spans="3:5" ht="12.75">
      <c r="C48" s="89">
        <f t="shared" si="1"/>
        <v>35</v>
      </c>
      <c r="D48" s="110">
        <f t="shared" si="2"/>
        <v>28472.522550771246</v>
      </c>
      <c r="E48" s="110">
        <f t="shared" si="0"/>
        <v>841973.1668585243</v>
      </c>
    </row>
    <row r="49" spans="3:5" ht="12.75">
      <c r="C49" s="89">
        <f t="shared" si="1"/>
        <v>36</v>
      </c>
      <c r="D49" s="110">
        <f t="shared" si="2"/>
        <v>29469.060840048245</v>
      </c>
      <c r="E49" s="110">
        <f t="shared" si="0"/>
        <v>871442.2276985726</v>
      </c>
    </row>
    <row r="50" spans="3:5" ht="12.75">
      <c r="C50" s="89">
        <f t="shared" si="1"/>
        <v>37</v>
      </c>
      <c r="D50" s="110">
        <f t="shared" si="2"/>
        <v>30500.477969449945</v>
      </c>
      <c r="E50" s="110">
        <f t="shared" si="0"/>
        <v>901942.7056680225</v>
      </c>
    </row>
    <row r="51" spans="3:5" ht="12.75">
      <c r="C51" s="89">
        <f t="shared" si="1"/>
        <v>38</v>
      </c>
      <c r="D51" s="110">
        <f t="shared" si="2"/>
        <v>31567.994698380702</v>
      </c>
      <c r="E51" s="110">
        <f t="shared" si="0"/>
        <v>933510.7003664032</v>
      </c>
    </row>
    <row r="52" spans="3:5" ht="12.75">
      <c r="C52" s="89">
        <f t="shared" si="1"/>
        <v>39</v>
      </c>
      <c r="D52" s="110">
        <f t="shared" si="2"/>
        <v>32672.874512823997</v>
      </c>
      <c r="E52" s="110">
        <f t="shared" si="0"/>
        <v>966183.5748792272</v>
      </c>
    </row>
    <row r="53" spans="3:5" ht="12.75">
      <c r="C53" s="89">
        <f t="shared" si="1"/>
        <v>40</v>
      </c>
      <c r="D53" s="110">
        <f t="shared" si="2"/>
        <v>33816.42512077291</v>
      </c>
      <c r="E53" s="111">
        <f t="shared" si="0"/>
        <v>1000000.0000000001</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theme="0"/>
  </sheetPr>
  <dimension ref="A1:G13"/>
  <sheetViews>
    <sheetView zoomScalePageLayoutView="0" workbookViewId="0" topLeftCell="A1">
      <selection activeCell="B7" sqref="B7"/>
    </sheetView>
  </sheetViews>
  <sheetFormatPr defaultColWidth="9.140625" defaultRowHeight="15"/>
  <cols>
    <col min="1" max="1" width="27.28125" style="0" bestFit="1" customWidth="1"/>
    <col min="2" max="2" width="10.7109375" style="0" bestFit="1" customWidth="1"/>
  </cols>
  <sheetData>
    <row r="1" spans="1:7" ht="14.25">
      <c r="A1" s="6" t="s">
        <v>22</v>
      </c>
      <c r="B1" s="6"/>
      <c r="C1" s="6"/>
      <c r="D1" s="6"/>
      <c r="E1" s="6"/>
      <c r="F1" s="6"/>
      <c r="G1" s="6"/>
    </row>
    <row r="2" spans="1:7" ht="28.5">
      <c r="A2" s="6" t="str">
        <f>"Allow you to write a check that has a date "&amp;B4&amp;" days in the future for "&amp;DOLLAR(B5,0)&amp;" and will give you "&amp;DOLLAR(B6,0)&amp;" today (they cash check in "&amp;B4&amp;" days)."</f>
        <v>Allow you to write a check that has a date 25 days in the future for $250 and will give you $200 today (they cash check in 25 days).</v>
      </c>
      <c r="B2" s="6"/>
      <c r="C2" s="6"/>
      <c r="D2" s="6"/>
      <c r="E2" s="6"/>
      <c r="F2" s="6"/>
      <c r="G2" s="6"/>
    </row>
    <row r="3" spans="1:7" ht="14.25">
      <c r="A3" s="19" t="s">
        <v>23</v>
      </c>
      <c r="B3" s="19"/>
      <c r="C3" s="6"/>
      <c r="D3" s="6"/>
      <c r="E3" s="6"/>
      <c r="F3" s="6"/>
      <c r="G3" s="6"/>
    </row>
    <row r="4" spans="1:2" ht="14.25">
      <c r="A4" s="5" t="s">
        <v>24</v>
      </c>
      <c r="B4" s="5">
        <v>25</v>
      </c>
    </row>
    <row r="5" spans="1:4" ht="14.25">
      <c r="A5" s="5" t="s">
        <v>25</v>
      </c>
      <c r="B5" s="5">
        <v>250</v>
      </c>
      <c r="D5" t="s">
        <v>29</v>
      </c>
    </row>
    <row r="6" spans="1:4" ht="14.25">
      <c r="A6" s="5" t="s">
        <v>26</v>
      </c>
      <c r="B6" s="5">
        <v>200</v>
      </c>
      <c r="D6" t="s">
        <v>30</v>
      </c>
    </row>
    <row r="7" spans="1:2" ht="14.25">
      <c r="A7" s="5" t="str">
        <f>B4&amp;" day rate is ="</f>
        <v>25 day rate is =</v>
      </c>
      <c r="B7" s="1"/>
    </row>
    <row r="8" spans="1:2" ht="14.25">
      <c r="A8" s="5" t="s">
        <v>27</v>
      </c>
      <c r="B8" s="5">
        <v>365</v>
      </c>
    </row>
    <row r="9" spans="1:2" ht="14.25">
      <c r="A9" s="5" t="str">
        <f>"# of "&amp;B4&amp;" day periods in 1 year ="</f>
        <v># of 25 day periods in 1 year =</v>
      </c>
      <c r="B9" s="17"/>
    </row>
    <row r="10" spans="1:2" ht="14.25">
      <c r="A10" s="5" t="s">
        <v>7</v>
      </c>
      <c r="B10" s="18"/>
    </row>
    <row r="11" spans="1:2" ht="14.25">
      <c r="A11" s="5" t="s">
        <v>28</v>
      </c>
      <c r="B11" s="18"/>
    </row>
    <row r="12" ht="14.25">
      <c r="B12" s="16"/>
    </row>
    <row r="13" spans="1:2" ht="14.25">
      <c r="A13" s="5" t="s">
        <v>28</v>
      </c>
      <c r="B13" s="1"/>
    </row>
  </sheetData>
  <sheetProtection/>
  <printOptions/>
  <pageMargins left="0.7" right="0.7" top="0.75" bottom="0.75" header="0.3" footer="0.3"/>
  <pageSetup horizontalDpi="600" verticalDpi="600" orientation="portrait" r:id="rId1"/>
</worksheet>
</file>

<file path=xl/worksheets/sheet50.xml><?xml version="1.0" encoding="utf-8"?>
<worksheet xmlns="http://schemas.openxmlformats.org/spreadsheetml/2006/main" xmlns:r="http://schemas.openxmlformats.org/officeDocument/2006/relationships">
  <sheetPr>
    <tabColor theme="2"/>
  </sheetPr>
  <dimension ref="A1:F53"/>
  <sheetViews>
    <sheetView zoomScalePageLayoutView="0" workbookViewId="0" topLeftCell="A1">
      <selection activeCell="B15" sqref="B15"/>
    </sheetView>
  </sheetViews>
  <sheetFormatPr defaultColWidth="22.8515625" defaultRowHeight="15"/>
  <cols>
    <col min="1" max="1" width="22.7109375" style="90" bestFit="1" customWidth="1"/>
    <col min="2" max="2" width="13.421875" style="90" bestFit="1" customWidth="1"/>
    <col min="3" max="3" width="7.28125" style="90" bestFit="1" customWidth="1"/>
    <col min="4" max="4" width="28.28125" style="90" customWidth="1"/>
    <col min="5" max="5" width="12.7109375" style="90" bestFit="1" customWidth="1"/>
    <col min="6" max="16384" width="22.8515625" style="90" customWidth="1"/>
  </cols>
  <sheetData>
    <row r="1" spans="1:2" ht="12.75">
      <c r="A1" s="106" t="s">
        <v>277</v>
      </c>
      <c r="B1" s="117">
        <f>B7/(1+B3)^B6</f>
        <v>252572.46819458736</v>
      </c>
    </row>
    <row r="2" spans="1:2" ht="12.75">
      <c r="A2" s="106" t="s">
        <v>135</v>
      </c>
      <c r="B2" s="98">
        <v>0.07</v>
      </c>
    </row>
    <row r="3" spans="1:2" ht="12.75">
      <c r="A3" s="106" t="s">
        <v>136</v>
      </c>
      <c r="B3" s="89">
        <f>B2/B5</f>
        <v>0.035</v>
      </c>
    </row>
    <row r="4" spans="1:2" ht="12.75">
      <c r="A4" s="106" t="s">
        <v>137</v>
      </c>
      <c r="B4" s="99">
        <v>20</v>
      </c>
    </row>
    <row r="5" spans="1:2" ht="12.75">
      <c r="A5" s="106" t="s">
        <v>138</v>
      </c>
      <c r="B5" s="99">
        <v>2</v>
      </c>
    </row>
    <row r="6" spans="1:2" ht="12.75">
      <c r="A6" s="106" t="s">
        <v>139</v>
      </c>
      <c r="B6" s="89">
        <f>B4*B5</f>
        <v>40</v>
      </c>
    </row>
    <row r="7" spans="1:5" ht="12.75">
      <c r="A7" s="106" t="s">
        <v>145</v>
      </c>
      <c r="B7" s="108">
        <v>1000000</v>
      </c>
      <c r="E7" s="100"/>
    </row>
    <row r="12" spans="3:5" s="101" customFormat="1" ht="51">
      <c r="C12" s="102" t="s">
        <v>141</v>
      </c>
      <c r="D12" s="102" t="s">
        <v>146</v>
      </c>
      <c r="E12" s="102" t="s">
        <v>144</v>
      </c>
    </row>
    <row r="13" spans="3:6" ht="12.75">
      <c r="C13" s="104">
        <v>0</v>
      </c>
      <c r="D13" s="89"/>
      <c r="E13" s="107">
        <f>B1</f>
        <v>252572.46819458736</v>
      </c>
      <c r="F13" s="109"/>
    </row>
    <row r="14" spans="3:6" ht="12.75">
      <c r="C14" s="89">
        <f>C13+1</f>
        <v>1</v>
      </c>
      <c r="D14" s="110">
        <f>E14-E13</f>
        <v>8840.036386810534</v>
      </c>
      <c r="E14" s="110">
        <f aca="true" t="shared" si="0" ref="E14:E53">E13*(1+B$3)</f>
        <v>261412.5045813979</v>
      </c>
      <c r="F14" s="100"/>
    </row>
    <row r="15" spans="3:6" ht="12.75">
      <c r="C15" s="89">
        <f aca="true" t="shared" si="1" ref="C15:C53">C14+1</f>
        <v>2</v>
      </c>
      <c r="D15" s="110">
        <f aca="true" t="shared" si="2" ref="D15:D53">E15-E14</f>
        <v>9149.437660348922</v>
      </c>
      <c r="E15" s="110">
        <f t="shared" si="0"/>
        <v>270561.9422417468</v>
      </c>
      <c r="F15" s="100"/>
    </row>
    <row r="16" spans="3:5" ht="12.75">
      <c r="C16" s="89">
        <f t="shared" si="1"/>
        <v>3</v>
      </c>
      <c r="D16" s="110">
        <f>E16-E15</f>
        <v>9469.667978461133</v>
      </c>
      <c r="E16" s="110">
        <f>E15*(1+B$3)</f>
        <v>280031.61022020795</v>
      </c>
    </row>
    <row r="17" spans="3:5" ht="12.75">
      <c r="C17" s="89">
        <f t="shared" si="1"/>
        <v>4</v>
      </c>
      <c r="D17" s="110">
        <f t="shared" si="2"/>
        <v>9801.106357707235</v>
      </c>
      <c r="E17" s="110">
        <f t="shared" si="0"/>
        <v>289832.7165779152</v>
      </c>
    </row>
    <row r="18" spans="3:5" ht="12.75">
      <c r="C18" s="89">
        <f t="shared" si="1"/>
        <v>5</v>
      </c>
      <c r="D18" s="110">
        <f t="shared" si="2"/>
        <v>10144.145080226997</v>
      </c>
      <c r="E18" s="110">
        <f t="shared" si="0"/>
        <v>299976.8616581422</v>
      </c>
    </row>
    <row r="19" spans="3:5" ht="12.75">
      <c r="C19" s="89">
        <f t="shared" si="1"/>
        <v>6</v>
      </c>
      <c r="D19" s="110">
        <f t="shared" si="2"/>
        <v>10499.190158034966</v>
      </c>
      <c r="E19" s="110">
        <f t="shared" si="0"/>
        <v>310476.05181617715</v>
      </c>
    </row>
    <row r="20" spans="3:5" ht="12.75">
      <c r="C20" s="89">
        <f t="shared" si="1"/>
        <v>7</v>
      </c>
      <c r="D20" s="110">
        <f t="shared" si="2"/>
        <v>10866.66181356617</v>
      </c>
      <c r="E20" s="110">
        <f t="shared" si="0"/>
        <v>321342.7136297433</v>
      </c>
    </row>
    <row r="21" spans="3:5" ht="12.75">
      <c r="C21" s="89">
        <f t="shared" si="1"/>
        <v>8</v>
      </c>
      <c r="D21" s="110">
        <f t="shared" si="2"/>
        <v>11246.994977040973</v>
      </c>
      <c r="E21" s="110">
        <f t="shared" si="0"/>
        <v>332589.7086067843</v>
      </c>
    </row>
    <row r="22" spans="3:5" ht="12.75">
      <c r="C22" s="89">
        <f t="shared" si="1"/>
        <v>9</v>
      </c>
      <c r="D22" s="110">
        <f t="shared" si="2"/>
        <v>11640.639801237441</v>
      </c>
      <c r="E22" s="110">
        <f t="shared" si="0"/>
        <v>344230.34840802173</v>
      </c>
    </row>
    <row r="23" spans="3:5" ht="12.75">
      <c r="C23" s="89">
        <f t="shared" si="1"/>
        <v>10</v>
      </c>
      <c r="D23" s="110">
        <f t="shared" si="2"/>
        <v>12048.062194280734</v>
      </c>
      <c r="E23" s="110">
        <f t="shared" si="0"/>
        <v>356278.41060230247</v>
      </c>
    </row>
    <row r="24" spans="3:5" ht="12.75">
      <c r="C24" s="89">
        <f t="shared" si="1"/>
        <v>11</v>
      </c>
      <c r="D24" s="110">
        <f t="shared" si="2"/>
        <v>12469.744371080538</v>
      </c>
      <c r="E24" s="110">
        <f t="shared" si="0"/>
        <v>368748.154973383</v>
      </c>
    </row>
    <row r="25" spans="3:5" ht="12.75">
      <c r="C25" s="89">
        <f t="shared" si="1"/>
        <v>12</v>
      </c>
      <c r="D25" s="110">
        <f t="shared" si="2"/>
        <v>12906.18542406836</v>
      </c>
      <c r="E25" s="110">
        <f t="shared" si="0"/>
        <v>381654.34039745136</v>
      </c>
    </row>
    <row r="26" spans="3:5" ht="12.75">
      <c r="C26" s="89">
        <f t="shared" si="1"/>
        <v>13</v>
      </c>
      <c r="D26" s="110">
        <f t="shared" si="2"/>
        <v>13357.901913910755</v>
      </c>
      <c r="E26" s="110">
        <f t="shared" si="0"/>
        <v>395012.2423113621</v>
      </c>
    </row>
    <row r="27" spans="3:5" ht="12.75">
      <c r="C27" s="89">
        <f t="shared" si="1"/>
        <v>14</v>
      </c>
      <c r="D27" s="110">
        <f t="shared" si="2"/>
        <v>13825.428480897623</v>
      </c>
      <c r="E27" s="110">
        <f t="shared" si="0"/>
        <v>408837.67079225974</v>
      </c>
    </row>
    <row r="28" spans="3:5" ht="12.75">
      <c r="C28" s="89">
        <f t="shared" si="1"/>
        <v>15</v>
      </c>
      <c r="D28" s="110">
        <f t="shared" si="2"/>
        <v>14309.318477729044</v>
      </c>
      <c r="E28" s="110">
        <f t="shared" si="0"/>
        <v>423146.9892699888</v>
      </c>
    </row>
    <row r="29" spans="3:5" ht="12.75">
      <c r="C29" s="89">
        <f t="shared" si="1"/>
        <v>16</v>
      </c>
      <c r="D29" s="110">
        <f t="shared" si="2"/>
        <v>14810.144624449546</v>
      </c>
      <c r="E29" s="110">
        <f t="shared" si="0"/>
        <v>437957.13389443833</v>
      </c>
    </row>
    <row r="30" spans="3:5" ht="12.75">
      <c r="C30" s="89">
        <f t="shared" si="1"/>
        <v>17</v>
      </c>
      <c r="D30" s="110">
        <f t="shared" si="2"/>
        <v>15328.499686305295</v>
      </c>
      <c r="E30" s="110">
        <f t="shared" si="0"/>
        <v>453285.6335807436</v>
      </c>
    </row>
    <row r="31" spans="3:5" ht="12.75">
      <c r="C31" s="89">
        <f t="shared" si="1"/>
        <v>18</v>
      </c>
      <c r="D31" s="110">
        <f t="shared" si="2"/>
        <v>15864.997175325989</v>
      </c>
      <c r="E31" s="110">
        <f t="shared" si="0"/>
        <v>469150.6307560696</v>
      </c>
    </row>
    <row r="32" spans="3:5" ht="12.75">
      <c r="C32" s="89">
        <f t="shared" si="1"/>
        <v>19</v>
      </c>
      <c r="D32" s="110">
        <f t="shared" si="2"/>
        <v>16420.272076462395</v>
      </c>
      <c r="E32" s="110">
        <f t="shared" si="0"/>
        <v>485570.902832532</v>
      </c>
    </row>
    <row r="33" spans="3:5" ht="12.75">
      <c r="C33" s="89">
        <f t="shared" si="1"/>
        <v>20</v>
      </c>
      <c r="D33" s="110">
        <f t="shared" si="2"/>
        <v>16994.981599138584</v>
      </c>
      <c r="E33" s="110">
        <f t="shared" si="0"/>
        <v>502565.8844316706</v>
      </c>
    </row>
    <row r="34" spans="3:5" ht="12.75">
      <c r="C34" s="89">
        <f t="shared" si="1"/>
        <v>21</v>
      </c>
      <c r="D34" s="110">
        <f t="shared" si="2"/>
        <v>17589.80595510843</v>
      </c>
      <c r="E34" s="110">
        <f t="shared" si="0"/>
        <v>520155.690386779</v>
      </c>
    </row>
    <row r="35" spans="3:5" ht="12.75">
      <c r="C35" s="89">
        <f t="shared" si="1"/>
        <v>22</v>
      </c>
      <c r="D35" s="110">
        <f t="shared" si="2"/>
        <v>18205.44916353724</v>
      </c>
      <c r="E35" s="110">
        <f t="shared" si="0"/>
        <v>538361.1395503163</v>
      </c>
    </row>
    <row r="36" spans="3:5" ht="12.75">
      <c r="C36" s="89">
        <f t="shared" si="1"/>
        <v>23</v>
      </c>
      <c r="D36" s="110">
        <f t="shared" si="2"/>
        <v>18842.639884261065</v>
      </c>
      <c r="E36" s="110">
        <f t="shared" si="0"/>
        <v>557203.7794345773</v>
      </c>
    </row>
    <row r="37" spans="3:5" ht="12.75">
      <c r="C37" s="89">
        <f t="shared" si="1"/>
        <v>24</v>
      </c>
      <c r="D37" s="110">
        <f t="shared" si="2"/>
        <v>19502.13228021015</v>
      </c>
      <c r="E37" s="110">
        <f t="shared" si="0"/>
        <v>576705.9117147875</v>
      </c>
    </row>
    <row r="38" spans="3:5" ht="12.75">
      <c r="C38" s="89">
        <f t="shared" si="1"/>
        <v>25</v>
      </c>
      <c r="D38" s="110">
        <f t="shared" si="2"/>
        <v>20184.70691001753</v>
      </c>
      <c r="E38" s="110">
        <f t="shared" si="0"/>
        <v>596890.618624805</v>
      </c>
    </row>
    <row r="39" spans="3:5" ht="12.75">
      <c r="C39" s="89">
        <f t="shared" si="1"/>
        <v>26</v>
      </c>
      <c r="D39" s="110">
        <f t="shared" si="2"/>
        <v>20891.17165186815</v>
      </c>
      <c r="E39" s="110">
        <f t="shared" si="0"/>
        <v>617781.7902766732</v>
      </c>
    </row>
    <row r="40" spans="3:5" ht="12.75">
      <c r="C40" s="89">
        <f t="shared" si="1"/>
        <v>27</v>
      </c>
      <c r="D40" s="110">
        <f t="shared" si="2"/>
        <v>21622.362659683567</v>
      </c>
      <c r="E40" s="110">
        <f t="shared" si="0"/>
        <v>639404.1529363567</v>
      </c>
    </row>
    <row r="41" spans="3:5" ht="12.75">
      <c r="C41" s="89">
        <f t="shared" si="1"/>
        <v>28</v>
      </c>
      <c r="D41" s="110">
        <f t="shared" si="2"/>
        <v>22379.145352772437</v>
      </c>
      <c r="E41" s="110">
        <f t="shared" si="0"/>
        <v>661783.2982891292</v>
      </c>
    </row>
    <row r="42" spans="3:5" ht="12.75">
      <c r="C42" s="89">
        <f t="shared" si="1"/>
        <v>29</v>
      </c>
      <c r="D42" s="110">
        <f t="shared" si="2"/>
        <v>23162.415440119454</v>
      </c>
      <c r="E42" s="110">
        <f t="shared" si="0"/>
        <v>684945.7137292486</v>
      </c>
    </row>
    <row r="43" spans="3:5" ht="12.75">
      <c r="C43" s="89">
        <f t="shared" si="1"/>
        <v>30</v>
      </c>
      <c r="D43" s="110">
        <f t="shared" si="2"/>
        <v>23973.099980523693</v>
      </c>
      <c r="E43" s="110">
        <f t="shared" si="0"/>
        <v>708918.8137097723</v>
      </c>
    </row>
    <row r="44" spans="3:5" ht="12.75">
      <c r="C44" s="89">
        <f t="shared" si="1"/>
        <v>31</v>
      </c>
      <c r="D44" s="110">
        <f t="shared" si="2"/>
        <v>24812.158479842008</v>
      </c>
      <c r="E44" s="110">
        <f t="shared" si="0"/>
        <v>733730.9721896143</v>
      </c>
    </row>
    <row r="45" spans="3:5" ht="12.75">
      <c r="C45" s="89">
        <f t="shared" si="1"/>
        <v>32</v>
      </c>
      <c r="D45" s="110">
        <f t="shared" si="2"/>
        <v>25680.58402663644</v>
      </c>
      <c r="E45" s="110">
        <f t="shared" si="0"/>
        <v>759411.5562162508</v>
      </c>
    </row>
    <row r="46" spans="3:5" ht="12.75">
      <c r="C46" s="89">
        <f t="shared" si="1"/>
        <v>33</v>
      </c>
      <c r="D46" s="110">
        <f t="shared" si="2"/>
        <v>26579.404467568733</v>
      </c>
      <c r="E46" s="110">
        <f t="shared" si="0"/>
        <v>785990.9606838195</v>
      </c>
    </row>
    <row r="47" spans="3:5" ht="12.75">
      <c r="C47" s="89">
        <f t="shared" si="1"/>
        <v>34</v>
      </c>
      <c r="D47" s="110">
        <f t="shared" si="2"/>
        <v>27509.683623933583</v>
      </c>
      <c r="E47" s="110">
        <f t="shared" si="0"/>
        <v>813500.6443077531</v>
      </c>
    </row>
    <row r="48" spans="3:5" ht="12.75">
      <c r="C48" s="89">
        <f t="shared" si="1"/>
        <v>35</v>
      </c>
      <c r="D48" s="110">
        <f t="shared" si="2"/>
        <v>28472.522550771246</v>
      </c>
      <c r="E48" s="110">
        <f t="shared" si="0"/>
        <v>841973.1668585243</v>
      </c>
    </row>
    <row r="49" spans="3:5" ht="12.75">
      <c r="C49" s="89">
        <f t="shared" si="1"/>
        <v>36</v>
      </c>
      <c r="D49" s="110">
        <f t="shared" si="2"/>
        <v>29469.060840048245</v>
      </c>
      <c r="E49" s="110">
        <f t="shared" si="0"/>
        <v>871442.2276985726</v>
      </c>
    </row>
    <row r="50" spans="3:5" ht="12.75">
      <c r="C50" s="89">
        <f t="shared" si="1"/>
        <v>37</v>
      </c>
      <c r="D50" s="110">
        <f t="shared" si="2"/>
        <v>30500.477969449945</v>
      </c>
      <c r="E50" s="110">
        <f t="shared" si="0"/>
        <v>901942.7056680225</v>
      </c>
    </row>
    <row r="51" spans="3:5" ht="12.75">
      <c r="C51" s="89">
        <f t="shared" si="1"/>
        <v>38</v>
      </c>
      <c r="D51" s="110">
        <f t="shared" si="2"/>
        <v>31567.994698380702</v>
      </c>
      <c r="E51" s="110">
        <f t="shared" si="0"/>
        <v>933510.7003664032</v>
      </c>
    </row>
    <row r="52" spans="3:5" ht="12.75">
      <c r="C52" s="89">
        <f t="shared" si="1"/>
        <v>39</v>
      </c>
      <c r="D52" s="110">
        <f t="shared" si="2"/>
        <v>32672.874512823997</v>
      </c>
      <c r="E52" s="110">
        <f t="shared" si="0"/>
        <v>966183.5748792272</v>
      </c>
    </row>
    <row r="53" spans="3:5" ht="12.75">
      <c r="C53" s="89">
        <f t="shared" si="1"/>
        <v>40</v>
      </c>
      <c r="D53" s="110">
        <f t="shared" si="2"/>
        <v>33816.42512077291</v>
      </c>
      <c r="E53" s="111">
        <f t="shared" si="0"/>
        <v>1000000.0000000001</v>
      </c>
    </row>
  </sheetData>
  <sheetProtection/>
  <printOptions/>
  <pageMargins left="0.75" right="0.75" top="1" bottom="1" header="0.5" footer="0.5"/>
  <pageSetup orientation="portrait" paperSize="9"/>
</worksheet>
</file>

<file path=xl/worksheets/sheet51.xml><?xml version="1.0" encoding="utf-8"?>
<worksheet xmlns="http://schemas.openxmlformats.org/spreadsheetml/2006/main" xmlns:r="http://schemas.openxmlformats.org/officeDocument/2006/relationships">
  <sheetPr>
    <tabColor theme="0"/>
  </sheetPr>
  <dimension ref="A1:G128"/>
  <sheetViews>
    <sheetView zoomScalePageLayoutView="0" workbookViewId="0" topLeftCell="A1">
      <selection activeCell="I22" sqref="I22"/>
    </sheetView>
  </sheetViews>
  <sheetFormatPr defaultColWidth="9.140625" defaultRowHeight="15"/>
  <cols>
    <col min="1" max="1" width="23.00390625" style="0" customWidth="1"/>
    <col min="2" max="2" width="11.140625" style="0" bestFit="1" customWidth="1"/>
    <col min="4" max="4" width="13.140625" style="0" bestFit="1" customWidth="1"/>
    <col min="5" max="5" width="11.8515625" style="0" bestFit="1" customWidth="1"/>
  </cols>
  <sheetData>
    <row r="1" spans="1:2" ht="14.25">
      <c r="A1" s="112" t="s">
        <v>147</v>
      </c>
      <c r="B1" s="113">
        <v>120000</v>
      </c>
    </row>
    <row r="2" spans="1:2" ht="14.25">
      <c r="A2" s="112" t="s">
        <v>137</v>
      </c>
      <c r="B2" s="5">
        <v>10</v>
      </c>
    </row>
    <row r="3" spans="1:2" ht="14.25">
      <c r="A3" s="112" t="s">
        <v>148</v>
      </c>
      <c r="B3" s="9">
        <v>0.12</v>
      </c>
    </row>
    <row r="4" spans="1:2" ht="38.25">
      <c r="A4" s="114" t="s">
        <v>149</v>
      </c>
      <c r="B4" s="5">
        <v>12</v>
      </c>
    </row>
    <row r="5" spans="1:2" ht="25.5">
      <c r="A5" s="114" t="s">
        <v>150</v>
      </c>
      <c r="B5" s="5">
        <v>3</v>
      </c>
    </row>
    <row r="7" spans="1:5" ht="14.25">
      <c r="A7" s="86" t="s">
        <v>65</v>
      </c>
      <c r="B7" s="86" t="s">
        <v>154</v>
      </c>
      <c r="C7" s="86" t="s">
        <v>132</v>
      </c>
      <c r="D7" s="86" t="s">
        <v>133</v>
      </c>
      <c r="E7" s="86" t="s">
        <v>155</v>
      </c>
    </row>
    <row r="8" spans="1:5" ht="14.25">
      <c r="A8" s="5">
        <v>0</v>
      </c>
      <c r="B8" s="5"/>
      <c r="C8" s="5"/>
      <c r="D8" s="5"/>
      <c r="E8" s="113">
        <f>B1</f>
        <v>120000</v>
      </c>
    </row>
    <row r="9" spans="1:5" ht="14.25">
      <c r="A9" s="5">
        <f>A8+1</f>
        <v>1</v>
      </c>
      <c r="B9" s="46">
        <f>-PMT($B$3/$B$4,$B$4*$B$2,$B$1,,0)</f>
        <v>1721.6513808310476</v>
      </c>
      <c r="C9" s="118">
        <f>E8*$B$3/$B$4</f>
        <v>1200</v>
      </c>
      <c r="D9" s="46">
        <f>B9-C9</f>
        <v>521.6513808310476</v>
      </c>
      <c r="E9" s="46">
        <f>E8-D9</f>
        <v>119478.34861916896</v>
      </c>
    </row>
    <row r="10" spans="1:5" ht="14.25">
      <c r="A10" s="5">
        <f aca="true" t="shared" si="0" ref="A10:A73">A9+1</f>
        <v>2</v>
      </c>
      <c r="B10" s="46">
        <f aca="true" t="shared" si="1" ref="B10:B73">-PMT($B$3/$B$4,$B$4*$B$2,$B$1,,0)</f>
        <v>1721.6513808310476</v>
      </c>
      <c r="C10" s="118">
        <f aca="true" t="shared" si="2" ref="C10:C73">E9*$B$3/$B$4</f>
        <v>1194.7834861916897</v>
      </c>
      <c r="D10" s="46">
        <f aca="true" t="shared" si="3" ref="D10:D73">B10-C10</f>
        <v>526.8678946393579</v>
      </c>
      <c r="E10" s="46">
        <f aca="true" t="shared" si="4" ref="E10:E73">E9-D10</f>
        <v>118951.4807245296</v>
      </c>
    </row>
    <row r="11" spans="1:5" ht="14.25">
      <c r="A11" s="5">
        <f t="shared" si="0"/>
        <v>3</v>
      </c>
      <c r="B11" s="46">
        <f t="shared" si="1"/>
        <v>1721.6513808310476</v>
      </c>
      <c r="C11" s="118">
        <f t="shared" si="2"/>
        <v>1189.514807245296</v>
      </c>
      <c r="D11" s="46">
        <f t="shared" si="3"/>
        <v>532.1365735857516</v>
      </c>
      <c r="E11" s="46">
        <f t="shared" si="4"/>
        <v>118419.34415094384</v>
      </c>
    </row>
    <row r="12" spans="1:5" ht="14.25">
      <c r="A12" s="5">
        <f t="shared" si="0"/>
        <v>4</v>
      </c>
      <c r="B12" s="46">
        <f t="shared" si="1"/>
        <v>1721.6513808310476</v>
      </c>
      <c r="C12" s="118">
        <f t="shared" si="2"/>
        <v>1184.1934415094383</v>
      </c>
      <c r="D12" s="46">
        <f t="shared" si="3"/>
        <v>537.4579393216093</v>
      </c>
      <c r="E12" s="46">
        <f t="shared" si="4"/>
        <v>117881.88621162223</v>
      </c>
    </row>
    <row r="13" spans="1:5" ht="14.25">
      <c r="A13" s="5">
        <f t="shared" si="0"/>
        <v>5</v>
      </c>
      <c r="B13" s="46">
        <f t="shared" si="1"/>
        <v>1721.6513808310476</v>
      </c>
      <c r="C13" s="118">
        <f t="shared" si="2"/>
        <v>1178.8188621162224</v>
      </c>
      <c r="D13" s="46">
        <f t="shared" si="3"/>
        <v>542.8325187148253</v>
      </c>
      <c r="E13" s="46">
        <f t="shared" si="4"/>
        <v>117339.0536929074</v>
      </c>
    </row>
    <row r="14" spans="1:5" ht="14.25">
      <c r="A14" s="5">
        <f t="shared" si="0"/>
        <v>6</v>
      </c>
      <c r="B14" s="46">
        <f t="shared" si="1"/>
        <v>1721.6513808310476</v>
      </c>
      <c r="C14" s="118">
        <f t="shared" si="2"/>
        <v>1173.390536929074</v>
      </c>
      <c r="D14" s="46">
        <f t="shared" si="3"/>
        <v>548.2608439019737</v>
      </c>
      <c r="E14" s="46">
        <f t="shared" si="4"/>
        <v>116790.79284900543</v>
      </c>
    </row>
    <row r="15" spans="1:5" ht="14.25">
      <c r="A15" s="5">
        <f t="shared" si="0"/>
        <v>7</v>
      </c>
      <c r="B15" s="46">
        <f t="shared" si="1"/>
        <v>1721.6513808310476</v>
      </c>
      <c r="C15" s="118">
        <f t="shared" si="2"/>
        <v>1167.9079284900542</v>
      </c>
      <c r="D15" s="46">
        <f t="shared" si="3"/>
        <v>553.7434523409934</v>
      </c>
      <c r="E15" s="46">
        <f t="shared" si="4"/>
        <v>116237.04939666444</v>
      </c>
    </row>
    <row r="16" spans="1:5" ht="14.25">
      <c r="A16" s="5">
        <f t="shared" si="0"/>
        <v>8</v>
      </c>
      <c r="B16" s="46">
        <f t="shared" si="1"/>
        <v>1721.6513808310476</v>
      </c>
      <c r="C16" s="118">
        <f t="shared" si="2"/>
        <v>1162.3704939666443</v>
      </c>
      <c r="D16" s="46">
        <f t="shared" si="3"/>
        <v>559.2808868644033</v>
      </c>
      <c r="E16" s="46">
        <f t="shared" si="4"/>
        <v>115677.76850980004</v>
      </c>
    </row>
    <row r="17" spans="1:5" ht="14.25">
      <c r="A17" s="5">
        <f t="shared" si="0"/>
        <v>9</v>
      </c>
      <c r="B17" s="46">
        <f t="shared" si="1"/>
        <v>1721.6513808310476</v>
      </c>
      <c r="C17" s="118">
        <f t="shared" si="2"/>
        <v>1156.7776850980003</v>
      </c>
      <c r="D17" s="46">
        <f t="shared" si="3"/>
        <v>564.8736957330473</v>
      </c>
      <c r="E17" s="46">
        <f t="shared" si="4"/>
        <v>115112.894814067</v>
      </c>
    </row>
    <row r="18" spans="1:5" ht="14.25">
      <c r="A18" s="5">
        <f t="shared" si="0"/>
        <v>10</v>
      </c>
      <c r="B18" s="46">
        <f t="shared" si="1"/>
        <v>1721.6513808310476</v>
      </c>
      <c r="C18" s="118">
        <f t="shared" si="2"/>
        <v>1151.12894814067</v>
      </c>
      <c r="D18" s="46">
        <f t="shared" si="3"/>
        <v>570.5224326903776</v>
      </c>
      <c r="E18" s="46">
        <f t="shared" si="4"/>
        <v>114542.37238137661</v>
      </c>
    </row>
    <row r="19" spans="1:5" ht="14.25">
      <c r="A19" s="5">
        <f t="shared" si="0"/>
        <v>11</v>
      </c>
      <c r="B19" s="46">
        <f t="shared" si="1"/>
        <v>1721.6513808310476</v>
      </c>
      <c r="C19" s="118">
        <f t="shared" si="2"/>
        <v>1145.423723813766</v>
      </c>
      <c r="D19" s="46">
        <f t="shared" si="3"/>
        <v>576.2276570172817</v>
      </c>
      <c r="E19" s="46">
        <f t="shared" si="4"/>
        <v>113966.14472435933</v>
      </c>
    </row>
    <row r="20" spans="1:5" ht="14.25">
      <c r="A20" s="5">
        <f t="shared" si="0"/>
        <v>12</v>
      </c>
      <c r="B20" s="46">
        <f t="shared" si="1"/>
        <v>1721.6513808310476</v>
      </c>
      <c r="C20" s="118">
        <f t="shared" si="2"/>
        <v>1139.6614472435933</v>
      </c>
      <c r="D20" s="46">
        <f t="shared" si="3"/>
        <v>581.9899335874543</v>
      </c>
      <c r="E20" s="46">
        <f t="shared" si="4"/>
        <v>113384.15479077188</v>
      </c>
    </row>
    <row r="21" spans="1:5" ht="14.25">
      <c r="A21" s="5">
        <f t="shared" si="0"/>
        <v>13</v>
      </c>
      <c r="B21" s="46">
        <f t="shared" si="1"/>
        <v>1721.6513808310476</v>
      </c>
      <c r="C21" s="118">
        <f t="shared" si="2"/>
        <v>1133.8415479077187</v>
      </c>
      <c r="D21" s="46">
        <f t="shared" si="3"/>
        <v>587.8098329233289</v>
      </c>
      <c r="E21" s="46">
        <f t="shared" si="4"/>
        <v>112796.34495784855</v>
      </c>
    </row>
    <row r="22" spans="1:5" ht="14.25">
      <c r="A22" s="5">
        <f t="shared" si="0"/>
        <v>14</v>
      </c>
      <c r="B22" s="46">
        <f t="shared" si="1"/>
        <v>1721.6513808310476</v>
      </c>
      <c r="C22" s="118">
        <f t="shared" si="2"/>
        <v>1127.9634495784856</v>
      </c>
      <c r="D22" s="46">
        <f t="shared" si="3"/>
        <v>593.6879312525621</v>
      </c>
      <c r="E22" s="46">
        <f t="shared" si="4"/>
        <v>112202.65702659599</v>
      </c>
    </row>
    <row r="23" spans="1:5" ht="14.25">
      <c r="A23" s="5">
        <f t="shared" si="0"/>
        <v>15</v>
      </c>
      <c r="B23" s="46">
        <f t="shared" si="1"/>
        <v>1721.6513808310476</v>
      </c>
      <c r="C23" s="118">
        <f t="shared" si="2"/>
        <v>1122.02657026596</v>
      </c>
      <c r="D23" s="46">
        <f t="shared" si="3"/>
        <v>599.6248105650877</v>
      </c>
      <c r="E23" s="46">
        <f t="shared" si="4"/>
        <v>111603.0322160309</v>
      </c>
    </row>
    <row r="24" spans="1:5" ht="14.25">
      <c r="A24" s="5">
        <f t="shared" si="0"/>
        <v>16</v>
      </c>
      <c r="B24" s="46">
        <f t="shared" si="1"/>
        <v>1721.6513808310476</v>
      </c>
      <c r="C24" s="118">
        <f t="shared" si="2"/>
        <v>1116.030322160309</v>
      </c>
      <c r="D24" s="46">
        <f t="shared" si="3"/>
        <v>605.6210586707386</v>
      </c>
      <c r="E24" s="46">
        <f t="shared" si="4"/>
        <v>110997.41115736015</v>
      </c>
    </row>
    <row r="25" spans="1:5" ht="14.25">
      <c r="A25" s="5">
        <f t="shared" si="0"/>
        <v>17</v>
      </c>
      <c r="B25" s="46">
        <f t="shared" si="1"/>
        <v>1721.6513808310476</v>
      </c>
      <c r="C25" s="118">
        <f t="shared" si="2"/>
        <v>1109.9741115736015</v>
      </c>
      <c r="D25" s="46">
        <f t="shared" si="3"/>
        <v>611.6772692574461</v>
      </c>
      <c r="E25" s="46">
        <f t="shared" si="4"/>
        <v>110385.73388810271</v>
      </c>
    </row>
    <row r="26" spans="1:5" ht="14.25">
      <c r="A26" s="5">
        <f t="shared" si="0"/>
        <v>18</v>
      </c>
      <c r="B26" s="46">
        <f t="shared" si="1"/>
        <v>1721.6513808310476</v>
      </c>
      <c r="C26" s="118">
        <f t="shared" si="2"/>
        <v>1103.857338881027</v>
      </c>
      <c r="D26" s="46">
        <f t="shared" si="3"/>
        <v>617.7940419500205</v>
      </c>
      <c r="E26" s="46">
        <f t="shared" si="4"/>
        <v>109767.93984615269</v>
      </c>
    </row>
    <row r="27" spans="1:5" ht="14.25">
      <c r="A27" s="5">
        <f t="shared" si="0"/>
        <v>19</v>
      </c>
      <c r="B27" s="46">
        <f t="shared" si="1"/>
        <v>1721.6513808310476</v>
      </c>
      <c r="C27" s="118">
        <f t="shared" si="2"/>
        <v>1097.6793984615267</v>
      </c>
      <c r="D27" s="46">
        <f t="shared" si="3"/>
        <v>623.9719823695209</v>
      </c>
      <c r="E27" s="46">
        <f t="shared" si="4"/>
        <v>109143.96786378317</v>
      </c>
    </row>
    <row r="28" spans="1:5" ht="14.25">
      <c r="A28" s="5">
        <f t="shared" si="0"/>
        <v>20</v>
      </c>
      <c r="B28" s="46">
        <f t="shared" si="1"/>
        <v>1721.6513808310476</v>
      </c>
      <c r="C28" s="118">
        <f t="shared" si="2"/>
        <v>1091.4396786378318</v>
      </c>
      <c r="D28" s="46">
        <f t="shared" si="3"/>
        <v>630.2117021932158</v>
      </c>
      <c r="E28" s="46">
        <f t="shared" si="4"/>
        <v>108513.75616158995</v>
      </c>
    </row>
    <row r="29" spans="1:5" ht="14.25">
      <c r="A29" s="5">
        <f t="shared" si="0"/>
        <v>21</v>
      </c>
      <c r="B29" s="46">
        <f t="shared" si="1"/>
        <v>1721.6513808310476</v>
      </c>
      <c r="C29" s="118">
        <f t="shared" si="2"/>
        <v>1085.1375616158994</v>
      </c>
      <c r="D29" s="46">
        <f t="shared" si="3"/>
        <v>636.5138192151483</v>
      </c>
      <c r="E29" s="46">
        <f t="shared" si="4"/>
        <v>107877.2423423748</v>
      </c>
    </row>
    <row r="30" spans="1:5" ht="14.25">
      <c r="A30" s="5">
        <f t="shared" si="0"/>
        <v>22</v>
      </c>
      <c r="B30" s="46">
        <f t="shared" si="1"/>
        <v>1721.6513808310476</v>
      </c>
      <c r="C30" s="118">
        <f t="shared" si="2"/>
        <v>1078.7724234237478</v>
      </c>
      <c r="D30" s="46">
        <f t="shared" si="3"/>
        <v>642.8789574072998</v>
      </c>
      <c r="E30" s="46">
        <f t="shared" si="4"/>
        <v>107234.3633849675</v>
      </c>
    </row>
    <row r="31" spans="1:5" ht="14.25">
      <c r="A31" s="5">
        <f t="shared" si="0"/>
        <v>23</v>
      </c>
      <c r="B31" s="46">
        <f t="shared" si="1"/>
        <v>1721.6513808310476</v>
      </c>
      <c r="C31" s="118">
        <f t="shared" si="2"/>
        <v>1072.343633849675</v>
      </c>
      <c r="D31" s="46">
        <f t="shared" si="3"/>
        <v>649.3077469813727</v>
      </c>
      <c r="E31" s="46">
        <f t="shared" si="4"/>
        <v>106585.05563798612</v>
      </c>
    </row>
    <row r="32" spans="1:5" ht="14.25">
      <c r="A32" s="5">
        <f t="shared" si="0"/>
        <v>24</v>
      </c>
      <c r="B32" s="46">
        <f t="shared" si="1"/>
        <v>1721.6513808310476</v>
      </c>
      <c r="C32" s="118">
        <f t="shared" si="2"/>
        <v>1065.8505563798612</v>
      </c>
      <c r="D32" s="46">
        <f t="shared" si="3"/>
        <v>655.8008244511864</v>
      </c>
      <c r="E32" s="46">
        <f t="shared" si="4"/>
        <v>105929.25481353494</v>
      </c>
    </row>
    <row r="33" spans="1:5" ht="14.25">
      <c r="A33" s="5">
        <f t="shared" si="0"/>
        <v>25</v>
      </c>
      <c r="B33" s="46">
        <f t="shared" si="1"/>
        <v>1721.6513808310476</v>
      </c>
      <c r="C33" s="118">
        <f t="shared" si="2"/>
        <v>1059.2925481353493</v>
      </c>
      <c r="D33" s="46">
        <f t="shared" si="3"/>
        <v>662.3588326956983</v>
      </c>
      <c r="E33" s="46">
        <f t="shared" si="4"/>
        <v>105266.89598083924</v>
      </c>
    </row>
    <row r="34" spans="1:5" ht="14.25">
      <c r="A34" s="5">
        <f t="shared" si="0"/>
        <v>26</v>
      </c>
      <c r="B34" s="46">
        <f t="shared" si="1"/>
        <v>1721.6513808310476</v>
      </c>
      <c r="C34" s="118">
        <f t="shared" si="2"/>
        <v>1052.6689598083924</v>
      </c>
      <c r="D34" s="46">
        <f t="shared" si="3"/>
        <v>668.9824210226552</v>
      </c>
      <c r="E34" s="46">
        <f t="shared" si="4"/>
        <v>104597.91355981659</v>
      </c>
    </row>
    <row r="35" spans="1:5" ht="14.25">
      <c r="A35" s="5">
        <f t="shared" si="0"/>
        <v>27</v>
      </c>
      <c r="B35" s="46">
        <f t="shared" si="1"/>
        <v>1721.6513808310476</v>
      </c>
      <c r="C35" s="118">
        <f t="shared" si="2"/>
        <v>1045.9791355981658</v>
      </c>
      <c r="D35" s="46">
        <f t="shared" si="3"/>
        <v>675.6722452328818</v>
      </c>
      <c r="E35" s="46">
        <f t="shared" si="4"/>
        <v>103922.2413145837</v>
      </c>
    </row>
    <row r="36" spans="1:5" ht="14.25">
      <c r="A36" s="5">
        <f t="shared" si="0"/>
        <v>28</v>
      </c>
      <c r="B36" s="46">
        <f t="shared" si="1"/>
        <v>1721.6513808310476</v>
      </c>
      <c r="C36" s="118">
        <f t="shared" si="2"/>
        <v>1039.222413145837</v>
      </c>
      <c r="D36" s="46">
        <f t="shared" si="3"/>
        <v>682.4289676852106</v>
      </c>
      <c r="E36" s="46">
        <f t="shared" si="4"/>
        <v>103239.8123468985</v>
      </c>
    </row>
    <row r="37" spans="1:5" ht="14.25">
      <c r="A37" s="5">
        <f t="shared" si="0"/>
        <v>29</v>
      </c>
      <c r="B37" s="46">
        <f t="shared" si="1"/>
        <v>1721.6513808310476</v>
      </c>
      <c r="C37" s="118">
        <f t="shared" si="2"/>
        <v>1032.398123468985</v>
      </c>
      <c r="D37" s="46">
        <f t="shared" si="3"/>
        <v>689.2532573620626</v>
      </c>
      <c r="E37" s="46">
        <f t="shared" si="4"/>
        <v>102550.55908953644</v>
      </c>
    </row>
    <row r="38" spans="1:5" ht="14.25">
      <c r="A38" s="5">
        <f t="shared" si="0"/>
        <v>30</v>
      </c>
      <c r="B38" s="46">
        <f t="shared" si="1"/>
        <v>1721.6513808310476</v>
      </c>
      <c r="C38" s="118">
        <f t="shared" si="2"/>
        <v>1025.5055908953643</v>
      </c>
      <c r="D38" s="46">
        <f t="shared" si="3"/>
        <v>696.1457899356833</v>
      </c>
      <c r="E38" s="46">
        <f t="shared" si="4"/>
        <v>101854.41329960075</v>
      </c>
    </row>
    <row r="39" spans="1:5" ht="14.25">
      <c r="A39" s="5">
        <f t="shared" si="0"/>
        <v>31</v>
      </c>
      <c r="B39" s="46">
        <f t="shared" si="1"/>
        <v>1721.6513808310476</v>
      </c>
      <c r="C39" s="118">
        <f t="shared" si="2"/>
        <v>1018.5441329960075</v>
      </c>
      <c r="D39" s="46">
        <f t="shared" si="3"/>
        <v>703.1072478350401</v>
      </c>
      <c r="E39" s="46">
        <f t="shared" si="4"/>
        <v>101151.30605176571</v>
      </c>
    </row>
    <row r="40" spans="1:5" ht="14.25">
      <c r="A40" s="5">
        <f t="shared" si="0"/>
        <v>32</v>
      </c>
      <c r="B40" s="46">
        <f t="shared" si="1"/>
        <v>1721.6513808310476</v>
      </c>
      <c r="C40" s="118">
        <f t="shared" si="2"/>
        <v>1011.5130605176572</v>
      </c>
      <c r="D40" s="46">
        <f t="shared" si="3"/>
        <v>710.1383203133904</v>
      </c>
      <c r="E40" s="46">
        <f t="shared" si="4"/>
        <v>100441.16773145233</v>
      </c>
    </row>
    <row r="41" spans="1:5" ht="14.25">
      <c r="A41" s="5">
        <f t="shared" si="0"/>
        <v>33</v>
      </c>
      <c r="B41" s="46">
        <f t="shared" si="1"/>
        <v>1721.6513808310476</v>
      </c>
      <c r="C41" s="118">
        <f t="shared" si="2"/>
        <v>1004.4116773145232</v>
      </c>
      <c r="D41" s="46">
        <f t="shared" si="3"/>
        <v>717.2397035165244</v>
      </c>
      <c r="E41" s="46">
        <f t="shared" si="4"/>
        <v>99723.9280279358</v>
      </c>
    </row>
    <row r="42" spans="1:5" ht="14.25">
      <c r="A42" s="5">
        <f t="shared" si="0"/>
        <v>34</v>
      </c>
      <c r="B42" s="46">
        <f t="shared" si="1"/>
        <v>1721.6513808310476</v>
      </c>
      <c r="C42" s="118">
        <f t="shared" si="2"/>
        <v>997.239280279358</v>
      </c>
      <c r="D42" s="46">
        <f t="shared" si="3"/>
        <v>724.4121005516896</v>
      </c>
      <c r="E42" s="46">
        <f t="shared" si="4"/>
        <v>98999.51592738411</v>
      </c>
    </row>
    <row r="43" spans="1:5" ht="14.25">
      <c r="A43" s="5">
        <f t="shared" si="0"/>
        <v>35</v>
      </c>
      <c r="B43" s="46">
        <f t="shared" si="1"/>
        <v>1721.6513808310476</v>
      </c>
      <c r="C43" s="118">
        <f t="shared" si="2"/>
        <v>989.9951592738411</v>
      </c>
      <c r="D43" s="46">
        <f t="shared" si="3"/>
        <v>731.6562215572065</v>
      </c>
      <c r="E43" s="46">
        <f t="shared" si="4"/>
        <v>98267.85970582691</v>
      </c>
    </row>
    <row r="44" spans="1:7" ht="14.25">
      <c r="A44" s="5">
        <f t="shared" si="0"/>
        <v>36</v>
      </c>
      <c r="B44" s="46">
        <f t="shared" si="1"/>
        <v>1721.6513808310476</v>
      </c>
      <c r="C44" s="118">
        <f t="shared" si="2"/>
        <v>982.678597058269</v>
      </c>
      <c r="D44" s="46">
        <f t="shared" si="3"/>
        <v>738.9727837727786</v>
      </c>
      <c r="E44" s="46">
        <f t="shared" si="4"/>
        <v>97528.88692205412</v>
      </c>
      <c r="G44" t="s">
        <v>160</v>
      </c>
    </row>
    <row r="45" spans="1:5" ht="14.25">
      <c r="A45" s="5">
        <f t="shared" si="0"/>
        <v>37</v>
      </c>
      <c r="B45" s="46">
        <f t="shared" si="1"/>
        <v>1721.6513808310476</v>
      </c>
      <c r="C45" s="118">
        <f t="shared" si="2"/>
        <v>975.2888692205412</v>
      </c>
      <c r="D45" s="46">
        <f t="shared" si="3"/>
        <v>746.3625116105064</v>
      </c>
      <c r="E45" s="46">
        <f t="shared" si="4"/>
        <v>96782.52441044361</v>
      </c>
    </row>
    <row r="46" spans="1:5" ht="14.25">
      <c r="A46" s="5">
        <f t="shared" si="0"/>
        <v>38</v>
      </c>
      <c r="B46" s="46">
        <f t="shared" si="1"/>
        <v>1721.6513808310476</v>
      </c>
      <c r="C46" s="118">
        <f t="shared" si="2"/>
        <v>967.825244104436</v>
      </c>
      <c r="D46" s="46">
        <f t="shared" si="3"/>
        <v>753.8261367266116</v>
      </c>
      <c r="E46" s="46">
        <f t="shared" si="4"/>
        <v>96028.698273717</v>
      </c>
    </row>
    <row r="47" spans="1:5" ht="14.25">
      <c r="A47" s="5">
        <f t="shared" si="0"/>
        <v>39</v>
      </c>
      <c r="B47" s="46">
        <f t="shared" si="1"/>
        <v>1721.6513808310476</v>
      </c>
      <c r="C47" s="118">
        <f t="shared" si="2"/>
        <v>960.28698273717</v>
      </c>
      <c r="D47" s="46">
        <f t="shared" si="3"/>
        <v>761.3643980938776</v>
      </c>
      <c r="E47" s="46">
        <f t="shared" si="4"/>
        <v>95267.33387562312</v>
      </c>
    </row>
    <row r="48" spans="1:5" ht="14.25">
      <c r="A48" s="5">
        <f t="shared" si="0"/>
        <v>40</v>
      </c>
      <c r="B48" s="46">
        <f t="shared" si="1"/>
        <v>1721.6513808310476</v>
      </c>
      <c r="C48" s="118">
        <f t="shared" si="2"/>
        <v>952.6733387562313</v>
      </c>
      <c r="D48" s="46">
        <f t="shared" si="3"/>
        <v>768.9780420748164</v>
      </c>
      <c r="E48" s="46">
        <f t="shared" si="4"/>
        <v>94498.35583354831</v>
      </c>
    </row>
    <row r="49" spans="1:5" ht="14.25">
      <c r="A49" s="5">
        <f t="shared" si="0"/>
        <v>41</v>
      </c>
      <c r="B49" s="46">
        <f t="shared" si="1"/>
        <v>1721.6513808310476</v>
      </c>
      <c r="C49" s="118">
        <f t="shared" si="2"/>
        <v>944.983558335483</v>
      </c>
      <c r="D49" s="46">
        <f t="shared" si="3"/>
        <v>776.6678224955646</v>
      </c>
      <c r="E49" s="46">
        <f t="shared" si="4"/>
        <v>93721.68801105274</v>
      </c>
    </row>
    <row r="50" spans="1:5" ht="14.25">
      <c r="A50" s="5">
        <f t="shared" si="0"/>
        <v>42</v>
      </c>
      <c r="B50" s="46">
        <f t="shared" si="1"/>
        <v>1721.6513808310476</v>
      </c>
      <c r="C50" s="118">
        <f t="shared" si="2"/>
        <v>937.2168801105273</v>
      </c>
      <c r="D50" s="46">
        <f t="shared" si="3"/>
        <v>784.4345007205203</v>
      </c>
      <c r="E50" s="46">
        <f t="shared" si="4"/>
        <v>92937.25351033222</v>
      </c>
    </row>
    <row r="51" spans="1:5" ht="14.25">
      <c r="A51" s="5">
        <f t="shared" si="0"/>
        <v>43</v>
      </c>
      <c r="B51" s="46">
        <f t="shared" si="1"/>
        <v>1721.6513808310476</v>
      </c>
      <c r="C51" s="118">
        <f t="shared" si="2"/>
        <v>929.3725351033221</v>
      </c>
      <c r="D51" s="46">
        <f t="shared" si="3"/>
        <v>792.2788457277255</v>
      </c>
      <c r="E51" s="46">
        <f t="shared" si="4"/>
        <v>92144.9746646045</v>
      </c>
    </row>
    <row r="52" spans="1:5" ht="14.25">
      <c r="A52" s="5">
        <f t="shared" si="0"/>
        <v>44</v>
      </c>
      <c r="B52" s="46">
        <f t="shared" si="1"/>
        <v>1721.6513808310476</v>
      </c>
      <c r="C52" s="118">
        <f t="shared" si="2"/>
        <v>921.4497466460449</v>
      </c>
      <c r="D52" s="46">
        <f t="shared" si="3"/>
        <v>800.2016341850027</v>
      </c>
      <c r="E52" s="46">
        <f t="shared" si="4"/>
        <v>91344.7730304195</v>
      </c>
    </row>
    <row r="53" spans="1:5" ht="14.25">
      <c r="A53" s="5">
        <f t="shared" si="0"/>
        <v>45</v>
      </c>
      <c r="B53" s="46">
        <f t="shared" si="1"/>
        <v>1721.6513808310476</v>
      </c>
      <c r="C53" s="118">
        <f t="shared" si="2"/>
        <v>913.4477303041949</v>
      </c>
      <c r="D53" s="46">
        <f t="shared" si="3"/>
        <v>808.2036505268527</v>
      </c>
      <c r="E53" s="46">
        <f t="shared" si="4"/>
        <v>90536.56937989265</v>
      </c>
    </row>
    <row r="54" spans="1:5" ht="14.25">
      <c r="A54" s="5">
        <f t="shared" si="0"/>
        <v>46</v>
      </c>
      <c r="B54" s="46">
        <f t="shared" si="1"/>
        <v>1721.6513808310476</v>
      </c>
      <c r="C54" s="118">
        <f t="shared" si="2"/>
        <v>905.3656937989264</v>
      </c>
      <c r="D54" s="46">
        <f t="shared" si="3"/>
        <v>816.2856870321212</v>
      </c>
      <c r="E54" s="46">
        <f t="shared" si="4"/>
        <v>89720.28369286052</v>
      </c>
    </row>
    <row r="55" spans="1:5" ht="14.25">
      <c r="A55" s="5">
        <f t="shared" si="0"/>
        <v>47</v>
      </c>
      <c r="B55" s="46">
        <f t="shared" si="1"/>
        <v>1721.6513808310476</v>
      </c>
      <c r="C55" s="118">
        <f t="shared" si="2"/>
        <v>897.2028369286053</v>
      </c>
      <c r="D55" s="46">
        <f t="shared" si="3"/>
        <v>824.4485439024423</v>
      </c>
      <c r="E55" s="46">
        <f t="shared" si="4"/>
        <v>88895.83514895808</v>
      </c>
    </row>
    <row r="56" spans="1:5" ht="14.25">
      <c r="A56" s="5">
        <f t="shared" si="0"/>
        <v>48</v>
      </c>
      <c r="B56" s="46">
        <f t="shared" si="1"/>
        <v>1721.6513808310476</v>
      </c>
      <c r="C56" s="118">
        <f t="shared" si="2"/>
        <v>888.9583514895808</v>
      </c>
      <c r="D56" s="46">
        <f t="shared" si="3"/>
        <v>832.6930293414669</v>
      </c>
      <c r="E56" s="46">
        <f t="shared" si="4"/>
        <v>88063.14211961662</v>
      </c>
    </row>
    <row r="57" spans="1:5" ht="14.25">
      <c r="A57" s="5">
        <f t="shared" si="0"/>
        <v>49</v>
      </c>
      <c r="B57" s="46">
        <f t="shared" si="1"/>
        <v>1721.6513808310476</v>
      </c>
      <c r="C57" s="118">
        <f t="shared" si="2"/>
        <v>880.6314211961662</v>
      </c>
      <c r="D57" s="46">
        <f t="shared" si="3"/>
        <v>841.0199596348814</v>
      </c>
      <c r="E57" s="46">
        <f t="shared" si="4"/>
        <v>87222.12215998174</v>
      </c>
    </row>
    <row r="58" spans="1:5" ht="14.25">
      <c r="A58" s="5">
        <f t="shared" si="0"/>
        <v>50</v>
      </c>
      <c r="B58" s="46">
        <f t="shared" si="1"/>
        <v>1721.6513808310476</v>
      </c>
      <c r="C58" s="118">
        <f t="shared" si="2"/>
        <v>872.2212215998173</v>
      </c>
      <c r="D58" s="46">
        <f t="shared" si="3"/>
        <v>849.4301592312303</v>
      </c>
      <c r="E58" s="46">
        <f t="shared" si="4"/>
        <v>86372.69200075051</v>
      </c>
    </row>
    <row r="59" spans="1:5" ht="14.25">
      <c r="A59" s="5">
        <f t="shared" si="0"/>
        <v>51</v>
      </c>
      <c r="B59" s="46">
        <f t="shared" si="1"/>
        <v>1721.6513808310476</v>
      </c>
      <c r="C59" s="118">
        <f t="shared" si="2"/>
        <v>863.7269200075051</v>
      </c>
      <c r="D59" s="46">
        <f t="shared" si="3"/>
        <v>857.9244608235425</v>
      </c>
      <c r="E59" s="46">
        <f t="shared" si="4"/>
        <v>85514.76753992696</v>
      </c>
    </row>
    <row r="60" spans="1:5" ht="14.25">
      <c r="A60" s="5">
        <f t="shared" si="0"/>
        <v>52</v>
      </c>
      <c r="B60" s="46">
        <f t="shared" si="1"/>
        <v>1721.6513808310476</v>
      </c>
      <c r="C60" s="118">
        <f t="shared" si="2"/>
        <v>855.1476753992696</v>
      </c>
      <c r="D60" s="46">
        <f t="shared" si="3"/>
        <v>866.503705431778</v>
      </c>
      <c r="E60" s="46">
        <f t="shared" si="4"/>
        <v>84648.26383449518</v>
      </c>
    </row>
    <row r="61" spans="1:5" ht="14.25">
      <c r="A61" s="5">
        <f t="shared" si="0"/>
        <v>53</v>
      </c>
      <c r="B61" s="46">
        <f t="shared" si="1"/>
        <v>1721.6513808310476</v>
      </c>
      <c r="C61" s="118">
        <f t="shared" si="2"/>
        <v>846.4826383449519</v>
      </c>
      <c r="D61" s="46">
        <f t="shared" si="3"/>
        <v>875.1687424860958</v>
      </c>
      <c r="E61" s="46">
        <f t="shared" si="4"/>
        <v>83773.09509200908</v>
      </c>
    </row>
    <row r="62" spans="1:5" ht="14.25">
      <c r="A62" s="5">
        <f t="shared" si="0"/>
        <v>54</v>
      </c>
      <c r="B62" s="46">
        <f t="shared" si="1"/>
        <v>1721.6513808310476</v>
      </c>
      <c r="C62" s="118">
        <f t="shared" si="2"/>
        <v>837.7309509200908</v>
      </c>
      <c r="D62" s="46">
        <f t="shared" si="3"/>
        <v>883.9204299109568</v>
      </c>
      <c r="E62" s="46">
        <f t="shared" si="4"/>
        <v>82889.17466209813</v>
      </c>
    </row>
    <row r="63" spans="1:5" ht="14.25">
      <c r="A63" s="5">
        <f t="shared" si="0"/>
        <v>55</v>
      </c>
      <c r="B63" s="46">
        <f t="shared" si="1"/>
        <v>1721.6513808310476</v>
      </c>
      <c r="C63" s="118">
        <f t="shared" si="2"/>
        <v>828.8917466209813</v>
      </c>
      <c r="D63" s="46">
        <f t="shared" si="3"/>
        <v>892.7596342100663</v>
      </c>
      <c r="E63" s="46">
        <f t="shared" si="4"/>
        <v>81996.41502788806</v>
      </c>
    </row>
    <row r="64" spans="1:5" ht="14.25">
      <c r="A64" s="5">
        <f t="shared" si="0"/>
        <v>56</v>
      </c>
      <c r="B64" s="46">
        <f t="shared" si="1"/>
        <v>1721.6513808310476</v>
      </c>
      <c r="C64" s="118">
        <f t="shared" si="2"/>
        <v>819.9641502788805</v>
      </c>
      <c r="D64" s="46">
        <f t="shared" si="3"/>
        <v>901.6872305521671</v>
      </c>
      <c r="E64" s="46">
        <f t="shared" si="4"/>
        <v>81094.72779733589</v>
      </c>
    </row>
    <row r="65" spans="1:5" ht="14.25">
      <c r="A65" s="5">
        <f t="shared" si="0"/>
        <v>57</v>
      </c>
      <c r="B65" s="46">
        <f t="shared" si="1"/>
        <v>1721.6513808310476</v>
      </c>
      <c r="C65" s="118">
        <f t="shared" si="2"/>
        <v>810.9472779733588</v>
      </c>
      <c r="D65" s="46">
        <f t="shared" si="3"/>
        <v>910.7041028576888</v>
      </c>
      <c r="E65" s="46">
        <f t="shared" si="4"/>
        <v>80184.0236944782</v>
      </c>
    </row>
    <row r="66" spans="1:5" ht="14.25">
      <c r="A66" s="5">
        <f t="shared" si="0"/>
        <v>58</v>
      </c>
      <c r="B66" s="46">
        <f t="shared" si="1"/>
        <v>1721.6513808310476</v>
      </c>
      <c r="C66" s="118">
        <f t="shared" si="2"/>
        <v>801.8402369447819</v>
      </c>
      <c r="D66" s="46">
        <f t="shared" si="3"/>
        <v>919.8111438862658</v>
      </c>
      <c r="E66" s="46">
        <f t="shared" si="4"/>
        <v>79264.21255059192</v>
      </c>
    </row>
    <row r="67" spans="1:5" ht="14.25">
      <c r="A67" s="5">
        <f t="shared" si="0"/>
        <v>59</v>
      </c>
      <c r="B67" s="46">
        <f t="shared" si="1"/>
        <v>1721.6513808310476</v>
      </c>
      <c r="C67" s="118">
        <f t="shared" si="2"/>
        <v>792.6421255059191</v>
      </c>
      <c r="D67" s="46">
        <f t="shared" si="3"/>
        <v>929.0092553251285</v>
      </c>
      <c r="E67" s="46">
        <f t="shared" si="4"/>
        <v>78335.2032952668</v>
      </c>
    </row>
    <row r="68" spans="1:5" ht="14.25">
      <c r="A68" s="5">
        <f t="shared" si="0"/>
        <v>60</v>
      </c>
      <c r="B68" s="46">
        <f t="shared" si="1"/>
        <v>1721.6513808310476</v>
      </c>
      <c r="C68" s="118">
        <f t="shared" si="2"/>
        <v>783.3520329526679</v>
      </c>
      <c r="D68" s="46">
        <f t="shared" si="3"/>
        <v>938.2993478783798</v>
      </c>
      <c r="E68" s="46">
        <f t="shared" si="4"/>
        <v>77396.90394738842</v>
      </c>
    </row>
    <row r="69" spans="1:5" ht="14.25">
      <c r="A69" s="5">
        <f t="shared" si="0"/>
        <v>61</v>
      </c>
      <c r="B69" s="46">
        <f t="shared" si="1"/>
        <v>1721.6513808310476</v>
      </c>
      <c r="C69" s="118">
        <f t="shared" si="2"/>
        <v>773.9690394738841</v>
      </c>
      <c r="D69" s="46">
        <f t="shared" si="3"/>
        <v>947.6823413571635</v>
      </c>
      <c r="E69" s="46">
        <f t="shared" si="4"/>
        <v>76449.22160603125</v>
      </c>
    </row>
    <row r="70" spans="1:5" ht="14.25">
      <c r="A70" s="5">
        <f t="shared" si="0"/>
        <v>62</v>
      </c>
      <c r="B70" s="46">
        <f t="shared" si="1"/>
        <v>1721.6513808310476</v>
      </c>
      <c r="C70" s="118">
        <f t="shared" si="2"/>
        <v>764.4922160603124</v>
      </c>
      <c r="D70" s="46">
        <f t="shared" si="3"/>
        <v>957.1591647707352</v>
      </c>
      <c r="E70" s="46">
        <f t="shared" si="4"/>
        <v>75492.06244126051</v>
      </c>
    </row>
    <row r="71" spans="1:5" ht="14.25">
      <c r="A71" s="5">
        <f t="shared" si="0"/>
        <v>63</v>
      </c>
      <c r="B71" s="46">
        <f t="shared" si="1"/>
        <v>1721.6513808310476</v>
      </c>
      <c r="C71" s="118">
        <f t="shared" si="2"/>
        <v>754.920624412605</v>
      </c>
      <c r="D71" s="46">
        <f t="shared" si="3"/>
        <v>966.7307564184426</v>
      </c>
      <c r="E71" s="46">
        <f t="shared" si="4"/>
        <v>74525.33168484207</v>
      </c>
    </row>
    <row r="72" spans="1:5" ht="14.25">
      <c r="A72" s="5">
        <f t="shared" si="0"/>
        <v>64</v>
      </c>
      <c r="B72" s="46">
        <f t="shared" si="1"/>
        <v>1721.6513808310476</v>
      </c>
      <c r="C72" s="118">
        <f t="shared" si="2"/>
        <v>745.2533168484206</v>
      </c>
      <c r="D72" s="46">
        <f t="shared" si="3"/>
        <v>976.398063982627</v>
      </c>
      <c r="E72" s="46">
        <f t="shared" si="4"/>
        <v>73548.93362085943</v>
      </c>
    </row>
    <row r="73" spans="1:5" ht="14.25">
      <c r="A73" s="5">
        <f t="shared" si="0"/>
        <v>65</v>
      </c>
      <c r="B73" s="46">
        <f t="shared" si="1"/>
        <v>1721.6513808310476</v>
      </c>
      <c r="C73" s="118">
        <f t="shared" si="2"/>
        <v>735.4893362085944</v>
      </c>
      <c r="D73" s="46">
        <f t="shared" si="3"/>
        <v>986.1620446224532</v>
      </c>
      <c r="E73" s="46">
        <f t="shared" si="4"/>
        <v>72562.77157623698</v>
      </c>
    </row>
    <row r="74" spans="1:5" ht="14.25">
      <c r="A74" s="5">
        <f aca="true" t="shared" si="5" ref="A74:A128">A73+1</f>
        <v>66</v>
      </c>
      <c r="B74" s="46">
        <f aca="true" t="shared" si="6" ref="B74:B128">-PMT($B$3/$B$4,$B$4*$B$2,$B$1,,0)</f>
        <v>1721.6513808310476</v>
      </c>
      <c r="C74" s="118">
        <f aca="true" t="shared" si="7" ref="C74:C128">E73*$B$3/$B$4</f>
        <v>725.6277157623698</v>
      </c>
      <c r="D74" s="46">
        <f aca="true" t="shared" si="8" ref="D74:D128">B74-C74</f>
        <v>996.0236650686778</v>
      </c>
      <c r="E74" s="46">
        <f aca="true" t="shared" si="9" ref="E74:E128">E73-D74</f>
        <v>71566.7479111683</v>
      </c>
    </row>
    <row r="75" spans="1:5" ht="14.25">
      <c r="A75" s="5">
        <f t="shared" si="5"/>
        <v>67</v>
      </c>
      <c r="B75" s="46">
        <f t="shared" si="6"/>
        <v>1721.6513808310476</v>
      </c>
      <c r="C75" s="118">
        <f t="shared" si="7"/>
        <v>715.6674791116831</v>
      </c>
      <c r="D75" s="46">
        <f t="shared" si="8"/>
        <v>1005.9839017193646</v>
      </c>
      <c r="E75" s="46">
        <f t="shared" si="9"/>
        <v>70560.76400944895</v>
      </c>
    </row>
    <row r="76" spans="1:5" ht="14.25">
      <c r="A76" s="5">
        <f t="shared" si="5"/>
        <v>68</v>
      </c>
      <c r="B76" s="46">
        <f t="shared" si="6"/>
        <v>1721.6513808310476</v>
      </c>
      <c r="C76" s="118">
        <f t="shared" si="7"/>
        <v>705.6076400944894</v>
      </c>
      <c r="D76" s="46">
        <f t="shared" si="8"/>
        <v>1016.0437407365582</v>
      </c>
      <c r="E76" s="46">
        <f t="shared" si="9"/>
        <v>69544.7202687124</v>
      </c>
    </row>
    <row r="77" spans="1:5" ht="14.25">
      <c r="A77" s="5">
        <f t="shared" si="5"/>
        <v>69</v>
      </c>
      <c r="B77" s="46">
        <f t="shared" si="6"/>
        <v>1721.6513808310476</v>
      </c>
      <c r="C77" s="118">
        <f t="shared" si="7"/>
        <v>695.4472026871239</v>
      </c>
      <c r="D77" s="46">
        <f t="shared" si="8"/>
        <v>1026.2041781439239</v>
      </c>
      <c r="E77" s="46">
        <f t="shared" si="9"/>
        <v>68518.51609056848</v>
      </c>
    </row>
    <row r="78" spans="1:5" ht="14.25">
      <c r="A78" s="5">
        <f t="shared" si="5"/>
        <v>70</v>
      </c>
      <c r="B78" s="46">
        <f t="shared" si="6"/>
        <v>1721.6513808310476</v>
      </c>
      <c r="C78" s="118">
        <f t="shared" si="7"/>
        <v>685.1851609056847</v>
      </c>
      <c r="D78" s="46">
        <f t="shared" si="8"/>
        <v>1036.466219925363</v>
      </c>
      <c r="E78" s="46">
        <f t="shared" si="9"/>
        <v>67482.04987064311</v>
      </c>
    </row>
    <row r="79" spans="1:5" ht="14.25">
      <c r="A79" s="5">
        <f t="shared" si="5"/>
        <v>71</v>
      </c>
      <c r="B79" s="46">
        <f t="shared" si="6"/>
        <v>1721.6513808310476</v>
      </c>
      <c r="C79" s="118">
        <f t="shared" si="7"/>
        <v>674.8204987064311</v>
      </c>
      <c r="D79" s="46">
        <f t="shared" si="8"/>
        <v>1046.8308821246164</v>
      </c>
      <c r="E79" s="46">
        <f t="shared" si="9"/>
        <v>66435.21898851849</v>
      </c>
    </row>
    <row r="80" spans="1:5" ht="14.25">
      <c r="A80" s="5">
        <f t="shared" si="5"/>
        <v>72</v>
      </c>
      <c r="B80" s="46">
        <f t="shared" si="6"/>
        <v>1721.6513808310476</v>
      </c>
      <c r="C80" s="118">
        <f t="shared" si="7"/>
        <v>664.3521898851849</v>
      </c>
      <c r="D80" s="46">
        <f t="shared" si="8"/>
        <v>1057.2991909458628</v>
      </c>
      <c r="E80" s="46">
        <f t="shared" si="9"/>
        <v>65377.91979757263</v>
      </c>
    </row>
    <row r="81" spans="1:5" ht="14.25">
      <c r="A81" s="5">
        <f t="shared" si="5"/>
        <v>73</v>
      </c>
      <c r="B81" s="46">
        <f t="shared" si="6"/>
        <v>1721.6513808310476</v>
      </c>
      <c r="C81" s="118">
        <f t="shared" si="7"/>
        <v>653.7791979757262</v>
      </c>
      <c r="D81" s="46">
        <f t="shared" si="8"/>
        <v>1067.8721828553214</v>
      </c>
      <c r="E81" s="46">
        <f t="shared" si="9"/>
        <v>64310.0476147173</v>
      </c>
    </row>
    <row r="82" spans="1:5" ht="14.25">
      <c r="A82" s="5">
        <f t="shared" si="5"/>
        <v>74</v>
      </c>
      <c r="B82" s="46">
        <f t="shared" si="6"/>
        <v>1721.6513808310476</v>
      </c>
      <c r="C82" s="118">
        <f t="shared" si="7"/>
        <v>643.100476147173</v>
      </c>
      <c r="D82" s="46">
        <f t="shared" si="8"/>
        <v>1078.5509046838747</v>
      </c>
      <c r="E82" s="46">
        <f t="shared" si="9"/>
        <v>63231.496710033425</v>
      </c>
    </row>
    <row r="83" spans="1:5" ht="14.25">
      <c r="A83" s="5">
        <f t="shared" si="5"/>
        <v>75</v>
      </c>
      <c r="B83" s="46">
        <f t="shared" si="6"/>
        <v>1721.6513808310476</v>
      </c>
      <c r="C83" s="118">
        <f t="shared" si="7"/>
        <v>632.3149671003342</v>
      </c>
      <c r="D83" s="46">
        <f t="shared" si="8"/>
        <v>1089.3364137307135</v>
      </c>
      <c r="E83" s="46">
        <f t="shared" si="9"/>
        <v>62142.16029630271</v>
      </c>
    </row>
    <row r="84" spans="1:5" ht="14.25">
      <c r="A84" s="5">
        <f t="shared" si="5"/>
        <v>76</v>
      </c>
      <c r="B84" s="46">
        <f t="shared" si="6"/>
        <v>1721.6513808310476</v>
      </c>
      <c r="C84" s="118">
        <f t="shared" si="7"/>
        <v>621.4216029630271</v>
      </c>
      <c r="D84" s="46">
        <f t="shared" si="8"/>
        <v>1100.2297778680204</v>
      </c>
      <c r="E84" s="46">
        <f t="shared" si="9"/>
        <v>61041.93051843469</v>
      </c>
    </row>
    <row r="85" spans="1:5" ht="14.25">
      <c r="A85" s="5">
        <f t="shared" si="5"/>
        <v>77</v>
      </c>
      <c r="B85" s="46">
        <f t="shared" si="6"/>
        <v>1721.6513808310476</v>
      </c>
      <c r="C85" s="118">
        <f t="shared" si="7"/>
        <v>610.4193051843469</v>
      </c>
      <c r="D85" s="46">
        <f t="shared" si="8"/>
        <v>1111.2320756467007</v>
      </c>
      <c r="E85" s="46">
        <f t="shared" si="9"/>
        <v>59930.69844278799</v>
      </c>
    </row>
    <row r="86" spans="1:5" ht="14.25">
      <c r="A86" s="5">
        <f t="shared" si="5"/>
        <v>78</v>
      </c>
      <c r="B86" s="46">
        <f t="shared" si="6"/>
        <v>1721.6513808310476</v>
      </c>
      <c r="C86" s="118">
        <f t="shared" si="7"/>
        <v>599.3069844278799</v>
      </c>
      <c r="D86" s="46">
        <f t="shared" si="8"/>
        <v>1122.3443964031676</v>
      </c>
      <c r="E86" s="46">
        <f t="shared" si="9"/>
        <v>58808.35404638482</v>
      </c>
    </row>
    <row r="87" spans="1:5" ht="14.25">
      <c r="A87" s="5">
        <f t="shared" si="5"/>
        <v>79</v>
      </c>
      <c r="B87" s="46">
        <f t="shared" si="6"/>
        <v>1721.6513808310476</v>
      </c>
      <c r="C87" s="118">
        <f t="shared" si="7"/>
        <v>588.0835404638482</v>
      </c>
      <c r="D87" s="46">
        <f t="shared" si="8"/>
        <v>1133.5678403671996</v>
      </c>
      <c r="E87" s="46">
        <f t="shared" si="9"/>
        <v>57674.78620601762</v>
      </c>
    </row>
    <row r="88" spans="1:5" ht="14.25">
      <c r="A88" s="5">
        <f t="shared" si="5"/>
        <v>80</v>
      </c>
      <c r="B88" s="46">
        <f t="shared" si="6"/>
        <v>1721.6513808310476</v>
      </c>
      <c r="C88" s="118">
        <f t="shared" si="7"/>
        <v>576.7478620601762</v>
      </c>
      <c r="D88" s="46">
        <f t="shared" si="8"/>
        <v>1144.9035187708714</v>
      </c>
      <c r="E88" s="46">
        <f t="shared" si="9"/>
        <v>56529.88268724675</v>
      </c>
    </row>
    <row r="89" spans="1:5" ht="14.25">
      <c r="A89" s="5">
        <f t="shared" si="5"/>
        <v>81</v>
      </c>
      <c r="B89" s="46">
        <f t="shared" si="6"/>
        <v>1721.6513808310476</v>
      </c>
      <c r="C89" s="118">
        <f t="shared" si="7"/>
        <v>565.2988268724674</v>
      </c>
      <c r="D89" s="46">
        <f t="shared" si="8"/>
        <v>1156.3525539585803</v>
      </c>
      <c r="E89" s="46">
        <f t="shared" si="9"/>
        <v>55373.530133288165</v>
      </c>
    </row>
    <row r="90" spans="1:5" ht="14.25">
      <c r="A90" s="5">
        <f t="shared" si="5"/>
        <v>82</v>
      </c>
      <c r="B90" s="46">
        <f t="shared" si="6"/>
        <v>1721.6513808310476</v>
      </c>
      <c r="C90" s="118">
        <f t="shared" si="7"/>
        <v>553.7353013328816</v>
      </c>
      <c r="D90" s="46">
        <f t="shared" si="8"/>
        <v>1167.916079498166</v>
      </c>
      <c r="E90" s="46">
        <f t="shared" si="9"/>
        <v>54205.61405379</v>
      </c>
    </row>
    <row r="91" spans="1:5" ht="14.25">
      <c r="A91" s="5">
        <f t="shared" si="5"/>
        <v>83</v>
      </c>
      <c r="B91" s="46">
        <f t="shared" si="6"/>
        <v>1721.6513808310476</v>
      </c>
      <c r="C91" s="118">
        <f t="shared" si="7"/>
        <v>542.0561405379</v>
      </c>
      <c r="D91" s="46">
        <f t="shared" si="8"/>
        <v>1179.5952402931475</v>
      </c>
      <c r="E91" s="46">
        <f t="shared" si="9"/>
        <v>53026.01881349685</v>
      </c>
    </row>
    <row r="92" spans="1:5" ht="14.25">
      <c r="A92" s="5">
        <f t="shared" si="5"/>
        <v>84</v>
      </c>
      <c r="B92" s="46">
        <f t="shared" si="6"/>
        <v>1721.6513808310476</v>
      </c>
      <c r="C92" s="118">
        <f t="shared" si="7"/>
        <v>530.2601881349684</v>
      </c>
      <c r="D92" s="46">
        <f t="shared" si="8"/>
        <v>1191.391192696079</v>
      </c>
      <c r="E92" s="46">
        <f t="shared" si="9"/>
        <v>51834.62762080077</v>
      </c>
    </row>
    <row r="93" spans="1:5" ht="14.25">
      <c r="A93" s="5">
        <f t="shared" si="5"/>
        <v>85</v>
      </c>
      <c r="B93" s="46">
        <f t="shared" si="6"/>
        <v>1721.6513808310476</v>
      </c>
      <c r="C93" s="118">
        <f t="shared" si="7"/>
        <v>518.3462762080077</v>
      </c>
      <c r="D93" s="46">
        <f t="shared" si="8"/>
        <v>1203.3051046230398</v>
      </c>
      <c r="E93" s="46">
        <f t="shared" si="9"/>
        <v>50631.32251617773</v>
      </c>
    </row>
    <row r="94" spans="1:5" ht="14.25">
      <c r="A94" s="5">
        <f t="shared" si="5"/>
        <v>86</v>
      </c>
      <c r="B94" s="46">
        <f t="shared" si="6"/>
        <v>1721.6513808310476</v>
      </c>
      <c r="C94" s="118">
        <f t="shared" si="7"/>
        <v>506.3132251617773</v>
      </c>
      <c r="D94" s="46">
        <f t="shared" si="8"/>
        <v>1215.3381556692702</v>
      </c>
      <c r="E94" s="46">
        <f t="shared" si="9"/>
        <v>49415.98436050846</v>
      </c>
    </row>
    <row r="95" spans="1:5" ht="14.25">
      <c r="A95" s="5">
        <f t="shared" si="5"/>
        <v>87</v>
      </c>
      <c r="B95" s="46">
        <f t="shared" si="6"/>
        <v>1721.6513808310476</v>
      </c>
      <c r="C95" s="118">
        <f t="shared" si="7"/>
        <v>494.15984360508463</v>
      </c>
      <c r="D95" s="46">
        <f t="shared" si="8"/>
        <v>1227.491537225963</v>
      </c>
      <c r="E95" s="46">
        <f t="shared" si="9"/>
        <v>48188.4928232825</v>
      </c>
    </row>
    <row r="96" spans="1:5" ht="14.25">
      <c r="A96" s="5">
        <f t="shared" si="5"/>
        <v>88</v>
      </c>
      <c r="B96" s="46">
        <f t="shared" si="6"/>
        <v>1721.6513808310476</v>
      </c>
      <c r="C96" s="118">
        <f t="shared" si="7"/>
        <v>481.88492823282496</v>
      </c>
      <c r="D96" s="46">
        <f t="shared" si="8"/>
        <v>1239.7664525982227</v>
      </c>
      <c r="E96" s="46">
        <f t="shared" si="9"/>
        <v>46948.72637068427</v>
      </c>
    </row>
    <row r="97" spans="1:5" ht="14.25">
      <c r="A97" s="5">
        <f t="shared" si="5"/>
        <v>89</v>
      </c>
      <c r="B97" s="46">
        <f t="shared" si="6"/>
        <v>1721.6513808310476</v>
      </c>
      <c r="C97" s="118">
        <f t="shared" si="7"/>
        <v>469.48726370684267</v>
      </c>
      <c r="D97" s="46">
        <f t="shared" si="8"/>
        <v>1252.164117124205</v>
      </c>
      <c r="E97" s="46">
        <f t="shared" si="9"/>
        <v>45696.56225356006</v>
      </c>
    </row>
    <row r="98" spans="1:5" ht="14.25">
      <c r="A98" s="5">
        <f t="shared" si="5"/>
        <v>90</v>
      </c>
      <c r="B98" s="46">
        <f t="shared" si="6"/>
        <v>1721.6513808310476</v>
      </c>
      <c r="C98" s="118">
        <f t="shared" si="7"/>
        <v>456.96562253560063</v>
      </c>
      <c r="D98" s="46">
        <f t="shared" si="8"/>
        <v>1264.685758295447</v>
      </c>
      <c r="E98" s="46">
        <f t="shared" si="9"/>
        <v>44431.876495264616</v>
      </c>
    </row>
    <row r="99" spans="1:5" ht="14.25">
      <c r="A99" s="5">
        <f t="shared" si="5"/>
        <v>91</v>
      </c>
      <c r="B99" s="46">
        <f t="shared" si="6"/>
        <v>1721.6513808310476</v>
      </c>
      <c r="C99" s="118">
        <f t="shared" si="7"/>
        <v>444.3187649526462</v>
      </c>
      <c r="D99" s="46">
        <f t="shared" si="8"/>
        <v>1277.3326158784014</v>
      </c>
      <c r="E99" s="46">
        <f t="shared" si="9"/>
        <v>43154.54387938621</v>
      </c>
    </row>
    <row r="100" spans="1:5" ht="14.25">
      <c r="A100" s="5">
        <f t="shared" si="5"/>
        <v>92</v>
      </c>
      <c r="B100" s="46">
        <f t="shared" si="6"/>
        <v>1721.6513808310476</v>
      </c>
      <c r="C100" s="118">
        <f t="shared" si="7"/>
        <v>431.5454387938621</v>
      </c>
      <c r="D100" s="46">
        <f t="shared" si="8"/>
        <v>1290.1059420371855</v>
      </c>
      <c r="E100" s="46">
        <f t="shared" si="9"/>
        <v>41864.43793734903</v>
      </c>
    </row>
    <row r="101" spans="1:5" ht="14.25">
      <c r="A101" s="5">
        <f t="shared" si="5"/>
        <v>93</v>
      </c>
      <c r="B101" s="46">
        <f t="shared" si="6"/>
        <v>1721.6513808310476</v>
      </c>
      <c r="C101" s="118">
        <f t="shared" si="7"/>
        <v>418.64437937349027</v>
      </c>
      <c r="D101" s="46">
        <f t="shared" si="8"/>
        <v>1303.0070014575574</v>
      </c>
      <c r="E101" s="46">
        <f t="shared" si="9"/>
        <v>40561.430935891476</v>
      </c>
    </row>
    <row r="102" spans="1:5" ht="14.25">
      <c r="A102" s="5">
        <f t="shared" si="5"/>
        <v>94</v>
      </c>
      <c r="B102" s="46">
        <f t="shared" si="6"/>
        <v>1721.6513808310476</v>
      </c>
      <c r="C102" s="118">
        <f t="shared" si="7"/>
        <v>405.6143093589148</v>
      </c>
      <c r="D102" s="46">
        <f t="shared" si="8"/>
        <v>1316.0370714721328</v>
      </c>
      <c r="E102" s="46">
        <f t="shared" si="9"/>
        <v>39245.39386441934</v>
      </c>
    </row>
    <row r="103" spans="1:5" ht="14.25">
      <c r="A103" s="5">
        <f t="shared" si="5"/>
        <v>95</v>
      </c>
      <c r="B103" s="46">
        <f t="shared" si="6"/>
        <v>1721.6513808310476</v>
      </c>
      <c r="C103" s="118">
        <f t="shared" si="7"/>
        <v>392.4539386441934</v>
      </c>
      <c r="D103" s="46">
        <f t="shared" si="8"/>
        <v>1329.1974421868542</v>
      </c>
      <c r="E103" s="46">
        <f t="shared" si="9"/>
        <v>37916.19642223249</v>
      </c>
    </row>
    <row r="104" spans="1:5" ht="14.25">
      <c r="A104" s="5">
        <f t="shared" si="5"/>
        <v>96</v>
      </c>
      <c r="B104" s="46">
        <f t="shared" si="6"/>
        <v>1721.6513808310476</v>
      </c>
      <c r="C104" s="118">
        <f t="shared" si="7"/>
        <v>379.1619642223249</v>
      </c>
      <c r="D104" s="46">
        <f t="shared" si="8"/>
        <v>1342.4894166087226</v>
      </c>
      <c r="E104" s="46">
        <f t="shared" si="9"/>
        <v>36573.707005623764</v>
      </c>
    </row>
    <row r="105" spans="1:5" ht="14.25">
      <c r="A105" s="5">
        <f t="shared" si="5"/>
        <v>97</v>
      </c>
      <c r="B105" s="46">
        <f t="shared" si="6"/>
        <v>1721.6513808310476</v>
      </c>
      <c r="C105" s="118">
        <f t="shared" si="7"/>
        <v>365.7370700562376</v>
      </c>
      <c r="D105" s="46">
        <f t="shared" si="8"/>
        <v>1355.91431077481</v>
      </c>
      <c r="E105" s="46">
        <f t="shared" si="9"/>
        <v>35217.792694848955</v>
      </c>
    </row>
    <row r="106" spans="1:5" ht="14.25">
      <c r="A106" s="5">
        <f t="shared" si="5"/>
        <v>98</v>
      </c>
      <c r="B106" s="46">
        <f t="shared" si="6"/>
        <v>1721.6513808310476</v>
      </c>
      <c r="C106" s="118">
        <f t="shared" si="7"/>
        <v>352.1779269484895</v>
      </c>
      <c r="D106" s="46">
        <f t="shared" si="8"/>
        <v>1369.473453882558</v>
      </c>
      <c r="E106" s="46">
        <f t="shared" si="9"/>
        <v>33848.3192409664</v>
      </c>
    </row>
    <row r="107" spans="1:5" ht="14.25">
      <c r="A107" s="5">
        <f t="shared" si="5"/>
        <v>99</v>
      </c>
      <c r="B107" s="46">
        <f t="shared" si="6"/>
        <v>1721.6513808310476</v>
      </c>
      <c r="C107" s="118">
        <f t="shared" si="7"/>
        <v>338.48319240966396</v>
      </c>
      <c r="D107" s="46">
        <f t="shared" si="8"/>
        <v>1383.1681884213835</v>
      </c>
      <c r="E107" s="46">
        <f t="shared" si="9"/>
        <v>32465.151052545014</v>
      </c>
    </row>
    <row r="108" spans="1:5" ht="14.25">
      <c r="A108" s="5">
        <f t="shared" si="5"/>
        <v>100</v>
      </c>
      <c r="B108" s="46">
        <f t="shared" si="6"/>
        <v>1721.6513808310476</v>
      </c>
      <c r="C108" s="118">
        <f t="shared" si="7"/>
        <v>324.65151052545013</v>
      </c>
      <c r="D108" s="46">
        <f t="shared" si="8"/>
        <v>1396.9998703055976</v>
      </c>
      <c r="E108" s="46">
        <f t="shared" si="9"/>
        <v>31068.151182239417</v>
      </c>
    </row>
    <row r="109" spans="1:5" ht="14.25">
      <c r="A109" s="5">
        <f t="shared" si="5"/>
        <v>101</v>
      </c>
      <c r="B109" s="46">
        <f t="shared" si="6"/>
        <v>1721.6513808310476</v>
      </c>
      <c r="C109" s="118">
        <f t="shared" si="7"/>
        <v>310.68151182239416</v>
      </c>
      <c r="D109" s="46">
        <f t="shared" si="8"/>
        <v>1410.9698690086534</v>
      </c>
      <c r="E109" s="46">
        <f t="shared" si="9"/>
        <v>29657.181313230765</v>
      </c>
    </row>
    <row r="110" spans="1:5" ht="14.25">
      <c r="A110" s="5">
        <f t="shared" si="5"/>
        <v>102</v>
      </c>
      <c r="B110" s="46">
        <f t="shared" si="6"/>
        <v>1721.6513808310476</v>
      </c>
      <c r="C110" s="118">
        <f t="shared" si="7"/>
        <v>296.5718131323076</v>
      </c>
      <c r="D110" s="46">
        <f t="shared" si="8"/>
        <v>1425.07956769874</v>
      </c>
      <c r="E110" s="46">
        <f t="shared" si="9"/>
        <v>28232.101745532025</v>
      </c>
    </row>
    <row r="111" spans="1:5" ht="14.25">
      <c r="A111" s="5">
        <f t="shared" si="5"/>
        <v>103</v>
      </c>
      <c r="B111" s="46">
        <f t="shared" si="6"/>
        <v>1721.6513808310476</v>
      </c>
      <c r="C111" s="118">
        <f t="shared" si="7"/>
        <v>282.32101745532026</v>
      </c>
      <c r="D111" s="46">
        <f t="shared" si="8"/>
        <v>1439.3303633757273</v>
      </c>
      <c r="E111" s="46">
        <f t="shared" si="9"/>
        <v>26792.771382156297</v>
      </c>
    </row>
    <row r="112" spans="1:5" ht="14.25">
      <c r="A112" s="5">
        <f t="shared" si="5"/>
        <v>104</v>
      </c>
      <c r="B112" s="46">
        <f t="shared" si="6"/>
        <v>1721.6513808310476</v>
      </c>
      <c r="C112" s="118">
        <f t="shared" si="7"/>
        <v>267.927713821563</v>
      </c>
      <c r="D112" s="46">
        <f t="shared" si="8"/>
        <v>1453.7236670094846</v>
      </c>
      <c r="E112" s="46">
        <f t="shared" si="9"/>
        <v>25339.04771514681</v>
      </c>
    </row>
    <row r="113" spans="1:5" ht="14.25">
      <c r="A113" s="5">
        <f t="shared" si="5"/>
        <v>105</v>
      </c>
      <c r="B113" s="46">
        <f t="shared" si="6"/>
        <v>1721.6513808310476</v>
      </c>
      <c r="C113" s="118">
        <f t="shared" si="7"/>
        <v>253.3904771514681</v>
      </c>
      <c r="D113" s="46">
        <f t="shared" si="8"/>
        <v>1468.2609036795795</v>
      </c>
      <c r="E113" s="46">
        <f t="shared" si="9"/>
        <v>23870.78681146723</v>
      </c>
    </row>
    <row r="114" spans="1:5" ht="14.25">
      <c r="A114" s="5">
        <f t="shared" si="5"/>
        <v>106</v>
      </c>
      <c r="B114" s="46">
        <f t="shared" si="6"/>
        <v>1721.6513808310476</v>
      </c>
      <c r="C114" s="118">
        <f t="shared" si="7"/>
        <v>238.70786811467232</v>
      </c>
      <c r="D114" s="46">
        <f t="shared" si="8"/>
        <v>1482.9435127163754</v>
      </c>
      <c r="E114" s="46">
        <f t="shared" si="9"/>
        <v>22387.843298750857</v>
      </c>
    </row>
    <row r="115" spans="1:5" ht="14.25">
      <c r="A115" s="5">
        <f t="shared" si="5"/>
        <v>107</v>
      </c>
      <c r="B115" s="46">
        <f t="shared" si="6"/>
        <v>1721.6513808310476</v>
      </c>
      <c r="C115" s="118">
        <f t="shared" si="7"/>
        <v>223.87843298750855</v>
      </c>
      <c r="D115" s="46">
        <f t="shared" si="8"/>
        <v>1497.772947843539</v>
      </c>
      <c r="E115" s="46">
        <f t="shared" si="9"/>
        <v>20890.070350907317</v>
      </c>
    </row>
    <row r="116" spans="1:5" ht="14.25">
      <c r="A116" s="5">
        <f t="shared" si="5"/>
        <v>108</v>
      </c>
      <c r="B116" s="46">
        <f t="shared" si="6"/>
        <v>1721.6513808310476</v>
      </c>
      <c r="C116" s="118">
        <f t="shared" si="7"/>
        <v>208.90070350907317</v>
      </c>
      <c r="D116" s="46">
        <f t="shared" si="8"/>
        <v>1512.7506773219745</v>
      </c>
      <c r="E116" s="46">
        <f t="shared" si="9"/>
        <v>19377.31967358534</v>
      </c>
    </row>
    <row r="117" spans="1:5" ht="14.25">
      <c r="A117" s="5">
        <f t="shared" si="5"/>
        <v>109</v>
      </c>
      <c r="B117" s="46">
        <f t="shared" si="6"/>
        <v>1721.6513808310476</v>
      </c>
      <c r="C117" s="118">
        <f t="shared" si="7"/>
        <v>193.77319673585342</v>
      </c>
      <c r="D117" s="46">
        <f t="shared" si="8"/>
        <v>1527.8781840951942</v>
      </c>
      <c r="E117" s="46">
        <f t="shared" si="9"/>
        <v>17849.44148949015</v>
      </c>
    </row>
    <row r="118" spans="1:5" ht="14.25">
      <c r="A118" s="5">
        <f t="shared" si="5"/>
        <v>110</v>
      </c>
      <c r="B118" s="46">
        <f t="shared" si="6"/>
        <v>1721.6513808310476</v>
      </c>
      <c r="C118" s="118">
        <f t="shared" si="7"/>
        <v>178.4944148949015</v>
      </c>
      <c r="D118" s="46">
        <f t="shared" si="8"/>
        <v>1543.1569659361462</v>
      </c>
      <c r="E118" s="46">
        <f t="shared" si="9"/>
        <v>16306.284523554003</v>
      </c>
    </row>
    <row r="119" spans="1:5" ht="14.25">
      <c r="A119" s="5">
        <f t="shared" si="5"/>
        <v>111</v>
      </c>
      <c r="B119" s="46">
        <f t="shared" si="6"/>
        <v>1721.6513808310476</v>
      </c>
      <c r="C119" s="118">
        <f t="shared" si="7"/>
        <v>163.06284523554004</v>
      </c>
      <c r="D119" s="46">
        <f t="shared" si="8"/>
        <v>1558.5885355955077</v>
      </c>
      <c r="E119" s="46">
        <f t="shared" si="9"/>
        <v>14747.695987958496</v>
      </c>
    </row>
    <row r="120" spans="1:5" ht="14.25">
      <c r="A120" s="5">
        <f t="shared" si="5"/>
        <v>112</v>
      </c>
      <c r="B120" s="46">
        <f t="shared" si="6"/>
        <v>1721.6513808310476</v>
      </c>
      <c r="C120" s="118">
        <f t="shared" si="7"/>
        <v>147.47695987958494</v>
      </c>
      <c r="D120" s="46">
        <f t="shared" si="8"/>
        <v>1574.1744209514627</v>
      </c>
      <c r="E120" s="46">
        <f t="shared" si="9"/>
        <v>13173.521567007032</v>
      </c>
    </row>
    <row r="121" spans="1:5" ht="14.25">
      <c r="A121" s="5">
        <f t="shared" si="5"/>
        <v>113</v>
      </c>
      <c r="B121" s="46">
        <f t="shared" si="6"/>
        <v>1721.6513808310476</v>
      </c>
      <c r="C121" s="118">
        <f t="shared" si="7"/>
        <v>131.73521567007032</v>
      </c>
      <c r="D121" s="46">
        <f t="shared" si="8"/>
        <v>1589.9161651609772</v>
      </c>
      <c r="E121" s="46">
        <f t="shared" si="9"/>
        <v>11583.605401846055</v>
      </c>
    </row>
    <row r="122" spans="1:5" ht="14.25">
      <c r="A122" s="5">
        <f t="shared" si="5"/>
        <v>114</v>
      </c>
      <c r="B122" s="46">
        <f t="shared" si="6"/>
        <v>1721.6513808310476</v>
      </c>
      <c r="C122" s="118">
        <f t="shared" si="7"/>
        <v>115.83605401846053</v>
      </c>
      <c r="D122" s="46">
        <f t="shared" si="8"/>
        <v>1605.815326812587</v>
      </c>
      <c r="E122" s="46">
        <f t="shared" si="9"/>
        <v>9977.790075033467</v>
      </c>
    </row>
    <row r="123" spans="1:5" ht="14.25">
      <c r="A123" s="5">
        <f t="shared" si="5"/>
        <v>115</v>
      </c>
      <c r="B123" s="46">
        <f t="shared" si="6"/>
        <v>1721.6513808310476</v>
      </c>
      <c r="C123" s="118">
        <f t="shared" si="7"/>
        <v>99.77790075033467</v>
      </c>
      <c r="D123" s="46">
        <f t="shared" si="8"/>
        <v>1621.8734800807129</v>
      </c>
      <c r="E123" s="46">
        <f t="shared" si="9"/>
        <v>8355.916594952754</v>
      </c>
    </row>
    <row r="124" spans="1:5" ht="14.25">
      <c r="A124" s="5">
        <f t="shared" si="5"/>
        <v>116</v>
      </c>
      <c r="B124" s="46">
        <f t="shared" si="6"/>
        <v>1721.6513808310476</v>
      </c>
      <c r="C124" s="118">
        <f t="shared" si="7"/>
        <v>83.55916594952754</v>
      </c>
      <c r="D124" s="46">
        <f t="shared" si="8"/>
        <v>1638.09221488152</v>
      </c>
      <c r="E124" s="46">
        <f t="shared" si="9"/>
        <v>6717.824380071234</v>
      </c>
    </row>
    <row r="125" spans="1:5" ht="14.25">
      <c r="A125" s="5">
        <f t="shared" si="5"/>
        <v>117</v>
      </c>
      <c r="B125" s="46">
        <f t="shared" si="6"/>
        <v>1721.6513808310476</v>
      </c>
      <c r="C125" s="118">
        <f t="shared" si="7"/>
        <v>67.17824380071234</v>
      </c>
      <c r="D125" s="46">
        <f t="shared" si="8"/>
        <v>1654.4731370303352</v>
      </c>
      <c r="E125" s="46">
        <f t="shared" si="9"/>
        <v>5063.351243040899</v>
      </c>
    </row>
    <row r="126" spans="1:5" ht="14.25">
      <c r="A126" s="5">
        <f t="shared" si="5"/>
        <v>118</v>
      </c>
      <c r="B126" s="46">
        <f t="shared" si="6"/>
        <v>1721.6513808310476</v>
      </c>
      <c r="C126" s="118">
        <f t="shared" si="7"/>
        <v>50.63351243040899</v>
      </c>
      <c r="D126" s="46">
        <f t="shared" si="8"/>
        <v>1671.0178684006387</v>
      </c>
      <c r="E126" s="46">
        <f t="shared" si="9"/>
        <v>3392.3333746402604</v>
      </c>
    </row>
    <row r="127" spans="1:5" ht="14.25">
      <c r="A127" s="5">
        <f t="shared" si="5"/>
        <v>119</v>
      </c>
      <c r="B127" s="46">
        <f t="shared" si="6"/>
        <v>1721.6513808310476</v>
      </c>
      <c r="C127" s="118">
        <f t="shared" si="7"/>
        <v>33.923333746402605</v>
      </c>
      <c r="D127" s="46">
        <f t="shared" si="8"/>
        <v>1687.728047084645</v>
      </c>
      <c r="E127" s="46">
        <f t="shared" si="9"/>
        <v>1704.6053275556155</v>
      </c>
    </row>
    <row r="128" spans="1:5" ht="14.25">
      <c r="A128" s="5">
        <f t="shared" si="5"/>
        <v>120</v>
      </c>
      <c r="B128" s="46">
        <f t="shared" si="6"/>
        <v>1721.6513808310476</v>
      </c>
      <c r="C128" s="118">
        <f t="shared" si="7"/>
        <v>17.046053275556154</v>
      </c>
      <c r="D128" s="46">
        <f t="shared" si="8"/>
        <v>1704.6053275554914</v>
      </c>
      <c r="E128" s="46">
        <f t="shared" si="9"/>
        <v>1.241460267920047E-10</v>
      </c>
    </row>
  </sheetData>
  <sheetProtection/>
  <conditionalFormatting sqref="A8:E128">
    <cfRule type="expression" priority="1" dxfId="0" stopIfTrue="1">
      <formula>$A8=$B$4*$B$5</formula>
    </cfRule>
  </conditionalFormatting>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sheetPr>
    <tabColor theme="2"/>
  </sheetPr>
  <dimension ref="A1:G128"/>
  <sheetViews>
    <sheetView zoomScalePageLayoutView="0" workbookViewId="0" topLeftCell="A1">
      <selection activeCell="B15" sqref="B15"/>
    </sheetView>
  </sheetViews>
  <sheetFormatPr defaultColWidth="9.140625" defaultRowHeight="15"/>
  <cols>
    <col min="1" max="1" width="23.00390625" style="0" customWidth="1"/>
    <col min="2" max="2" width="11.140625" style="0" bestFit="1" customWidth="1"/>
    <col min="4" max="4" width="13.140625" style="0" bestFit="1" customWidth="1"/>
    <col min="5" max="5" width="11.8515625" style="0" bestFit="1" customWidth="1"/>
  </cols>
  <sheetData>
    <row r="1" spans="1:2" ht="14.25">
      <c r="A1" s="112" t="s">
        <v>147</v>
      </c>
      <c r="B1" s="113">
        <v>120000</v>
      </c>
    </row>
    <row r="2" spans="1:2" ht="14.25">
      <c r="A2" s="112" t="s">
        <v>137</v>
      </c>
      <c r="B2" s="5">
        <v>10</v>
      </c>
    </row>
    <row r="3" spans="1:2" ht="14.25">
      <c r="A3" s="112" t="s">
        <v>148</v>
      </c>
      <c r="B3" s="9">
        <v>0.12</v>
      </c>
    </row>
    <row r="4" spans="1:2" ht="38.25">
      <c r="A4" s="114" t="s">
        <v>149</v>
      </c>
      <c r="B4" s="5">
        <v>12</v>
      </c>
    </row>
    <row r="5" spans="1:2" ht="25.5">
      <c r="A5" s="114" t="s">
        <v>150</v>
      </c>
      <c r="B5" s="5">
        <v>3</v>
      </c>
    </row>
    <row r="7" spans="1:5" ht="14.25">
      <c r="A7" s="86" t="s">
        <v>65</v>
      </c>
      <c r="B7" s="86" t="s">
        <v>154</v>
      </c>
      <c r="C7" s="86" t="s">
        <v>132</v>
      </c>
      <c r="D7" s="86" t="s">
        <v>133</v>
      </c>
      <c r="E7" s="86" t="s">
        <v>155</v>
      </c>
    </row>
    <row r="8" spans="1:5" ht="14.25">
      <c r="A8" s="5">
        <v>0</v>
      </c>
      <c r="B8" s="5"/>
      <c r="C8" s="5"/>
      <c r="D8" s="5"/>
      <c r="E8" s="113">
        <f>B1</f>
        <v>120000</v>
      </c>
    </row>
    <row r="9" spans="1:5" ht="14.25">
      <c r="A9" s="5">
        <f>A8+1</f>
        <v>1</v>
      </c>
      <c r="B9" s="46">
        <f>-PMT($B$3/$B$4,$B$4*$B$2,$B$1,,0)</f>
        <v>1721.6513808310476</v>
      </c>
      <c r="C9" s="118">
        <f>E8*$B$3/$B$4</f>
        <v>1200</v>
      </c>
      <c r="D9" s="46">
        <f>B9-C9</f>
        <v>521.6513808310476</v>
      </c>
      <c r="E9" s="46">
        <f>E8-D9</f>
        <v>119478.34861916896</v>
      </c>
    </row>
    <row r="10" spans="1:5" ht="14.25">
      <c r="A10" s="5">
        <f aca="true" t="shared" si="0" ref="A10:A73">A9+1</f>
        <v>2</v>
      </c>
      <c r="B10" s="46">
        <f aca="true" t="shared" si="1" ref="B10:B73">-PMT($B$3/$B$4,$B$4*$B$2,$B$1,,0)</f>
        <v>1721.6513808310476</v>
      </c>
      <c r="C10" s="118">
        <f aca="true" t="shared" si="2" ref="C10:C73">E9*$B$3/$B$4</f>
        <v>1194.7834861916897</v>
      </c>
      <c r="D10" s="46">
        <f aca="true" t="shared" si="3" ref="D10:D73">B10-C10</f>
        <v>526.8678946393579</v>
      </c>
      <c r="E10" s="46">
        <f aca="true" t="shared" si="4" ref="E10:E73">E9-D10</f>
        <v>118951.4807245296</v>
      </c>
    </row>
    <row r="11" spans="1:5" ht="14.25">
      <c r="A11" s="5">
        <f t="shared" si="0"/>
        <v>3</v>
      </c>
      <c r="B11" s="46">
        <f t="shared" si="1"/>
        <v>1721.6513808310476</v>
      </c>
      <c r="C11" s="118">
        <f t="shared" si="2"/>
        <v>1189.514807245296</v>
      </c>
      <c r="D11" s="46">
        <f t="shared" si="3"/>
        <v>532.1365735857516</v>
      </c>
      <c r="E11" s="46">
        <f t="shared" si="4"/>
        <v>118419.34415094384</v>
      </c>
    </row>
    <row r="12" spans="1:5" ht="14.25">
      <c r="A12" s="5">
        <f t="shared" si="0"/>
        <v>4</v>
      </c>
      <c r="B12" s="46">
        <f t="shared" si="1"/>
        <v>1721.6513808310476</v>
      </c>
      <c r="C12" s="118">
        <f t="shared" si="2"/>
        <v>1184.1934415094383</v>
      </c>
      <c r="D12" s="46">
        <f t="shared" si="3"/>
        <v>537.4579393216093</v>
      </c>
      <c r="E12" s="46">
        <f t="shared" si="4"/>
        <v>117881.88621162223</v>
      </c>
    </row>
    <row r="13" spans="1:5" ht="14.25">
      <c r="A13" s="5">
        <f t="shared" si="0"/>
        <v>5</v>
      </c>
      <c r="B13" s="46">
        <f t="shared" si="1"/>
        <v>1721.6513808310476</v>
      </c>
      <c r="C13" s="118">
        <f t="shared" si="2"/>
        <v>1178.8188621162224</v>
      </c>
      <c r="D13" s="46">
        <f t="shared" si="3"/>
        <v>542.8325187148253</v>
      </c>
      <c r="E13" s="46">
        <f t="shared" si="4"/>
        <v>117339.0536929074</v>
      </c>
    </row>
    <row r="14" spans="1:5" ht="14.25">
      <c r="A14" s="5">
        <f t="shared" si="0"/>
        <v>6</v>
      </c>
      <c r="B14" s="46">
        <f t="shared" si="1"/>
        <v>1721.6513808310476</v>
      </c>
      <c r="C14" s="118">
        <f t="shared" si="2"/>
        <v>1173.390536929074</v>
      </c>
      <c r="D14" s="46">
        <f t="shared" si="3"/>
        <v>548.2608439019737</v>
      </c>
      <c r="E14" s="46">
        <f t="shared" si="4"/>
        <v>116790.79284900543</v>
      </c>
    </row>
    <row r="15" spans="1:5" ht="14.25">
      <c r="A15" s="5">
        <f t="shared" si="0"/>
        <v>7</v>
      </c>
      <c r="B15" s="46">
        <f t="shared" si="1"/>
        <v>1721.6513808310476</v>
      </c>
      <c r="C15" s="118">
        <f t="shared" si="2"/>
        <v>1167.9079284900542</v>
      </c>
      <c r="D15" s="46">
        <f t="shared" si="3"/>
        <v>553.7434523409934</v>
      </c>
      <c r="E15" s="46">
        <f t="shared" si="4"/>
        <v>116237.04939666444</v>
      </c>
    </row>
    <row r="16" spans="1:5" ht="14.25">
      <c r="A16" s="5">
        <f t="shared" si="0"/>
        <v>8</v>
      </c>
      <c r="B16" s="46">
        <f t="shared" si="1"/>
        <v>1721.6513808310476</v>
      </c>
      <c r="C16" s="118">
        <f t="shared" si="2"/>
        <v>1162.3704939666443</v>
      </c>
      <c r="D16" s="46">
        <f t="shared" si="3"/>
        <v>559.2808868644033</v>
      </c>
      <c r="E16" s="46">
        <f t="shared" si="4"/>
        <v>115677.76850980004</v>
      </c>
    </row>
    <row r="17" spans="1:5" ht="14.25">
      <c r="A17" s="5">
        <f t="shared" si="0"/>
        <v>9</v>
      </c>
      <c r="B17" s="46">
        <f t="shared" si="1"/>
        <v>1721.6513808310476</v>
      </c>
      <c r="C17" s="118">
        <f t="shared" si="2"/>
        <v>1156.7776850980003</v>
      </c>
      <c r="D17" s="46">
        <f t="shared" si="3"/>
        <v>564.8736957330473</v>
      </c>
      <c r="E17" s="46">
        <f t="shared" si="4"/>
        <v>115112.894814067</v>
      </c>
    </row>
    <row r="18" spans="1:5" ht="14.25">
      <c r="A18" s="5">
        <f t="shared" si="0"/>
        <v>10</v>
      </c>
      <c r="B18" s="46">
        <f t="shared" si="1"/>
        <v>1721.6513808310476</v>
      </c>
      <c r="C18" s="118">
        <f t="shared" si="2"/>
        <v>1151.12894814067</v>
      </c>
      <c r="D18" s="46">
        <f t="shared" si="3"/>
        <v>570.5224326903776</v>
      </c>
      <c r="E18" s="46">
        <f t="shared" si="4"/>
        <v>114542.37238137661</v>
      </c>
    </row>
    <row r="19" spans="1:5" ht="14.25">
      <c r="A19" s="5">
        <f t="shared" si="0"/>
        <v>11</v>
      </c>
      <c r="B19" s="46">
        <f t="shared" si="1"/>
        <v>1721.6513808310476</v>
      </c>
      <c r="C19" s="118">
        <f t="shared" si="2"/>
        <v>1145.423723813766</v>
      </c>
      <c r="D19" s="46">
        <f t="shared" si="3"/>
        <v>576.2276570172817</v>
      </c>
      <c r="E19" s="46">
        <f t="shared" si="4"/>
        <v>113966.14472435933</v>
      </c>
    </row>
    <row r="20" spans="1:5" ht="14.25">
      <c r="A20" s="5">
        <f t="shared" si="0"/>
        <v>12</v>
      </c>
      <c r="B20" s="46">
        <f t="shared" si="1"/>
        <v>1721.6513808310476</v>
      </c>
      <c r="C20" s="118">
        <f t="shared" si="2"/>
        <v>1139.6614472435933</v>
      </c>
      <c r="D20" s="46">
        <f t="shared" si="3"/>
        <v>581.9899335874543</v>
      </c>
      <c r="E20" s="46">
        <f t="shared" si="4"/>
        <v>113384.15479077188</v>
      </c>
    </row>
    <row r="21" spans="1:5" ht="14.25">
      <c r="A21" s="5">
        <f t="shared" si="0"/>
        <v>13</v>
      </c>
      <c r="B21" s="46">
        <f t="shared" si="1"/>
        <v>1721.6513808310476</v>
      </c>
      <c r="C21" s="118">
        <f t="shared" si="2"/>
        <v>1133.8415479077187</v>
      </c>
      <c r="D21" s="46">
        <f t="shared" si="3"/>
        <v>587.8098329233289</v>
      </c>
      <c r="E21" s="46">
        <f t="shared" si="4"/>
        <v>112796.34495784855</v>
      </c>
    </row>
    <row r="22" spans="1:5" ht="14.25">
      <c r="A22" s="5">
        <f t="shared" si="0"/>
        <v>14</v>
      </c>
      <c r="B22" s="46">
        <f t="shared" si="1"/>
        <v>1721.6513808310476</v>
      </c>
      <c r="C22" s="118">
        <f t="shared" si="2"/>
        <v>1127.9634495784856</v>
      </c>
      <c r="D22" s="46">
        <f t="shared" si="3"/>
        <v>593.6879312525621</v>
      </c>
      <c r="E22" s="46">
        <f t="shared" si="4"/>
        <v>112202.65702659599</v>
      </c>
    </row>
    <row r="23" spans="1:5" ht="14.25">
      <c r="A23" s="5">
        <f t="shared" si="0"/>
        <v>15</v>
      </c>
      <c r="B23" s="46">
        <f t="shared" si="1"/>
        <v>1721.6513808310476</v>
      </c>
      <c r="C23" s="118">
        <f t="shared" si="2"/>
        <v>1122.02657026596</v>
      </c>
      <c r="D23" s="46">
        <f t="shared" si="3"/>
        <v>599.6248105650877</v>
      </c>
      <c r="E23" s="46">
        <f t="shared" si="4"/>
        <v>111603.0322160309</v>
      </c>
    </row>
    <row r="24" spans="1:5" ht="14.25">
      <c r="A24" s="5">
        <f t="shared" si="0"/>
        <v>16</v>
      </c>
      <c r="B24" s="46">
        <f t="shared" si="1"/>
        <v>1721.6513808310476</v>
      </c>
      <c r="C24" s="118">
        <f t="shared" si="2"/>
        <v>1116.030322160309</v>
      </c>
      <c r="D24" s="46">
        <f t="shared" si="3"/>
        <v>605.6210586707386</v>
      </c>
      <c r="E24" s="46">
        <f t="shared" si="4"/>
        <v>110997.41115736015</v>
      </c>
    </row>
    <row r="25" spans="1:5" ht="14.25">
      <c r="A25" s="5">
        <f t="shared" si="0"/>
        <v>17</v>
      </c>
      <c r="B25" s="46">
        <f t="shared" si="1"/>
        <v>1721.6513808310476</v>
      </c>
      <c r="C25" s="118">
        <f t="shared" si="2"/>
        <v>1109.9741115736015</v>
      </c>
      <c r="D25" s="46">
        <f t="shared" si="3"/>
        <v>611.6772692574461</v>
      </c>
      <c r="E25" s="46">
        <f t="shared" si="4"/>
        <v>110385.73388810271</v>
      </c>
    </row>
    <row r="26" spans="1:5" ht="14.25">
      <c r="A26" s="5">
        <f t="shared" si="0"/>
        <v>18</v>
      </c>
      <c r="B26" s="46">
        <f t="shared" si="1"/>
        <v>1721.6513808310476</v>
      </c>
      <c r="C26" s="118">
        <f t="shared" si="2"/>
        <v>1103.857338881027</v>
      </c>
      <c r="D26" s="46">
        <f t="shared" si="3"/>
        <v>617.7940419500205</v>
      </c>
      <c r="E26" s="46">
        <f t="shared" si="4"/>
        <v>109767.93984615269</v>
      </c>
    </row>
    <row r="27" spans="1:5" ht="14.25">
      <c r="A27" s="5">
        <f t="shared" si="0"/>
        <v>19</v>
      </c>
      <c r="B27" s="46">
        <f t="shared" si="1"/>
        <v>1721.6513808310476</v>
      </c>
      <c r="C27" s="118">
        <f t="shared" si="2"/>
        <v>1097.6793984615267</v>
      </c>
      <c r="D27" s="46">
        <f t="shared" si="3"/>
        <v>623.9719823695209</v>
      </c>
      <c r="E27" s="46">
        <f t="shared" si="4"/>
        <v>109143.96786378317</v>
      </c>
    </row>
    <row r="28" spans="1:5" ht="14.25">
      <c r="A28" s="5">
        <f t="shared" si="0"/>
        <v>20</v>
      </c>
      <c r="B28" s="46">
        <f t="shared" si="1"/>
        <v>1721.6513808310476</v>
      </c>
      <c r="C28" s="118">
        <f t="shared" si="2"/>
        <v>1091.4396786378318</v>
      </c>
      <c r="D28" s="46">
        <f t="shared" si="3"/>
        <v>630.2117021932158</v>
      </c>
      <c r="E28" s="46">
        <f t="shared" si="4"/>
        <v>108513.75616158995</v>
      </c>
    </row>
    <row r="29" spans="1:5" ht="14.25">
      <c r="A29" s="5">
        <f t="shared" si="0"/>
        <v>21</v>
      </c>
      <c r="B29" s="46">
        <f t="shared" si="1"/>
        <v>1721.6513808310476</v>
      </c>
      <c r="C29" s="118">
        <f t="shared" si="2"/>
        <v>1085.1375616158994</v>
      </c>
      <c r="D29" s="46">
        <f t="shared" si="3"/>
        <v>636.5138192151483</v>
      </c>
      <c r="E29" s="46">
        <f t="shared" si="4"/>
        <v>107877.2423423748</v>
      </c>
    </row>
    <row r="30" spans="1:5" ht="14.25">
      <c r="A30" s="5">
        <f t="shared" si="0"/>
        <v>22</v>
      </c>
      <c r="B30" s="46">
        <f t="shared" si="1"/>
        <v>1721.6513808310476</v>
      </c>
      <c r="C30" s="118">
        <f t="shared" si="2"/>
        <v>1078.7724234237478</v>
      </c>
      <c r="D30" s="46">
        <f t="shared" si="3"/>
        <v>642.8789574072998</v>
      </c>
      <c r="E30" s="46">
        <f t="shared" si="4"/>
        <v>107234.3633849675</v>
      </c>
    </row>
    <row r="31" spans="1:5" ht="14.25">
      <c r="A31" s="5">
        <f t="shared" si="0"/>
        <v>23</v>
      </c>
      <c r="B31" s="46">
        <f t="shared" si="1"/>
        <v>1721.6513808310476</v>
      </c>
      <c r="C31" s="118">
        <f t="shared" si="2"/>
        <v>1072.343633849675</v>
      </c>
      <c r="D31" s="46">
        <f t="shared" si="3"/>
        <v>649.3077469813727</v>
      </c>
      <c r="E31" s="46">
        <f t="shared" si="4"/>
        <v>106585.05563798612</v>
      </c>
    </row>
    <row r="32" spans="1:5" ht="14.25">
      <c r="A32" s="5">
        <f t="shared" si="0"/>
        <v>24</v>
      </c>
      <c r="B32" s="46">
        <f t="shared" si="1"/>
        <v>1721.6513808310476</v>
      </c>
      <c r="C32" s="118">
        <f t="shared" si="2"/>
        <v>1065.8505563798612</v>
      </c>
      <c r="D32" s="46">
        <f t="shared" si="3"/>
        <v>655.8008244511864</v>
      </c>
      <c r="E32" s="46">
        <f t="shared" si="4"/>
        <v>105929.25481353494</v>
      </c>
    </row>
    <row r="33" spans="1:5" ht="14.25">
      <c r="A33" s="5">
        <f t="shared" si="0"/>
        <v>25</v>
      </c>
      <c r="B33" s="46">
        <f t="shared" si="1"/>
        <v>1721.6513808310476</v>
      </c>
      <c r="C33" s="118">
        <f t="shared" si="2"/>
        <v>1059.2925481353493</v>
      </c>
      <c r="D33" s="46">
        <f t="shared" si="3"/>
        <v>662.3588326956983</v>
      </c>
      <c r="E33" s="46">
        <f t="shared" si="4"/>
        <v>105266.89598083924</v>
      </c>
    </row>
    <row r="34" spans="1:5" ht="14.25">
      <c r="A34" s="5">
        <f t="shared" si="0"/>
        <v>26</v>
      </c>
      <c r="B34" s="46">
        <f t="shared" si="1"/>
        <v>1721.6513808310476</v>
      </c>
      <c r="C34" s="118">
        <f t="shared" si="2"/>
        <v>1052.6689598083924</v>
      </c>
      <c r="D34" s="46">
        <f t="shared" si="3"/>
        <v>668.9824210226552</v>
      </c>
      <c r="E34" s="46">
        <f t="shared" si="4"/>
        <v>104597.91355981659</v>
      </c>
    </row>
    <row r="35" spans="1:5" ht="14.25">
      <c r="A35" s="5">
        <f t="shared" si="0"/>
        <v>27</v>
      </c>
      <c r="B35" s="46">
        <f t="shared" si="1"/>
        <v>1721.6513808310476</v>
      </c>
      <c r="C35" s="118">
        <f t="shared" si="2"/>
        <v>1045.9791355981658</v>
      </c>
      <c r="D35" s="46">
        <f t="shared" si="3"/>
        <v>675.6722452328818</v>
      </c>
      <c r="E35" s="46">
        <f t="shared" si="4"/>
        <v>103922.2413145837</v>
      </c>
    </row>
    <row r="36" spans="1:5" ht="14.25">
      <c r="A36" s="5">
        <f t="shared" si="0"/>
        <v>28</v>
      </c>
      <c r="B36" s="46">
        <f t="shared" si="1"/>
        <v>1721.6513808310476</v>
      </c>
      <c r="C36" s="118">
        <f t="shared" si="2"/>
        <v>1039.222413145837</v>
      </c>
      <c r="D36" s="46">
        <f t="shared" si="3"/>
        <v>682.4289676852106</v>
      </c>
      <c r="E36" s="46">
        <f t="shared" si="4"/>
        <v>103239.8123468985</v>
      </c>
    </row>
    <row r="37" spans="1:5" ht="14.25">
      <c r="A37" s="5">
        <f t="shared" si="0"/>
        <v>29</v>
      </c>
      <c r="B37" s="46">
        <f t="shared" si="1"/>
        <v>1721.6513808310476</v>
      </c>
      <c r="C37" s="118">
        <f t="shared" si="2"/>
        <v>1032.398123468985</v>
      </c>
      <c r="D37" s="46">
        <f t="shared" si="3"/>
        <v>689.2532573620626</v>
      </c>
      <c r="E37" s="46">
        <f t="shared" si="4"/>
        <v>102550.55908953644</v>
      </c>
    </row>
    <row r="38" spans="1:5" ht="14.25">
      <c r="A38" s="5">
        <f t="shared" si="0"/>
        <v>30</v>
      </c>
      <c r="B38" s="46">
        <f t="shared" si="1"/>
        <v>1721.6513808310476</v>
      </c>
      <c r="C38" s="118">
        <f t="shared" si="2"/>
        <v>1025.5055908953643</v>
      </c>
      <c r="D38" s="46">
        <f t="shared" si="3"/>
        <v>696.1457899356833</v>
      </c>
      <c r="E38" s="46">
        <f t="shared" si="4"/>
        <v>101854.41329960075</v>
      </c>
    </row>
    <row r="39" spans="1:5" ht="14.25">
      <c r="A39" s="5">
        <f t="shared" si="0"/>
        <v>31</v>
      </c>
      <c r="B39" s="46">
        <f t="shared" si="1"/>
        <v>1721.6513808310476</v>
      </c>
      <c r="C39" s="118">
        <f t="shared" si="2"/>
        <v>1018.5441329960075</v>
      </c>
      <c r="D39" s="46">
        <f t="shared" si="3"/>
        <v>703.1072478350401</v>
      </c>
      <c r="E39" s="46">
        <f t="shared" si="4"/>
        <v>101151.30605176571</v>
      </c>
    </row>
    <row r="40" spans="1:5" ht="14.25">
      <c r="A40" s="5">
        <f t="shared" si="0"/>
        <v>32</v>
      </c>
      <c r="B40" s="46">
        <f t="shared" si="1"/>
        <v>1721.6513808310476</v>
      </c>
      <c r="C40" s="118">
        <f t="shared" si="2"/>
        <v>1011.5130605176572</v>
      </c>
      <c r="D40" s="46">
        <f t="shared" si="3"/>
        <v>710.1383203133904</v>
      </c>
      <c r="E40" s="46">
        <f t="shared" si="4"/>
        <v>100441.16773145233</v>
      </c>
    </row>
    <row r="41" spans="1:5" ht="14.25">
      <c r="A41" s="5">
        <f t="shared" si="0"/>
        <v>33</v>
      </c>
      <c r="B41" s="46">
        <f t="shared" si="1"/>
        <v>1721.6513808310476</v>
      </c>
      <c r="C41" s="118">
        <f t="shared" si="2"/>
        <v>1004.4116773145232</v>
      </c>
      <c r="D41" s="46">
        <f t="shared" si="3"/>
        <v>717.2397035165244</v>
      </c>
      <c r="E41" s="46">
        <f t="shared" si="4"/>
        <v>99723.9280279358</v>
      </c>
    </row>
    <row r="42" spans="1:5" ht="14.25">
      <c r="A42" s="5">
        <f t="shared" si="0"/>
        <v>34</v>
      </c>
      <c r="B42" s="46">
        <f t="shared" si="1"/>
        <v>1721.6513808310476</v>
      </c>
      <c r="C42" s="118">
        <f t="shared" si="2"/>
        <v>997.239280279358</v>
      </c>
      <c r="D42" s="46">
        <f t="shared" si="3"/>
        <v>724.4121005516896</v>
      </c>
      <c r="E42" s="46">
        <f t="shared" si="4"/>
        <v>98999.51592738411</v>
      </c>
    </row>
    <row r="43" spans="1:5" ht="14.25">
      <c r="A43" s="5">
        <f t="shared" si="0"/>
        <v>35</v>
      </c>
      <c r="B43" s="46">
        <f t="shared" si="1"/>
        <v>1721.6513808310476</v>
      </c>
      <c r="C43" s="118">
        <f t="shared" si="2"/>
        <v>989.9951592738411</v>
      </c>
      <c r="D43" s="46">
        <f t="shared" si="3"/>
        <v>731.6562215572065</v>
      </c>
      <c r="E43" s="46">
        <f t="shared" si="4"/>
        <v>98267.85970582691</v>
      </c>
    </row>
    <row r="44" spans="1:7" ht="14.25">
      <c r="A44" s="5">
        <f t="shared" si="0"/>
        <v>36</v>
      </c>
      <c r="B44" s="46">
        <f t="shared" si="1"/>
        <v>1721.6513808310476</v>
      </c>
      <c r="C44" s="118">
        <f t="shared" si="2"/>
        <v>982.678597058269</v>
      </c>
      <c r="D44" s="46">
        <f t="shared" si="3"/>
        <v>738.9727837727786</v>
      </c>
      <c r="E44" s="46">
        <f t="shared" si="4"/>
        <v>97528.88692205412</v>
      </c>
      <c r="G44" t="s">
        <v>160</v>
      </c>
    </row>
    <row r="45" spans="1:5" ht="14.25">
      <c r="A45" s="5">
        <f t="shared" si="0"/>
        <v>37</v>
      </c>
      <c r="B45" s="46">
        <f t="shared" si="1"/>
        <v>1721.6513808310476</v>
      </c>
      <c r="C45" s="118">
        <f t="shared" si="2"/>
        <v>975.2888692205412</v>
      </c>
      <c r="D45" s="46">
        <f t="shared" si="3"/>
        <v>746.3625116105064</v>
      </c>
      <c r="E45" s="46">
        <f t="shared" si="4"/>
        <v>96782.52441044361</v>
      </c>
    </row>
    <row r="46" spans="1:5" ht="14.25">
      <c r="A46" s="5">
        <f t="shared" si="0"/>
        <v>38</v>
      </c>
      <c r="B46" s="46">
        <f t="shared" si="1"/>
        <v>1721.6513808310476</v>
      </c>
      <c r="C46" s="118">
        <f t="shared" si="2"/>
        <v>967.825244104436</v>
      </c>
      <c r="D46" s="46">
        <f t="shared" si="3"/>
        <v>753.8261367266116</v>
      </c>
      <c r="E46" s="46">
        <f t="shared" si="4"/>
        <v>96028.698273717</v>
      </c>
    </row>
    <row r="47" spans="1:5" ht="14.25">
      <c r="A47" s="5">
        <f t="shared" si="0"/>
        <v>39</v>
      </c>
      <c r="B47" s="46">
        <f t="shared" si="1"/>
        <v>1721.6513808310476</v>
      </c>
      <c r="C47" s="118">
        <f t="shared" si="2"/>
        <v>960.28698273717</v>
      </c>
      <c r="D47" s="46">
        <f t="shared" si="3"/>
        <v>761.3643980938776</v>
      </c>
      <c r="E47" s="46">
        <f t="shared" si="4"/>
        <v>95267.33387562312</v>
      </c>
    </row>
    <row r="48" spans="1:5" ht="14.25">
      <c r="A48" s="5">
        <f t="shared" si="0"/>
        <v>40</v>
      </c>
      <c r="B48" s="46">
        <f t="shared" si="1"/>
        <v>1721.6513808310476</v>
      </c>
      <c r="C48" s="118">
        <f t="shared" si="2"/>
        <v>952.6733387562313</v>
      </c>
      <c r="D48" s="46">
        <f t="shared" si="3"/>
        <v>768.9780420748164</v>
      </c>
      <c r="E48" s="46">
        <f t="shared" si="4"/>
        <v>94498.35583354831</v>
      </c>
    </row>
    <row r="49" spans="1:5" ht="14.25">
      <c r="A49" s="5">
        <f t="shared" si="0"/>
        <v>41</v>
      </c>
      <c r="B49" s="46">
        <f t="shared" si="1"/>
        <v>1721.6513808310476</v>
      </c>
      <c r="C49" s="118">
        <f t="shared" si="2"/>
        <v>944.983558335483</v>
      </c>
      <c r="D49" s="46">
        <f t="shared" si="3"/>
        <v>776.6678224955646</v>
      </c>
      <c r="E49" s="46">
        <f t="shared" si="4"/>
        <v>93721.68801105274</v>
      </c>
    </row>
    <row r="50" spans="1:5" ht="14.25">
      <c r="A50" s="5">
        <f t="shared" si="0"/>
        <v>42</v>
      </c>
      <c r="B50" s="46">
        <f t="shared" si="1"/>
        <v>1721.6513808310476</v>
      </c>
      <c r="C50" s="118">
        <f t="shared" si="2"/>
        <v>937.2168801105273</v>
      </c>
      <c r="D50" s="46">
        <f t="shared" si="3"/>
        <v>784.4345007205203</v>
      </c>
      <c r="E50" s="46">
        <f t="shared" si="4"/>
        <v>92937.25351033222</v>
      </c>
    </row>
    <row r="51" spans="1:5" ht="14.25">
      <c r="A51" s="5">
        <f t="shared" si="0"/>
        <v>43</v>
      </c>
      <c r="B51" s="46">
        <f t="shared" si="1"/>
        <v>1721.6513808310476</v>
      </c>
      <c r="C51" s="118">
        <f t="shared" si="2"/>
        <v>929.3725351033221</v>
      </c>
      <c r="D51" s="46">
        <f t="shared" si="3"/>
        <v>792.2788457277255</v>
      </c>
      <c r="E51" s="46">
        <f t="shared" si="4"/>
        <v>92144.9746646045</v>
      </c>
    </row>
    <row r="52" spans="1:5" ht="14.25">
      <c r="A52" s="5">
        <f t="shared" si="0"/>
        <v>44</v>
      </c>
      <c r="B52" s="46">
        <f t="shared" si="1"/>
        <v>1721.6513808310476</v>
      </c>
      <c r="C52" s="118">
        <f t="shared" si="2"/>
        <v>921.4497466460449</v>
      </c>
      <c r="D52" s="46">
        <f t="shared" si="3"/>
        <v>800.2016341850027</v>
      </c>
      <c r="E52" s="46">
        <f t="shared" si="4"/>
        <v>91344.7730304195</v>
      </c>
    </row>
    <row r="53" spans="1:5" ht="14.25">
      <c r="A53" s="5">
        <f t="shared" si="0"/>
        <v>45</v>
      </c>
      <c r="B53" s="46">
        <f t="shared" si="1"/>
        <v>1721.6513808310476</v>
      </c>
      <c r="C53" s="118">
        <f t="shared" si="2"/>
        <v>913.4477303041949</v>
      </c>
      <c r="D53" s="46">
        <f t="shared" si="3"/>
        <v>808.2036505268527</v>
      </c>
      <c r="E53" s="46">
        <f t="shared" si="4"/>
        <v>90536.56937989265</v>
      </c>
    </row>
    <row r="54" spans="1:5" ht="14.25">
      <c r="A54" s="5">
        <f t="shared" si="0"/>
        <v>46</v>
      </c>
      <c r="B54" s="46">
        <f t="shared" si="1"/>
        <v>1721.6513808310476</v>
      </c>
      <c r="C54" s="118">
        <f t="shared" si="2"/>
        <v>905.3656937989264</v>
      </c>
      <c r="D54" s="46">
        <f t="shared" si="3"/>
        <v>816.2856870321212</v>
      </c>
      <c r="E54" s="46">
        <f t="shared" si="4"/>
        <v>89720.28369286052</v>
      </c>
    </row>
    <row r="55" spans="1:5" ht="14.25">
      <c r="A55" s="5">
        <f t="shared" si="0"/>
        <v>47</v>
      </c>
      <c r="B55" s="46">
        <f t="shared" si="1"/>
        <v>1721.6513808310476</v>
      </c>
      <c r="C55" s="118">
        <f t="shared" si="2"/>
        <v>897.2028369286053</v>
      </c>
      <c r="D55" s="46">
        <f t="shared" si="3"/>
        <v>824.4485439024423</v>
      </c>
      <c r="E55" s="46">
        <f t="shared" si="4"/>
        <v>88895.83514895808</v>
      </c>
    </row>
    <row r="56" spans="1:5" ht="14.25">
      <c r="A56" s="5">
        <f t="shared" si="0"/>
        <v>48</v>
      </c>
      <c r="B56" s="46">
        <f t="shared" si="1"/>
        <v>1721.6513808310476</v>
      </c>
      <c r="C56" s="118">
        <f t="shared" si="2"/>
        <v>888.9583514895808</v>
      </c>
      <c r="D56" s="46">
        <f t="shared" si="3"/>
        <v>832.6930293414669</v>
      </c>
      <c r="E56" s="46">
        <f t="shared" si="4"/>
        <v>88063.14211961662</v>
      </c>
    </row>
    <row r="57" spans="1:5" ht="14.25">
      <c r="A57" s="5">
        <f t="shared" si="0"/>
        <v>49</v>
      </c>
      <c r="B57" s="46">
        <f t="shared" si="1"/>
        <v>1721.6513808310476</v>
      </c>
      <c r="C57" s="118">
        <f t="shared" si="2"/>
        <v>880.6314211961662</v>
      </c>
      <c r="D57" s="46">
        <f t="shared" si="3"/>
        <v>841.0199596348814</v>
      </c>
      <c r="E57" s="46">
        <f t="shared" si="4"/>
        <v>87222.12215998174</v>
      </c>
    </row>
    <row r="58" spans="1:5" ht="14.25">
      <c r="A58" s="5">
        <f t="shared" si="0"/>
        <v>50</v>
      </c>
      <c r="B58" s="46">
        <f t="shared" si="1"/>
        <v>1721.6513808310476</v>
      </c>
      <c r="C58" s="118">
        <f t="shared" si="2"/>
        <v>872.2212215998173</v>
      </c>
      <c r="D58" s="46">
        <f t="shared" si="3"/>
        <v>849.4301592312303</v>
      </c>
      <c r="E58" s="46">
        <f t="shared" si="4"/>
        <v>86372.69200075051</v>
      </c>
    </row>
    <row r="59" spans="1:5" ht="14.25">
      <c r="A59" s="5">
        <f t="shared" si="0"/>
        <v>51</v>
      </c>
      <c r="B59" s="46">
        <f t="shared" si="1"/>
        <v>1721.6513808310476</v>
      </c>
      <c r="C59" s="118">
        <f t="shared" si="2"/>
        <v>863.7269200075051</v>
      </c>
      <c r="D59" s="46">
        <f t="shared" si="3"/>
        <v>857.9244608235425</v>
      </c>
      <c r="E59" s="46">
        <f t="shared" si="4"/>
        <v>85514.76753992696</v>
      </c>
    </row>
    <row r="60" spans="1:5" ht="14.25">
      <c r="A60" s="5">
        <f t="shared" si="0"/>
        <v>52</v>
      </c>
      <c r="B60" s="46">
        <f t="shared" si="1"/>
        <v>1721.6513808310476</v>
      </c>
      <c r="C60" s="118">
        <f t="shared" si="2"/>
        <v>855.1476753992696</v>
      </c>
      <c r="D60" s="46">
        <f t="shared" si="3"/>
        <v>866.503705431778</v>
      </c>
      <c r="E60" s="46">
        <f t="shared" si="4"/>
        <v>84648.26383449518</v>
      </c>
    </row>
    <row r="61" spans="1:5" ht="14.25">
      <c r="A61" s="5">
        <f t="shared" si="0"/>
        <v>53</v>
      </c>
      <c r="B61" s="46">
        <f t="shared" si="1"/>
        <v>1721.6513808310476</v>
      </c>
      <c r="C61" s="118">
        <f t="shared" si="2"/>
        <v>846.4826383449519</v>
      </c>
      <c r="D61" s="46">
        <f t="shared" si="3"/>
        <v>875.1687424860958</v>
      </c>
      <c r="E61" s="46">
        <f t="shared" si="4"/>
        <v>83773.09509200908</v>
      </c>
    </row>
    <row r="62" spans="1:5" ht="14.25">
      <c r="A62" s="5">
        <f t="shared" si="0"/>
        <v>54</v>
      </c>
      <c r="B62" s="46">
        <f t="shared" si="1"/>
        <v>1721.6513808310476</v>
      </c>
      <c r="C62" s="118">
        <f t="shared" si="2"/>
        <v>837.7309509200908</v>
      </c>
      <c r="D62" s="46">
        <f t="shared" si="3"/>
        <v>883.9204299109568</v>
      </c>
      <c r="E62" s="46">
        <f t="shared" si="4"/>
        <v>82889.17466209813</v>
      </c>
    </row>
    <row r="63" spans="1:5" ht="14.25">
      <c r="A63" s="5">
        <f t="shared" si="0"/>
        <v>55</v>
      </c>
      <c r="B63" s="46">
        <f t="shared" si="1"/>
        <v>1721.6513808310476</v>
      </c>
      <c r="C63" s="118">
        <f t="shared" si="2"/>
        <v>828.8917466209813</v>
      </c>
      <c r="D63" s="46">
        <f t="shared" si="3"/>
        <v>892.7596342100663</v>
      </c>
      <c r="E63" s="46">
        <f t="shared" si="4"/>
        <v>81996.41502788806</v>
      </c>
    </row>
    <row r="64" spans="1:5" ht="14.25">
      <c r="A64" s="5">
        <f t="shared" si="0"/>
        <v>56</v>
      </c>
      <c r="B64" s="46">
        <f t="shared" si="1"/>
        <v>1721.6513808310476</v>
      </c>
      <c r="C64" s="118">
        <f t="shared" si="2"/>
        <v>819.9641502788805</v>
      </c>
      <c r="D64" s="46">
        <f t="shared" si="3"/>
        <v>901.6872305521671</v>
      </c>
      <c r="E64" s="46">
        <f t="shared" si="4"/>
        <v>81094.72779733589</v>
      </c>
    </row>
    <row r="65" spans="1:5" ht="14.25">
      <c r="A65" s="5">
        <f t="shared" si="0"/>
        <v>57</v>
      </c>
      <c r="B65" s="46">
        <f t="shared" si="1"/>
        <v>1721.6513808310476</v>
      </c>
      <c r="C65" s="118">
        <f t="shared" si="2"/>
        <v>810.9472779733588</v>
      </c>
      <c r="D65" s="46">
        <f t="shared" si="3"/>
        <v>910.7041028576888</v>
      </c>
      <c r="E65" s="46">
        <f t="shared" si="4"/>
        <v>80184.0236944782</v>
      </c>
    </row>
    <row r="66" spans="1:5" ht="14.25">
      <c r="A66" s="5">
        <f t="shared" si="0"/>
        <v>58</v>
      </c>
      <c r="B66" s="46">
        <f t="shared" si="1"/>
        <v>1721.6513808310476</v>
      </c>
      <c r="C66" s="118">
        <f t="shared" si="2"/>
        <v>801.8402369447819</v>
      </c>
      <c r="D66" s="46">
        <f t="shared" si="3"/>
        <v>919.8111438862658</v>
      </c>
      <c r="E66" s="46">
        <f t="shared" si="4"/>
        <v>79264.21255059192</v>
      </c>
    </row>
    <row r="67" spans="1:5" ht="14.25">
      <c r="A67" s="5">
        <f t="shared" si="0"/>
        <v>59</v>
      </c>
      <c r="B67" s="46">
        <f t="shared" si="1"/>
        <v>1721.6513808310476</v>
      </c>
      <c r="C67" s="118">
        <f t="shared" si="2"/>
        <v>792.6421255059191</v>
      </c>
      <c r="D67" s="46">
        <f t="shared" si="3"/>
        <v>929.0092553251285</v>
      </c>
      <c r="E67" s="46">
        <f t="shared" si="4"/>
        <v>78335.2032952668</v>
      </c>
    </row>
    <row r="68" spans="1:5" ht="14.25">
      <c r="A68" s="5">
        <f t="shared" si="0"/>
        <v>60</v>
      </c>
      <c r="B68" s="46">
        <f t="shared" si="1"/>
        <v>1721.6513808310476</v>
      </c>
      <c r="C68" s="118">
        <f t="shared" si="2"/>
        <v>783.3520329526679</v>
      </c>
      <c r="D68" s="46">
        <f t="shared" si="3"/>
        <v>938.2993478783798</v>
      </c>
      <c r="E68" s="46">
        <f t="shared" si="4"/>
        <v>77396.90394738842</v>
      </c>
    </row>
    <row r="69" spans="1:5" ht="14.25">
      <c r="A69" s="5">
        <f t="shared" si="0"/>
        <v>61</v>
      </c>
      <c r="B69" s="46">
        <f t="shared" si="1"/>
        <v>1721.6513808310476</v>
      </c>
      <c r="C69" s="118">
        <f t="shared" si="2"/>
        <v>773.9690394738841</v>
      </c>
      <c r="D69" s="46">
        <f t="shared" si="3"/>
        <v>947.6823413571635</v>
      </c>
      <c r="E69" s="46">
        <f t="shared" si="4"/>
        <v>76449.22160603125</v>
      </c>
    </row>
    <row r="70" spans="1:5" ht="14.25">
      <c r="A70" s="5">
        <f t="shared" si="0"/>
        <v>62</v>
      </c>
      <c r="B70" s="46">
        <f t="shared" si="1"/>
        <v>1721.6513808310476</v>
      </c>
      <c r="C70" s="118">
        <f t="shared" si="2"/>
        <v>764.4922160603124</v>
      </c>
      <c r="D70" s="46">
        <f t="shared" si="3"/>
        <v>957.1591647707352</v>
      </c>
      <c r="E70" s="46">
        <f t="shared" si="4"/>
        <v>75492.06244126051</v>
      </c>
    </row>
    <row r="71" spans="1:5" ht="14.25">
      <c r="A71" s="5">
        <f t="shared" si="0"/>
        <v>63</v>
      </c>
      <c r="B71" s="46">
        <f t="shared" si="1"/>
        <v>1721.6513808310476</v>
      </c>
      <c r="C71" s="118">
        <f t="shared" si="2"/>
        <v>754.920624412605</v>
      </c>
      <c r="D71" s="46">
        <f t="shared" si="3"/>
        <v>966.7307564184426</v>
      </c>
      <c r="E71" s="46">
        <f t="shared" si="4"/>
        <v>74525.33168484207</v>
      </c>
    </row>
    <row r="72" spans="1:5" ht="14.25">
      <c r="A72" s="5">
        <f t="shared" si="0"/>
        <v>64</v>
      </c>
      <c r="B72" s="46">
        <f t="shared" si="1"/>
        <v>1721.6513808310476</v>
      </c>
      <c r="C72" s="118">
        <f t="shared" si="2"/>
        <v>745.2533168484206</v>
      </c>
      <c r="D72" s="46">
        <f t="shared" si="3"/>
        <v>976.398063982627</v>
      </c>
      <c r="E72" s="46">
        <f t="shared" si="4"/>
        <v>73548.93362085943</v>
      </c>
    </row>
    <row r="73" spans="1:5" ht="14.25">
      <c r="A73" s="5">
        <f t="shared" si="0"/>
        <v>65</v>
      </c>
      <c r="B73" s="46">
        <f t="shared" si="1"/>
        <v>1721.6513808310476</v>
      </c>
      <c r="C73" s="118">
        <f t="shared" si="2"/>
        <v>735.4893362085944</v>
      </c>
      <c r="D73" s="46">
        <f t="shared" si="3"/>
        <v>986.1620446224532</v>
      </c>
      <c r="E73" s="46">
        <f t="shared" si="4"/>
        <v>72562.77157623698</v>
      </c>
    </row>
    <row r="74" spans="1:5" ht="14.25">
      <c r="A74" s="5">
        <f aca="true" t="shared" si="5" ref="A74:A128">A73+1</f>
        <v>66</v>
      </c>
      <c r="B74" s="46">
        <f aca="true" t="shared" si="6" ref="B74:B128">-PMT($B$3/$B$4,$B$4*$B$2,$B$1,,0)</f>
        <v>1721.6513808310476</v>
      </c>
      <c r="C74" s="118">
        <f aca="true" t="shared" si="7" ref="C74:C128">E73*$B$3/$B$4</f>
        <v>725.6277157623698</v>
      </c>
      <c r="D74" s="46">
        <f aca="true" t="shared" si="8" ref="D74:D128">B74-C74</f>
        <v>996.0236650686778</v>
      </c>
      <c r="E74" s="46">
        <f aca="true" t="shared" si="9" ref="E74:E128">E73-D74</f>
        <v>71566.7479111683</v>
      </c>
    </row>
    <row r="75" spans="1:5" ht="14.25">
      <c r="A75" s="5">
        <f t="shared" si="5"/>
        <v>67</v>
      </c>
      <c r="B75" s="46">
        <f t="shared" si="6"/>
        <v>1721.6513808310476</v>
      </c>
      <c r="C75" s="118">
        <f t="shared" si="7"/>
        <v>715.6674791116831</v>
      </c>
      <c r="D75" s="46">
        <f t="shared" si="8"/>
        <v>1005.9839017193646</v>
      </c>
      <c r="E75" s="46">
        <f t="shared" si="9"/>
        <v>70560.76400944895</v>
      </c>
    </row>
    <row r="76" spans="1:5" ht="14.25">
      <c r="A76" s="5">
        <f t="shared" si="5"/>
        <v>68</v>
      </c>
      <c r="B76" s="46">
        <f t="shared" si="6"/>
        <v>1721.6513808310476</v>
      </c>
      <c r="C76" s="118">
        <f t="shared" si="7"/>
        <v>705.6076400944894</v>
      </c>
      <c r="D76" s="46">
        <f t="shared" si="8"/>
        <v>1016.0437407365582</v>
      </c>
      <c r="E76" s="46">
        <f t="shared" si="9"/>
        <v>69544.7202687124</v>
      </c>
    </row>
    <row r="77" spans="1:5" ht="14.25">
      <c r="A77" s="5">
        <f t="shared" si="5"/>
        <v>69</v>
      </c>
      <c r="B77" s="46">
        <f t="shared" si="6"/>
        <v>1721.6513808310476</v>
      </c>
      <c r="C77" s="118">
        <f t="shared" si="7"/>
        <v>695.4472026871239</v>
      </c>
      <c r="D77" s="46">
        <f t="shared" si="8"/>
        <v>1026.2041781439239</v>
      </c>
      <c r="E77" s="46">
        <f t="shared" si="9"/>
        <v>68518.51609056848</v>
      </c>
    </row>
    <row r="78" spans="1:5" ht="14.25">
      <c r="A78" s="5">
        <f t="shared" si="5"/>
        <v>70</v>
      </c>
      <c r="B78" s="46">
        <f t="shared" si="6"/>
        <v>1721.6513808310476</v>
      </c>
      <c r="C78" s="118">
        <f t="shared" si="7"/>
        <v>685.1851609056847</v>
      </c>
      <c r="D78" s="46">
        <f t="shared" si="8"/>
        <v>1036.466219925363</v>
      </c>
      <c r="E78" s="46">
        <f t="shared" si="9"/>
        <v>67482.04987064311</v>
      </c>
    </row>
    <row r="79" spans="1:5" ht="14.25">
      <c r="A79" s="5">
        <f t="shared" si="5"/>
        <v>71</v>
      </c>
      <c r="B79" s="46">
        <f t="shared" si="6"/>
        <v>1721.6513808310476</v>
      </c>
      <c r="C79" s="118">
        <f t="shared" si="7"/>
        <v>674.8204987064311</v>
      </c>
      <c r="D79" s="46">
        <f t="shared" si="8"/>
        <v>1046.8308821246164</v>
      </c>
      <c r="E79" s="46">
        <f t="shared" si="9"/>
        <v>66435.21898851849</v>
      </c>
    </row>
    <row r="80" spans="1:5" ht="14.25">
      <c r="A80" s="5">
        <f t="shared" si="5"/>
        <v>72</v>
      </c>
      <c r="B80" s="46">
        <f t="shared" si="6"/>
        <v>1721.6513808310476</v>
      </c>
      <c r="C80" s="118">
        <f t="shared" si="7"/>
        <v>664.3521898851849</v>
      </c>
      <c r="D80" s="46">
        <f t="shared" si="8"/>
        <v>1057.2991909458628</v>
      </c>
      <c r="E80" s="46">
        <f t="shared" si="9"/>
        <v>65377.91979757263</v>
      </c>
    </row>
    <row r="81" spans="1:5" ht="14.25">
      <c r="A81" s="5">
        <f t="shared" si="5"/>
        <v>73</v>
      </c>
      <c r="B81" s="46">
        <f t="shared" si="6"/>
        <v>1721.6513808310476</v>
      </c>
      <c r="C81" s="118">
        <f t="shared" si="7"/>
        <v>653.7791979757262</v>
      </c>
      <c r="D81" s="46">
        <f t="shared" si="8"/>
        <v>1067.8721828553214</v>
      </c>
      <c r="E81" s="46">
        <f t="shared" si="9"/>
        <v>64310.0476147173</v>
      </c>
    </row>
    <row r="82" spans="1:5" ht="14.25">
      <c r="A82" s="5">
        <f t="shared" si="5"/>
        <v>74</v>
      </c>
      <c r="B82" s="46">
        <f t="shared" si="6"/>
        <v>1721.6513808310476</v>
      </c>
      <c r="C82" s="118">
        <f t="shared" si="7"/>
        <v>643.100476147173</v>
      </c>
      <c r="D82" s="46">
        <f t="shared" si="8"/>
        <v>1078.5509046838747</v>
      </c>
      <c r="E82" s="46">
        <f t="shared" si="9"/>
        <v>63231.496710033425</v>
      </c>
    </row>
    <row r="83" spans="1:5" ht="14.25">
      <c r="A83" s="5">
        <f t="shared" si="5"/>
        <v>75</v>
      </c>
      <c r="B83" s="46">
        <f t="shared" si="6"/>
        <v>1721.6513808310476</v>
      </c>
      <c r="C83" s="118">
        <f t="shared" si="7"/>
        <v>632.3149671003342</v>
      </c>
      <c r="D83" s="46">
        <f t="shared" si="8"/>
        <v>1089.3364137307135</v>
      </c>
      <c r="E83" s="46">
        <f t="shared" si="9"/>
        <v>62142.16029630271</v>
      </c>
    </row>
    <row r="84" spans="1:5" ht="14.25">
      <c r="A84" s="5">
        <f t="shared" si="5"/>
        <v>76</v>
      </c>
      <c r="B84" s="46">
        <f t="shared" si="6"/>
        <v>1721.6513808310476</v>
      </c>
      <c r="C84" s="118">
        <f t="shared" si="7"/>
        <v>621.4216029630271</v>
      </c>
      <c r="D84" s="46">
        <f t="shared" si="8"/>
        <v>1100.2297778680204</v>
      </c>
      <c r="E84" s="46">
        <f t="shared" si="9"/>
        <v>61041.93051843469</v>
      </c>
    </row>
    <row r="85" spans="1:5" ht="14.25">
      <c r="A85" s="5">
        <f t="shared" si="5"/>
        <v>77</v>
      </c>
      <c r="B85" s="46">
        <f t="shared" si="6"/>
        <v>1721.6513808310476</v>
      </c>
      <c r="C85" s="118">
        <f t="shared" si="7"/>
        <v>610.4193051843469</v>
      </c>
      <c r="D85" s="46">
        <f t="shared" si="8"/>
        <v>1111.2320756467007</v>
      </c>
      <c r="E85" s="46">
        <f t="shared" si="9"/>
        <v>59930.69844278799</v>
      </c>
    </row>
    <row r="86" spans="1:5" ht="14.25">
      <c r="A86" s="5">
        <f t="shared" si="5"/>
        <v>78</v>
      </c>
      <c r="B86" s="46">
        <f t="shared" si="6"/>
        <v>1721.6513808310476</v>
      </c>
      <c r="C86" s="118">
        <f t="shared" si="7"/>
        <v>599.3069844278799</v>
      </c>
      <c r="D86" s="46">
        <f t="shared" si="8"/>
        <v>1122.3443964031676</v>
      </c>
      <c r="E86" s="46">
        <f t="shared" si="9"/>
        <v>58808.35404638482</v>
      </c>
    </row>
    <row r="87" spans="1:5" ht="14.25">
      <c r="A87" s="5">
        <f t="shared" si="5"/>
        <v>79</v>
      </c>
      <c r="B87" s="46">
        <f t="shared" si="6"/>
        <v>1721.6513808310476</v>
      </c>
      <c r="C87" s="118">
        <f t="shared" si="7"/>
        <v>588.0835404638482</v>
      </c>
      <c r="D87" s="46">
        <f t="shared" si="8"/>
        <v>1133.5678403671996</v>
      </c>
      <c r="E87" s="46">
        <f t="shared" si="9"/>
        <v>57674.78620601762</v>
      </c>
    </row>
    <row r="88" spans="1:5" ht="14.25">
      <c r="A88" s="5">
        <f t="shared" si="5"/>
        <v>80</v>
      </c>
      <c r="B88" s="46">
        <f t="shared" si="6"/>
        <v>1721.6513808310476</v>
      </c>
      <c r="C88" s="118">
        <f t="shared" si="7"/>
        <v>576.7478620601762</v>
      </c>
      <c r="D88" s="46">
        <f t="shared" si="8"/>
        <v>1144.9035187708714</v>
      </c>
      <c r="E88" s="46">
        <f t="shared" si="9"/>
        <v>56529.88268724675</v>
      </c>
    </row>
    <row r="89" spans="1:5" ht="14.25">
      <c r="A89" s="5">
        <f t="shared" si="5"/>
        <v>81</v>
      </c>
      <c r="B89" s="46">
        <f t="shared" si="6"/>
        <v>1721.6513808310476</v>
      </c>
      <c r="C89" s="118">
        <f t="shared" si="7"/>
        <v>565.2988268724674</v>
      </c>
      <c r="D89" s="46">
        <f t="shared" si="8"/>
        <v>1156.3525539585803</v>
      </c>
      <c r="E89" s="46">
        <f t="shared" si="9"/>
        <v>55373.530133288165</v>
      </c>
    </row>
    <row r="90" spans="1:5" ht="14.25">
      <c r="A90" s="5">
        <f t="shared" si="5"/>
        <v>82</v>
      </c>
      <c r="B90" s="46">
        <f t="shared" si="6"/>
        <v>1721.6513808310476</v>
      </c>
      <c r="C90" s="118">
        <f t="shared" si="7"/>
        <v>553.7353013328816</v>
      </c>
      <c r="D90" s="46">
        <f t="shared" si="8"/>
        <v>1167.916079498166</v>
      </c>
      <c r="E90" s="46">
        <f t="shared" si="9"/>
        <v>54205.61405379</v>
      </c>
    </row>
    <row r="91" spans="1:5" ht="14.25">
      <c r="A91" s="5">
        <f t="shared" si="5"/>
        <v>83</v>
      </c>
      <c r="B91" s="46">
        <f t="shared" si="6"/>
        <v>1721.6513808310476</v>
      </c>
      <c r="C91" s="118">
        <f t="shared" si="7"/>
        <v>542.0561405379</v>
      </c>
      <c r="D91" s="46">
        <f t="shared" si="8"/>
        <v>1179.5952402931475</v>
      </c>
      <c r="E91" s="46">
        <f t="shared" si="9"/>
        <v>53026.01881349685</v>
      </c>
    </row>
    <row r="92" spans="1:5" ht="14.25">
      <c r="A92" s="5">
        <f t="shared" si="5"/>
        <v>84</v>
      </c>
      <c r="B92" s="46">
        <f t="shared" si="6"/>
        <v>1721.6513808310476</v>
      </c>
      <c r="C92" s="118">
        <f t="shared" si="7"/>
        <v>530.2601881349684</v>
      </c>
      <c r="D92" s="46">
        <f t="shared" si="8"/>
        <v>1191.391192696079</v>
      </c>
      <c r="E92" s="46">
        <f t="shared" si="9"/>
        <v>51834.62762080077</v>
      </c>
    </row>
    <row r="93" spans="1:5" ht="14.25">
      <c r="A93" s="5">
        <f t="shared" si="5"/>
        <v>85</v>
      </c>
      <c r="B93" s="46">
        <f t="shared" si="6"/>
        <v>1721.6513808310476</v>
      </c>
      <c r="C93" s="118">
        <f t="shared" si="7"/>
        <v>518.3462762080077</v>
      </c>
      <c r="D93" s="46">
        <f t="shared" si="8"/>
        <v>1203.3051046230398</v>
      </c>
      <c r="E93" s="46">
        <f t="shared" si="9"/>
        <v>50631.32251617773</v>
      </c>
    </row>
    <row r="94" spans="1:5" ht="14.25">
      <c r="A94" s="5">
        <f t="shared" si="5"/>
        <v>86</v>
      </c>
      <c r="B94" s="46">
        <f t="shared" si="6"/>
        <v>1721.6513808310476</v>
      </c>
      <c r="C94" s="118">
        <f t="shared" si="7"/>
        <v>506.3132251617773</v>
      </c>
      <c r="D94" s="46">
        <f t="shared" si="8"/>
        <v>1215.3381556692702</v>
      </c>
      <c r="E94" s="46">
        <f t="shared" si="9"/>
        <v>49415.98436050846</v>
      </c>
    </row>
    <row r="95" spans="1:5" ht="14.25">
      <c r="A95" s="5">
        <f t="shared" si="5"/>
        <v>87</v>
      </c>
      <c r="B95" s="46">
        <f t="shared" si="6"/>
        <v>1721.6513808310476</v>
      </c>
      <c r="C95" s="118">
        <f t="shared" si="7"/>
        <v>494.15984360508463</v>
      </c>
      <c r="D95" s="46">
        <f t="shared" si="8"/>
        <v>1227.491537225963</v>
      </c>
      <c r="E95" s="46">
        <f t="shared" si="9"/>
        <v>48188.4928232825</v>
      </c>
    </row>
    <row r="96" spans="1:5" ht="14.25">
      <c r="A96" s="5">
        <f t="shared" si="5"/>
        <v>88</v>
      </c>
      <c r="B96" s="46">
        <f t="shared" si="6"/>
        <v>1721.6513808310476</v>
      </c>
      <c r="C96" s="118">
        <f t="shared" si="7"/>
        <v>481.88492823282496</v>
      </c>
      <c r="D96" s="46">
        <f t="shared" si="8"/>
        <v>1239.7664525982227</v>
      </c>
      <c r="E96" s="46">
        <f t="shared" si="9"/>
        <v>46948.72637068427</v>
      </c>
    </row>
    <row r="97" spans="1:5" ht="14.25">
      <c r="A97" s="5">
        <f t="shared" si="5"/>
        <v>89</v>
      </c>
      <c r="B97" s="46">
        <f t="shared" si="6"/>
        <v>1721.6513808310476</v>
      </c>
      <c r="C97" s="118">
        <f t="shared" si="7"/>
        <v>469.48726370684267</v>
      </c>
      <c r="D97" s="46">
        <f t="shared" si="8"/>
        <v>1252.164117124205</v>
      </c>
      <c r="E97" s="46">
        <f t="shared" si="9"/>
        <v>45696.56225356006</v>
      </c>
    </row>
    <row r="98" spans="1:5" ht="14.25">
      <c r="A98" s="5">
        <f t="shared" si="5"/>
        <v>90</v>
      </c>
      <c r="B98" s="46">
        <f t="shared" si="6"/>
        <v>1721.6513808310476</v>
      </c>
      <c r="C98" s="118">
        <f t="shared" si="7"/>
        <v>456.96562253560063</v>
      </c>
      <c r="D98" s="46">
        <f t="shared" si="8"/>
        <v>1264.685758295447</v>
      </c>
      <c r="E98" s="46">
        <f t="shared" si="9"/>
        <v>44431.876495264616</v>
      </c>
    </row>
    <row r="99" spans="1:5" ht="14.25">
      <c r="A99" s="5">
        <f t="shared" si="5"/>
        <v>91</v>
      </c>
      <c r="B99" s="46">
        <f t="shared" si="6"/>
        <v>1721.6513808310476</v>
      </c>
      <c r="C99" s="118">
        <f t="shared" si="7"/>
        <v>444.3187649526462</v>
      </c>
      <c r="D99" s="46">
        <f t="shared" si="8"/>
        <v>1277.3326158784014</v>
      </c>
      <c r="E99" s="46">
        <f t="shared" si="9"/>
        <v>43154.54387938621</v>
      </c>
    </row>
    <row r="100" spans="1:5" ht="14.25">
      <c r="A100" s="5">
        <f t="shared" si="5"/>
        <v>92</v>
      </c>
      <c r="B100" s="46">
        <f t="shared" si="6"/>
        <v>1721.6513808310476</v>
      </c>
      <c r="C100" s="118">
        <f t="shared" si="7"/>
        <v>431.5454387938621</v>
      </c>
      <c r="D100" s="46">
        <f t="shared" si="8"/>
        <v>1290.1059420371855</v>
      </c>
      <c r="E100" s="46">
        <f t="shared" si="9"/>
        <v>41864.43793734903</v>
      </c>
    </row>
    <row r="101" spans="1:5" ht="14.25">
      <c r="A101" s="5">
        <f t="shared" si="5"/>
        <v>93</v>
      </c>
      <c r="B101" s="46">
        <f t="shared" si="6"/>
        <v>1721.6513808310476</v>
      </c>
      <c r="C101" s="118">
        <f t="shared" si="7"/>
        <v>418.64437937349027</v>
      </c>
      <c r="D101" s="46">
        <f t="shared" si="8"/>
        <v>1303.0070014575574</v>
      </c>
      <c r="E101" s="46">
        <f t="shared" si="9"/>
        <v>40561.430935891476</v>
      </c>
    </row>
    <row r="102" spans="1:5" ht="14.25">
      <c r="A102" s="5">
        <f t="shared" si="5"/>
        <v>94</v>
      </c>
      <c r="B102" s="46">
        <f t="shared" si="6"/>
        <v>1721.6513808310476</v>
      </c>
      <c r="C102" s="118">
        <f t="shared" si="7"/>
        <v>405.6143093589148</v>
      </c>
      <c r="D102" s="46">
        <f t="shared" si="8"/>
        <v>1316.0370714721328</v>
      </c>
      <c r="E102" s="46">
        <f t="shared" si="9"/>
        <v>39245.39386441934</v>
      </c>
    </row>
    <row r="103" spans="1:5" ht="14.25">
      <c r="A103" s="5">
        <f t="shared" si="5"/>
        <v>95</v>
      </c>
      <c r="B103" s="46">
        <f t="shared" si="6"/>
        <v>1721.6513808310476</v>
      </c>
      <c r="C103" s="118">
        <f t="shared" si="7"/>
        <v>392.4539386441934</v>
      </c>
      <c r="D103" s="46">
        <f t="shared" si="8"/>
        <v>1329.1974421868542</v>
      </c>
      <c r="E103" s="46">
        <f t="shared" si="9"/>
        <v>37916.19642223249</v>
      </c>
    </row>
    <row r="104" spans="1:5" ht="14.25">
      <c r="A104" s="5">
        <f t="shared" si="5"/>
        <v>96</v>
      </c>
      <c r="B104" s="46">
        <f t="shared" si="6"/>
        <v>1721.6513808310476</v>
      </c>
      <c r="C104" s="118">
        <f t="shared" si="7"/>
        <v>379.1619642223249</v>
      </c>
      <c r="D104" s="46">
        <f t="shared" si="8"/>
        <v>1342.4894166087226</v>
      </c>
      <c r="E104" s="46">
        <f t="shared" si="9"/>
        <v>36573.707005623764</v>
      </c>
    </row>
    <row r="105" spans="1:5" ht="14.25">
      <c r="A105" s="5">
        <f t="shared" si="5"/>
        <v>97</v>
      </c>
      <c r="B105" s="46">
        <f t="shared" si="6"/>
        <v>1721.6513808310476</v>
      </c>
      <c r="C105" s="118">
        <f t="shared" si="7"/>
        <v>365.7370700562376</v>
      </c>
      <c r="D105" s="46">
        <f t="shared" si="8"/>
        <v>1355.91431077481</v>
      </c>
      <c r="E105" s="46">
        <f t="shared" si="9"/>
        <v>35217.792694848955</v>
      </c>
    </row>
    <row r="106" spans="1:5" ht="14.25">
      <c r="A106" s="5">
        <f t="shared" si="5"/>
        <v>98</v>
      </c>
      <c r="B106" s="46">
        <f t="shared" si="6"/>
        <v>1721.6513808310476</v>
      </c>
      <c r="C106" s="118">
        <f t="shared" si="7"/>
        <v>352.1779269484895</v>
      </c>
      <c r="D106" s="46">
        <f t="shared" si="8"/>
        <v>1369.473453882558</v>
      </c>
      <c r="E106" s="46">
        <f t="shared" si="9"/>
        <v>33848.3192409664</v>
      </c>
    </row>
    <row r="107" spans="1:5" ht="14.25">
      <c r="A107" s="5">
        <f t="shared" si="5"/>
        <v>99</v>
      </c>
      <c r="B107" s="46">
        <f t="shared" si="6"/>
        <v>1721.6513808310476</v>
      </c>
      <c r="C107" s="118">
        <f t="shared" si="7"/>
        <v>338.48319240966396</v>
      </c>
      <c r="D107" s="46">
        <f t="shared" si="8"/>
        <v>1383.1681884213835</v>
      </c>
      <c r="E107" s="46">
        <f t="shared" si="9"/>
        <v>32465.151052545014</v>
      </c>
    </row>
    <row r="108" spans="1:5" ht="14.25">
      <c r="A108" s="5">
        <f t="shared" si="5"/>
        <v>100</v>
      </c>
      <c r="B108" s="46">
        <f t="shared" si="6"/>
        <v>1721.6513808310476</v>
      </c>
      <c r="C108" s="118">
        <f t="shared" si="7"/>
        <v>324.65151052545013</v>
      </c>
      <c r="D108" s="46">
        <f t="shared" si="8"/>
        <v>1396.9998703055976</v>
      </c>
      <c r="E108" s="46">
        <f t="shared" si="9"/>
        <v>31068.151182239417</v>
      </c>
    </row>
    <row r="109" spans="1:5" ht="14.25">
      <c r="A109" s="5">
        <f t="shared" si="5"/>
        <v>101</v>
      </c>
      <c r="B109" s="46">
        <f t="shared" si="6"/>
        <v>1721.6513808310476</v>
      </c>
      <c r="C109" s="118">
        <f t="shared" si="7"/>
        <v>310.68151182239416</v>
      </c>
      <c r="D109" s="46">
        <f t="shared" si="8"/>
        <v>1410.9698690086534</v>
      </c>
      <c r="E109" s="46">
        <f t="shared" si="9"/>
        <v>29657.181313230765</v>
      </c>
    </row>
    <row r="110" spans="1:5" ht="14.25">
      <c r="A110" s="5">
        <f t="shared" si="5"/>
        <v>102</v>
      </c>
      <c r="B110" s="46">
        <f t="shared" si="6"/>
        <v>1721.6513808310476</v>
      </c>
      <c r="C110" s="118">
        <f t="shared" si="7"/>
        <v>296.5718131323076</v>
      </c>
      <c r="D110" s="46">
        <f t="shared" si="8"/>
        <v>1425.07956769874</v>
      </c>
      <c r="E110" s="46">
        <f t="shared" si="9"/>
        <v>28232.101745532025</v>
      </c>
    </row>
    <row r="111" spans="1:5" ht="14.25">
      <c r="A111" s="5">
        <f t="shared" si="5"/>
        <v>103</v>
      </c>
      <c r="B111" s="46">
        <f t="shared" si="6"/>
        <v>1721.6513808310476</v>
      </c>
      <c r="C111" s="118">
        <f t="shared" si="7"/>
        <v>282.32101745532026</v>
      </c>
      <c r="D111" s="46">
        <f t="shared" si="8"/>
        <v>1439.3303633757273</v>
      </c>
      <c r="E111" s="46">
        <f t="shared" si="9"/>
        <v>26792.771382156297</v>
      </c>
    </row>
    <row r="112" spans="1:5" ht="14.25">
      <c r="A112" s="5">
        <f t="shared" si="5"/>
        <v>104</v>
      </c>
      <c r="B112" s="46">
        <f t="shared" si="6"/>
        <v>1721.6513808310476</v>
      </c>
      <c r="C112" s="118">
        <f t="shared" si="7"/>
        <v>267.927713821563</v>
      </c>
      <c r="D112" s="46">
        <f t="shared" si="8"/>
        <v>1453.7236670094846</v>
      </c>
      <c r="E112" s="46">
        <f t="shared" si="9"/>
        <v>25339.04771514681</v>
      </c>
    </row>
    <row r="113" spans="1:5" ht="14.25">
      <c r="A113" s="5">
        <f t="shared" si="5"/>
        <v>105</v>
      </c>
      <c r="B113" s="46">
        <f t="shared" si="6"/>
        <v>1721.6513808310476</v>
      </c>
      <c r="C113" s="118">
        <f t="shared" si="7"/>
        <v>253.3904771514681</v>
      </c>
      <c r="D113" s="46">
        <f t="shared" si="8"/>
        <v>1468.2609036795795</v>
      </c>
      <c r="E113" s="46">
        <f t="shared" si="9"/>
        <v>23870.78681146723</v>
      </c>
    </row>
    <row r="114" spans="1:5" ht="14.25">
      <c r="A114" s="5">
        <f t="shared" si="5"/>
        <v>106</v>
      </c>
      <c r="B114" s="46">
        <f t="shared" si="6"/>
        <v>1721.6513808310476</v>
      </c>
      <c r="C114" s="118">
        <f t="shared" si="7"/>
        <v>238.70786811467232</v>
      </c>
      <c r="D114" s="46">
        <f t="shared" si="8"/>
        <v>1482.9435127163754</v>
      </c>
      <c r="E114" s="46">
        <f t="shared" si="9"/>
        <v>22387.843298750857</v>
      </c>
    </row>
    <row r="115" spans="1:5" ht="14.25">
      <c r="A115" s="5">
        <f t="shared" si="5"/>
        <v>107</v>
      </c>
      <c r="B115" s="46">
        <f t="shared" si="6"/>
        <v>1721.6513808310476</v>
      </c>
      <c r="C115" s="118">
        <f t="shared" si="7"/>
        <v>223.87843298750855</v>
      </c>
      <c r="D115" s="46">
        <f t="shared" si="8"/>
        <v>1497.772947843539</v>
      </c>
      <c r="E115" s="46">
        <f t="shared" si="9"/>
        <v>20890.070350907317</v>
      </c>
    </row>
    <row r="116" spans="1:5" ht="14.25">
      <c r="A116" s="5">
        <f t="shared" si="5"/>
        <v>108</v>
      </c>
      <c r="B116" s="46">
        <f t="shared" si="6"/>
        <v>1721.6513808310476</v>
      </c>
      <c r="C116" s="118">
        <f t="shared" si="7"/>
        <v>208.90070350907317</v>
      </c>
      <c r="D116" s="46">
        <f t="shared" si="8"/>
        <v>1512.7506773219745</v>
      </c>
      <c r="E116" s="46">
        <f t="shared" si="9"/>
        <v>19377.31967358534</v>
      </c>
    </row>
    <row r="117" spans="1:5" ht="14.25">
      <c r="A117" s="5">
        <f t="shared" si="5"/>
        <v>109</v>
      </c>
      <c r="B117" s="46">
        <f t="shared" si="6"/>
        <v>1721.6513808310476</v>
      </c>
      <c r="C117" s="118">
        <f t="shared" si="7"/>
        <v>193.77319673585342</v>
      </c>
      <c r="D117" s="46">
        <f t="shared" si="8"/>
        <v>1527.8781840951942</v>
      </c>
      <c r="E117" s="46">
        <f t="shared" si="9"/>
        <v>17849.44148949015</v>
      </c>
    </row>
    <row r="118" spans="1:5" ht="14.25">
      <c r="A118" s="5">
        <f t="shared" si="5"/>
        <v>110</v>
      </c>
      <c r="B118" s="46">
        <f t="shared" si="6"/>
        <v>1721.6513808310476</v>
      </c>
      <c r="C118" s="118">
        <f t="shared" si="7"/>
        <v>178.4944148949015</v>
      </c>
      <c r="D118" s="46">
        <f t="shared" si="8"/>
        <v>1543.1569659361462</v>
      </c>
      <c r="E118" s="46">
        <f t="shared" si="9"/>
        <v>16306.284523554003</v>
      </c>
    </row>
    <row r="119" spans="1:5" ht="14.25">
      <c r="A119" s="5">
        <f t="shared" si="5"/>
        <v>111</v>
      </c>
      <c r="B119" s="46">
        <f t="shared" si="6"/>
        <v>1721.6513808310476</v>
      </c>
      <c r="C119" s="118">
        <f t="shared" si="7"/>
        <v>163.06284523554004</v>
      </c>
      <c r="D119" s="46">
        <f t="shared" si="8"/>
        <v>1558.5885355955077</v>
      </c>
      <c r="E119" s="46">
        <f t="shared" si="9"/>
        <v>14747.695987958496</v>
      </c>
    </row>
    <row r="120" spans="1:5" ht="14.25">
      <c r="A120" s="5">
        <f t="shared" si="5"/>
        <v>112</v>
      </c>
      <c r="B120" s="46">
        <f t="shared" si="6"/>
        <v>1721.6513808310476</v>
      </c>
      <c r="C120" s="118">
        <f t="shared" si="7"/>
        <v>147.47695987958494</v>
      </c>
      <c r="D120" s="46">
        <f t="shared" si="8"/>
        <v>1574.1744209514627</v>
      </c>
      <c r="E120" s="46">
        <f t="shared" si="9"/>
        <v>13173.521567007032</v>
      </c>
    </row>
    <row r="121" spans="1:5" ht="14.25">
      <c r="A121" s="5">
        <f t="shared" si="5"/>
        <v>113</v>
      </c>
      <c r="B121" s="46">
        <f t="shared" si="6"/>
        <v>1721.6513808310476</v>
      </c>
      <c r="C121" s="118">
        <f t="shared" si="7"/>
        <v>131.73521567007032</v>
      </c>
      <c r="D121" s="46">
        <f t="shared" si="8"/>
        <v>1589.9161651609772</v>
      </c>
      <c r="E121" s="46">
        <f t="shared" si="9"/>
        <v>11583.605401846055</v>
      </c>
    </row>
    <row r="122" spans="1:5" ht="14.25">
      <c r="A122" s="5">
        <f t="shared" si="5"/>
        <v>114</v>
      </c>
      <c r="B122" s="46">
        <f t="shared" si="6"/>
        <v>1721.6513808310476</v>
      </c>
      <c r="C122" s="118">
        <f t="shared" si="7"/>
        <v>115.83605401846053</v>
      </c>
      <c r="D122" s="46">
        <f t="shared" si="8"/>
        <v>1605.815326812587</v>
      </c>
      <c r="E122" s="46">
        <f t="shared" si="9"/>
        <v>9977.790075033467</v>
      </c>
    </row>
    <row r="123" spans="1:5" ht="14.25">
      <c r="A123" s="5">
        <f t="shared" si="5"/>
        <v>115</v>
      </c>
      <c r="B123" s="46">
        <f t="shared" si="6"/>
        <v>1721.6513808310476</v>
      </c>
      <c r="C123" s="118">
        <f t="shared" si="7"/>
        <v>99.77790075033467</v>
      </c>
      <c r="D123" s="46">
        <f t="shared" si="8"/>
        <v>1621.8734800807129</v>
      </c>
      <c r="E123" s="46">
        <f t="shared" si="9"/>
        <v>8355.916594952754</v>
      </c>
    </row>
    <row r="124" spans="1:5" ht="14.25">
      <c r="A124" s="5">
        <f t="shared" si="5"/>
        <v>116</v>
      </c>
      <c r="B124" s="46">
        <f t="shared" si="6"/>
        <v>1721.6513808310476</v>
      </c>
      <c r="C124" s="118">
        <f t="shared" si="7"/>
        <v>83.55916594952754</v>
      </c>
      <c r="D124" s="46">
        <f t="shared" si="8"/>
        <v>1638.09221488152</v>
      </c>
      <c r="E124" s="46">
        <f t="shared" si="9"/>
        <v>6717.824380071234</v>
      </c>
    </row>
    <row r="125" spans="1:5" ht="14.25">
      <c r="A125" s="5">
        <f t="shared" si="5"/>
        <v>117</v>
      </c>
      <c r="B125" s="46">
        <f t="shared" si="6"/>
        <v>1721.6513808310476</v>
      </c>
      <c r="C125" s="118">
        <f t="shared" si="7"/>
        <v>67.17824380071234</v>
      </c>
      <c r="D125" s="46">
        <f t="shared" si="8"/>
        <v>1654.4731370303352</v>
      </c>
      <c r="E125" s="46">
        <f t="shared" si="9"/>
        <v>5063.351243040899</v>
      </c>
    </row>
    <row r="126" spans="1:5" ht="14.25">
      <c r="A126" s="5">
        <f t="shared" si="5"/>
        <v>118</v>
      </c>
      <c r="B126" s="46">
        <f t="shared" si="6"/>
        <v>1721.6513808310476</v>
      </c>
      <c r="C126" s="118">
        <f t="shared" si="7"/>
        <v>50.63351243040899</v>
      </c>
      <c r="D126" s="46">
        <f t="shared" si="8"/>
        <v>1671.0178684006387</v>
      </c>
      <c r="E126" s="46">
        <f t="shared" si="9"/>
        <v>3392.3333746402604</v>
      </c>
    </row>
    <row r="127" spans="1:5" ht="14.25">
      <c r="A127" s="5">
        <f t="shared" si="5"/>
        <v>119</v>
      </c>
      <c r="B127" s="46">
        <f t="shared" si="6"/>
        <v>1721.6513808310476</v>
      </c>
      <c r="C127" s="118">
        <f t="shared" si="7"/>
        <v>33.923333746402605</v>
      </c>
      <c r="D127" s="46">
        <f t="shared" si="8"/>
        <v>1687.728047084645</v>
      </c>
      <c r="E127" s="46">
        <f t="shared" si="9"/>
        <v>1704.6053275556155</v>
      </c>
    </row>
    <row r="128" spans="1:5" ht="14.25">
      <c r="A128" s="5">
        <f t="shared" si="5"/>
        <v>120</v>
      </c>
      <c r="B128" s="46">
        <f t="shared" si="6"/>
        <v>1721.6513808310476</v>
      </c>
      <c r="C128" s="118">
        <f t="shared" si="7"/>
        <v>17.046053275556154</v>
      </c>
      <c r="D128" s="46">
        <f t="shared" si="8"/>
        <v>1704.6053275554914</v>
      </c>
      <c r="E128" s="46">
        <f t="shared" si="9"/>
        <v>1.241460267920047E-10</v>
      </c>
    </row>
  </sheetData>
  <sheetProtection/>
  <conditionalFormatting sqref="A8:E128">
    <cfRule type="expression" priority="1" dxfId="0" stopIfTrue="1">
      <formula>$A8=$B$4*$B$5</formula>
    </cfRule>
  </conditionalFormatting>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sheetPr>
    <tabColor theme="3"/>
  </sheetPr>
  <dimension ref="A1:H17"/>
  <sheetViews>
    <sheetView zoomScalePageLayoutView="0" workbookViewId="0" topLeftCell="A1">
      <selection activeCell="H14" sqref="H14"/>
    </sheetView>
  </sheetViews>
  <sheetFormatPr defaultColWidth="9.140625" defaultRowHeight="15"/>
  <cols>
    <col min="1" max="1" width="14.7109375" style="0" bestFit="1" customWidth="1"/>
    <col min="2" max="2" width="15.7109375" style="0" customWidth="1"/>
    <col min="3" max="5" width="15.00390625" style="0" customWidth="1"/>
    <col min="6" max="6" width="14.00390625" style="0" bestFit="1" customWidth="1"/>
    <col min="7" max="7" width="23.7109375" style="0" customWidth="1"/>
    <col min="8" max="8" width="10.57421875" style="0" bestFit="1" customWidth="1"/>
  </cols>
  <sheetData>
    <row r="1" spans="1:7" ht="14.25">
      <c r="A1" s="132" t="s">
        <v>190</v>
      </c>
      <c r="B1" s="132"/>
      <c r="C1" s="132"/>
      <c r="D1" s="132"/>
      <c r="E1" s="132"/>
      <c r="F1" s="132"/>
      <c r="G1" s="133"/>
    </row>
    <row r="2" spans="1:5" ht="42.75">
      <c r="A2" s="136" t="s">
        <v>179</v>
      </c>
      <c r="B2" s="135">
        <v>0.12</v>
      </c>
      <c r="C2" s="30"/>
      <c r="D2" s="30"/>
      <c r="E2" s="30"/>
    </row>
    <row r="3" spans="1:8" ht="14.25">
      <c r="A3" s="5" t="s">
        <v>4</v>
      </c>
      <c r="B3" s="5">
        <v>1</v>
      </c>
      <c r="C3" s="5"/>
      <c r="D3" s="5"/>
      <c r="E3" s="5"/>
      <c r="F3" s="5" t="s">
        <v>184</v>
      </c>
      <c r="G3" s="5"/>
      <c r="H3" s="5" t="s">
        <v>185</v>
      </c>
    </row>
    <row r="4" spans="1:8" ht="42.75">
      <c r="A4" s="4" t="s">
        <v>65</v>
      </c>
      <c r="B4" s="4" t="s">
        <v>192</v>
      </c>
      <c r="C4" s="4" t="s">
        <v>182</v>
      </c>
      <c r="D4" s="136" t="s">
        <v>29</v>
      </c>
      <c r="E4" s="4" t="s">
        <v>182</v>
      </c>
      <c r="F4" s="136" t="s">
        <v>30</v>
      </c>
      <c r="G4" s="136" t="s">
        <v>193</v>
      </c>
      <c r="H4" s="4" t="s">
        <v>123</v>
      </c>
    </row>
    <row r="5" spans="1:8" ht="14.25">
      <c r="A5" s="5">
        <v>0</v>
      </c>
      <c r="B5" s="5">
        <v>-2000</v>
      </c>
      <c r="C5" s="137">
        <v>8</v>
      </c>
      <c r="D5" s="46"/>
      <c r="E5" s="137">
        <v>0</v>
      </c>
      <c r="F5" s="46"/>
      <c r="G5" s="46">
        <f aca="true" t="shared" si="0" ref="G5:G13">-B5</f>
        <v>2000</v>
      </c>
      <c r="H5" s="5"/>
    </row>
    <row r="6" spans="1:8" ht="14.25">
      <c r="A6" s="5">
        <v>1</v>
      </c>
      <c r="B6" s="5"/>
      <c r="C6" s="5">
        <v>7</v>
      </c>
      <c r="D6" s="46"/>
      <c r="E6" s="5">
        <v>1</v>
      </c>
      <c r="F6" s="46"/>
      <c r="G6" s="46">
        <f t="shared" si="0"/>
        <v>0</v>
      </c>
      <c r="H6" s="5"/>
    </row>
    <row r="7" spans="1:8" ht="14.25">
      <c r="A7" s="5">
        <v>2</v>
      </c>
      <c r="B7" s="5">
        <v>-2000</v>
      </c>
      <c r="C7" s="137">
        <v>6</v>
      </c>
      <c r="D7" s="46"/>
      <c r="E7" s="137">
        <v>2</v>
      </c>
      <c r="F7" s="46"/>
      <c r="G7" s="46">
        <f t="shared" si="0"/>
        <v>2000</v>
      </c>
      <c r="H7" s="5"/>
    </row>
    <row r="8" spans="1:8" ht="14.25">
      <c r="A8" s="5">
        <v>3</v>
      </c>
      <c r="B8" s="5">
        <v>1000</v>
      </c>
      <c r="C8" s="5">
        <v>5</v>
      </c>
      <c r="D8" s="46"/>
      <c r="E8" s="5">
        <v>3</v>
      </c>
      <c r="F8" s="46"/>
      <c r="G8" s="46">
        <f t="shared" si="0"/>
        <v>-1000</v>
      </c>
      <c r="H8" s="5"/>
    </row>
    <row r="9" spans="1:8" ht="14.25">
      <c r="A9" s="5">
        <v>4</v>
      </c>
      <c r="B9" s="5">
        <v>1000</v>
      </c>
      <c r="C9" s="137">
        <v>4</v>
      </c>
      <c r="D9" s="46"/>
      <c r="E9" s="137">
        <v>4</v>
      </c>
      <c r="F9" s="46"/>
      <c r="G9" s="46">
        <f t="shared" si="0"/>
        <v>-1000</v>
      </c>
      <c r="H9" s="5"/>
    </row>
    <row r="10" spans="1:8" ht="14.25">
      <c r="A10" s="5">
        <v>5</v>
      </c>
      <c r="B10" s="5">
        <v>-2000</v>
      </c>
      <c r="C10" s="5">
        <v>3</v>
      </c>
      <c r="D10" s="46"/>
      <c r="E10" s="5">
        <v>5</v>
      </c>
      <c r="F10" s="46"/>
      <c r="G10" s="46">
        <f t="shared" si="0"/>
        <v>2000</v>
      </c>
      <c r="H10" s="5"/>
    </row>
    <row r="11" spans="1:8" ht="14.25">
      <c r="A11" s="5">
        <v>6</v>
      </c>
      <c r="B11" s="5"/>
      <c r="C11" s="137">
        <v>2</v>
      </c>
      <c r="D11" s="46"/>
      <c r="E11" s="137">
        <v>6</v>
      </c>
      <c r="F11" s="46"/>
      <c r="G11" s="46">
        <f t="shared" si="0"/>
        <v>0</v>
      </c>
      <c r="H11" s="5"/>
    </row>
    <row r="12" spans="1:8" ht="14.25">
      <c r="A12" s="5">
        <v>7</v>
      </c>
      <c r="B12" s="5">
        <v>5000</v>
      </c>
      <c r="C12" s="5">
        <v>1</v>
      </c>
      <c r="D12" s="46"/>
      <c r="E12" s="5">
        <v>7</v>
      </c>
      <c r="F12" s="46"/>
      <c r="G12" s="46">
        <f t="shared" si="0"/>
        <v>-5000</v>
      </c>
      <c r="H12" s="5"/>
    </row>
    <row r="13" spans="1:8" ht="15" thickBot="1">
      <c r="A13" s="135">
        <v>8</v>
      </c>
      <c r="B13" s="135"/>
      <c r="C13" s="138">
        <v>0</v>
      </c>
      <c r="D13" s="46"/>
      <c r="E13" s="138">
        <v>8</v>
      </c>
      <c r="F13" s="46"/>
      <c r="G13" s="46">
        <f t="shared" si="0"/>
        <v>0</v>
      </c>
      <c r="H13" s="139"/>
    </row>
    <row r="14" spans="1:8" ht="15" thickBot="1">
      <c r="A14" s="40" t="s">
        <v>186</v>
      </c>
      <c r="B14" s="40"/>
      <c r="C14" s="40"/>
      <c r="D14" s="74">
        <f>SUM(D5:D13)</f>
        <v>0</v>
      </c>
      <c r="E14" s="40"/>
      <c r="F14" s="74">
        <f>SUM(F5:F13)</f>
        <v>0</v>
      </c>
      <c r="G14" s="74"/>
      <c r="H14" s="46"/>
    </row>
    <row r="15" ht="15" thickTop="1"/>
    <row r="16" ht="14.25">
      <c r="F16" t="s">
        <v>191</v>
      </c>
    </row>
    <row r="17" ht="14.25">
      <c r="F17">
        <f>D14/(1+B2)^C5</f>
        <v>0</v>
      </c>
    </row>
  </sheetData>
  <sheetProtection/>
  <printOptions/>
  <pageMargins left="0.7" right="0.7" top="0.75" bottom="0.75" header="0.3" footer="0.3"/>
  <pageSetup orientation="portrait" paperSize="9"/>
</worksheet>
</file>

<file path=xl/worksheets/sheet54.xml><?xml version="1.0" encoding="utf-8"?>
<worksheet xmlns="http://schemas.openxmlformats.org/spreadsheetml/2006/main" xmlns:r="http://schemas.openxmlformats.org/officeDocument/2006/relationships">
  <sheetPr>
    <tabColor indexed="10"/>
  </sheetPr>
  <dimension ref="A1:H17"/>
  <sheetViews>
    <sheetView zoomScalePageLayoutView="0" workbookViewId="0" topLeftCell="A1">
      <selection activeCell="B15" sqref="B15"/>
    </sheetView>
  </sheetViews>
  <sheetFormatPr defaultColWidth="9.140625" defaultRowHeight="15"/>
  <cols>
    <col min="1" max="1" width="14.7109375" style="0" bestFit="1" customWidth="1"/>
    <col min="2" max="2" width="15.7109375" style="0" customWidth="1"/>
    <col min="3" max="5" width="15.00390625" style="0" customWidth="1"/>
    <col min="6" max="6" width="14.00390625" style="0" bestFit="1" customWidth="1"/>
    <col min="7" max="7" width="23.7109375" style="0" customWidth="1"/>
    <col min="8" max="8" width="10.57421875" style="0" bestFit="1" customWidth="1"/>
  </cols>
  <sheetData>
    <row r="1" spans="1:7" ht="14.25">
      <c r="A1" s="132" t="s">
        <v>190</v>
      </c>
      <c r="B1" s="132"/>
      <c r="C1" s="132"/>
      <c r="D1" s="132"/>
      <c r="E1" s="132"/>
      <c r="F1" s="132"/>
      <c r="G1" s="133"/>
    </row>
    <row r="2" spans="1:5" ht="42.75">
      <c r="A2" s="136" t="s">
        <v>179</v>
      </c>
      <c r="B2" s="135">
        <v>0.12</v>
      </c>
      <c r="C2" s="30"/>
      <c r="D2" s="30"/>
      <c r="E2" s="30"/>
    </row>
    <row r="3" spans="1:8" ht="14.25">
      <c r="A3" s="5" t="s">
        <v>4</v>
      </c>
      <c r="B3" s="5">
        <v>1</v>
      </c>
      <c r="C3" s="5"/>
      <c r="D3" s="5"/>
      <c r="E3" s="5"/>
      <c r="F3" s="5" t="s">
        <v>184</v>
      </c>
      <c r="G3" s="5"/>
      <c r="H3" s="5" t="s">
        <v>185</v>
      </c>
    </row>
    <row r="4" spans="1:8" ht="42.75">
      <c r="A4" s="4" t="s">
        <v>65</v>
      </c>
      <c r="B4" s="4" t="s">
        <v>192</v>
      </c>
      <c r="C4" s="4" t="s">
        <v>182</v>
      </c>
      <c r="D4" s="136" t="s">
        <v>29</v>
      </c>
      <c r="E4" s="4" t="s">
        <v>182</v>
      </c>
      <c r="F4" s="136" t="s">
        <v>30</v>
      </c>
      <c r="G4" s="136" t="s">
        <v>193</v>
      </c>
      <c r="H4" s="4" t="s">
        <v>123</v>
      </c>
    </row>
    <row r="5" spans="1:8" ht="14.25">
      <c r="A5" s="5">
        <v>0</v>
      </c>
      <c r="B5" s="5">
        <v>-2000</v>
      </c>
      <c r="C5" s="137">
        <v>8</v>
      </c>
      <c r="D5" s="46">
        <f aca="true" t="shared" si="0" ref="D5:D13">FV($B$2,C5,,B5)</f>
        <v>4951.926352589622</v>
      </c>
      <c r="E5" s="137">
        <v>0</v>
      </c>
      <c r="F5" s="46">
        <f aca="true" t="shared" si="1" ref="F5:F13">PV($B$2,E5,,B5)</f>
        <v>2000</v>
      </c>
      <c r="G5" s="46">
        <f aca="true" t="shared" si="2" ref="G5:G13">-B5</f>
        <v>2000</v>
      </c>
      <c r="H5" s="5"/>
    </row>
    <row r="6" spans="1:8" ht="14.25">
      <c r="A6" s="5">
        <v>1</v>
      </c>
      <c r="B6" s="5"/>
      <c r="C6" s="5">
        <v>7</v>
      </c>
      <c r="D6" s="46">
        <f t="shared" si="0"/>
        <v>0</v>
      </c>
      <c r="E6" s="5">
        <v>1</v>
      </c>
      <c r="F6" s="46">
        <f t="shared" si="1"/>
        <v>0</v>
      </c>
      <c r="G6" s="46">
        <f t="shared" si="2"/>
        <v>0</v>
      </c>
      <c r="H6" s="5"/>
    </row>
    <row r="7" spans="1:8" ht="14.25">
      <c r="A7" s="5">
        <v>2</v>
      </c>
      <c r="B7" s="5">
        <v>-2000</v>
      </c>
      <c r="C7" s="137">
        <v>6</v>
      </c>
      <c r="D7" s="46">
        <f t="shared" si="0"/>
        <v>3947.6453703680017</v>
      </c>
      <c r="E7" s="137">
        <v>2</v>
      </c>
      <c r="F7" s="46">
        <f t="shared" si="1"/>
        <v>1594.3877551020405</v>
      </c>
      <c r="G7" s="46">
        <f t="shared" si="2"/>
        <v>2000</v>
      </c>
      <c r="H7" s="5"/>
    </row>
    <row r="8" spans="1:8" ht="14.25">
      <c r="A8" s="5">
        <v>3</v>
      </c>
      <c r="B8" s="5">
        <v>1000</v>
      </c>
      <c r="C8" s="5">
        <v>5</v>
      </c>
      <c r="D8" s="46">
        <f t="shared" si="0"/>
        <v>-1762.3416832000005</v>
      </c>
      <c r="E8" s="5">
        <v>3</v>
      </c>
      <c r="F8" s="46">
        <f t="shared" si="1"/>
        <v>-711.7802478134108</v>
      </c>
      <c r="G8" s="46">
        <f t="shared" si="2"/>
        <v>-1000</v>
      </c>
      <c r="H8" s="5"/>
    </row>
    <row r="9" spans="1:8" ht="14.25">
      <c r="A9" s="5">
        <v>4</v>
      </c>
      <c r="B9" s="5">
        <v>1000</v>
      </c>
      <c r="C9" s="137">
        <v>4</v>
      </c>
      <c r="D9" s="46">
        <f t="shared" si="0"/>
        <v>-1573.5193600000005</v>
      </c>
      <c r="E9" s="137">
        <v>4</v>
      </c>
      <c r="F9" s="46">
        <f t="shared" si="1"/>
        <v>-635.5180784048312</v>
      </c>
      <c r="G9" s="46">
        <f t="shared" si="2"/>
        <v>-1000</v>
      </c>
      <c r="H9" s="5"/>
    </row>
    <row r="10" spans="1:8" ht="14.25">
      <c r="A10" s="5">
        <v>5</v>
      </c>
      <c r="B10" s="5">
        <v>-2000</v>
      </c>
      <c r="C10" s="5">
        <v>3</v>
      </c>
      <c r="D10" s="46">
        <f t="shared" si="0"/>
        <v>2809.8560000000007</v>
      </c>
      <c r="E10" s="5">
        <v>5</v>
      </c>
      <c r="F10" s="46">
        <f t="shared" si="1"/>
        <v>1134.8537114371984</v>
      </c>
      <c r="G10" s="46">
        <f t="shared" si="2"/>
        <v>2000</v>
      </c>
      <c r="H10" s="5"/>
    </row>
    <row r="11" spans="1:8" ht="14.25">
      <c r="A11" s="5">
        <v>6</v>
      </c>
      <c r="B11" s="5"/>
      <c r="C11" s="137">
        <v>2</v>
      </c>
      <c r="D11" s="46">
        <f t="shared" si="0"/>
        <v>0</v>
      </c>
      <c r="E11" s="137">
        <v>6</v>
      </c>
      <c r="F11" s="46">
        <f t="shared" si="1"/>
        <v>0</v>
      </c>
      <c r="G11" s="46">
        <f t="shared" si="2"/>
        <v>0</v>
      </c>
      <c r="H11" s="5"/>
    </row>
    <row r="12" spans="1:8" ht="14.25">
      <c r="A12" s="5">
        <v>7</v>
      </c>
      <c r="B12" s="5">
        <v>5000</v>
      </c>
      <c r="C12" s="5">
        <v>1</v>
      </c>
      <c r="D12" s="46">
        <f t="shared" si="0"/>
        <v>-5600.000000000001</v>
      </c>
      <c r="E12" s="5">
        <v>7</v>
      </c>
      <c r="F12" s="46">
        <f t="shared" si="1"/>
        <v>-2261.7460766844674</v>
      </c>
      <c r="G12" s="46">
        <f t="shared" si="2"/>
        <v>-5000</v>
      </c>
      <c r="H12" s="5"/>
    </row>
    <row r="13" spans="1:8" ht="15" thickBot="1">
      <c r="A13" s="135">
        <v>8</v>
      </c>
      <c r="B13" s="135"/>
      <c r="C13" s="138">
        <v>0</v>
      </c>
      <c r="D13" s="46">
        <f t="shared" si="0"/>
        <v>0</v>
      </c>
      <c r="E13" s="138">
        <v>8</v>
      </c>
      <c r="F13" s="46">
        <f t="shared" si="1"/>
        <v>0</v>
      </c>
      <c r="G13" s="46">
        <f t="shared" si="2"/>
        <v>0</v>
      </c>
      <c r="H13" s="139"/>
    </row>
    <row r="14" spans="1:8" ht="15" thickBot="1">
      <c r="A14" s="40" t="s">
        <v>186</v>
      </c>
      <c r="B14" s="40"/>
      <c r="C14" s="40"/>
      <c r="D14" s="74">
        <f>SUM(D5:D13)</f>
        <v>2773.5666797576223</v>
      </c>
      <c r="E14" s="40"/>
      <c r="F14" s="74">
        <f>SUM(F5:F13)</f>
        <v>1120.1970636365295</v>
      </c>
      <c r="G14" s="74"/>
      <c r="H14" s="46">
        <f>NPV(B2,G6:G14)+G5</f>
        <v>1120.19706363653</v>
      </c>
    </row>
    <row r="15" ht="15" thickTop="1"/>
    <row r="16" ht="14.25">
      <c r="F16" t="s">
        <v>191</v>
      </c>
    </row>
    <row r="17" ht="14.25">
      <c r="F17">
        <f>D14/(1+B2)^C5</f>
        <v>1120.1970636365297</v>
      </c>
    </row>
  </sheetData>
  <sheetProtection/>
  <printOptions/>
  <pageMargins left="0.7" right="0.7" top="0.75" bottom="0.75" header="0.3" footer="0.3"/>
  <pageSetup orientation="portrait" paperSize="9"/>
</worksheet>
</file>

<file path=xl/worksheets/sheet55.xml><?xml version="1.0" encoding="utf-8"?>
<worksheet xmlns="http://schemas.openxmlformats.org/spreadsheetml/2006/main" xmlns:r="http://schemas.openxmlformats.org/officeDocument/2006/relationships">
  <sheetPr>
    <tabColor theme="1"/>
  </sheetPr>
  <dimension ref="A1:A1"/>
  <sheetViews>
    <sheetView zoomScalePageLayoutView="0" workbookViewId="0" topLeftCell="A1">
      <selection activeCell="B15" sqref="B15"/>
    </sheetView>
  </sheetViews>
  <sheetFormatPr defaultColWidth="9.140625" defaultRowHeight="15"/>
  <sheetData/>
  <sheetProtection/>
  <printOptions/>
  <pageMargins left="0.7" right="0.7" top="0.75" bottom="0.75" header="0.3" footer="0.3"/>
  <pageSetup orientation="portrait" paperSize="9"/>
</worksheet>
</file>

<file path=xl/worksheets/sheet56.xml><?xml version="1.0" encoding="utf-8"?>
<worksheet xmlns="http://schemas.openxmlformats.org/spreadsheetml/2006/main" xmlns:r="http://schemas.openxmlformats.org/officeDocument/2006/relationships">
  <sheetPr>
    <tabColor theme="3"/>
  </sheetPr>
  <dimension ref="A1:L12"/>
  <sheetViews>
    <sheetView zoomScalePageLayoutView="0" workbookViewId="0" topLeftCell="A1">
      <selection activeCell="D5" sqref="D5"/>
    </sheetView>
  </sheetViews>
  <sheetFormatPr defaultColWidth="9.140625" defaultRowHeight="15"/>
  <cols>
    <col min="1" max="1" width="22.8515625" style="0" bestFit="1" customWidth="1"/>
    <col min="2" max="2" width="12.7109375" style="0" bestFit="1" customWidth="1"/>
    <col min="3" max="3" width="5.421875" style="0" bestFit="1" customWidth="1"/>
    <col min="4" max="4" width="18.140625" style="0" bestFit="1" customWidth="1"/>
    <col min="5" max="5" width="13.57421875" style="0" bestFit="1" customWidth="1"/>
    <col min="12" max="12" width="11.7109375" style="0" bestFit="1" customWidth="1"/>
  </cols>
  <sheetData>
    <row r="1" spans="1:5" ht="14.25">
      <c r="A1" s="132">
        <v>5.1</v>
      </c>
      <c r="B1" s="132"/>
      <c r="C1" s="132"/>
      <c r="D1" s="132"/>
      <c r="E1" s="132"/>
    </row>
    <row r="2" spans="1:2" ht="14.25">
      <c r="A2" s="11" t="s">
        <v>174</v>
      </c>
      <c r="B2" s="11">
        <v>0.1</v>
      </c>
    </row>
    <row r="3" spans="1:2" ht="14.25">
      <c r="A3" s="5" t="s">
        <v>169</v>
      </c>
      <c r="B3" s="87">
        <f>SUM(B5:B8)</f>
        <v>10000000</v>
      </c>
    </row>
    <row r="4" spans="2:12" ht="14.25">
      <c r="B4" s="128"/>
      <c r="C4" s="86" t="s">
        <v>65</v>
      </c>
      <c r="D4" s="86" t="s">
        <v>175</v>
      </c>
      <c r="E4" s="86" t="s">
        <v>176</v>
      </c>
      <c r="L4" s="5" t="s">
        <v>59</v>
      </c>
    </row>
    <row r="5" spans="1:12" ht="14.25">
      <c r="A5" s="5" t="s">
        <v>170</v>
      </c>
      <c r="B5" s="87">
        <v>1000000</v>
      </c>
      <c r="C5" s="5">
        <v>0</v>
      </c>
      <c r="D5" s="46"/>
      <c r="E5" s="5"/>
      <c r="L5" s="87">
        <f>B5/((1+$B$2)^C5)</f>
        <v>1000000</v>
      </c>
    </row>
    <row r="6" spans="1:12" ht="14.25">
      <c r="A6" s="5" t="s">
        <v>171</v>
      </c>
      <c r="B6" s="87">
        <v>2000000</v>
      </c>
      <c r="C6" s="5">
        <v>1</v>
      </c>
      <c r="D6" s="46"/>
      <c r="E6" s="5"/>
      <c r="L6" s="87">
        <f>B6/((1+$B$2)^C6)</f>
        <v>1818181.8181818181</v>
      </c>
    </row>
    <row r="7" spans="1:12" ht="14.25">
      <c r="A7" s="5" t="s">
        <v>172</v>
      </c>
      <c r="B7" s="87">
        <v>3000000</v>
      </c>
      <c r="C7" s="5">
        <v>2</v>
      </c>
      <c r="D7" s="46"/>
      <c r="E7" s="5"/>
      <c r="L7" s="87">
        <f>B7/((1+$B$2)^C7)</f>
        <v>2479338.842975206</v>
      </c>
    </row>
    <row r="8" spans="1:12" ht="14.25">
      <c r="A8" s="5" t="s">
        <v>173</v>
      </c>
      <c r="B8" s="87">
        <v>4000000</v>
      </c>
      <c r="C8" s="5">
        <v>3</v>
      </c>
      <c r="D8" s="46"/>
      <c r="E8" s="5"/>
      <c r="L8" s="87">
        <f>B8/((1+$B$2)^C8)</f>
        <v>3005259.2036063103</v>
      </c>
    </row>
    <row r="9" spans="1:12" ht="42.75">
      <c r="A9" s="5"/>
      <c r="B9" s="5"/>
      <c r="C9" s="5"/>
      <c r="D9" s="46"/>
      <c r="E9" s="46"/>
      <c r="F9" s="131" t="s">
        <v>178</v>
      </c>
      <c r="G9" s="129"/>
      <c r="H9" s="129"/>
      <c r="I9" s="129"/>
      <c r="J9" s="129"/>
      <c r="L9" s="87">
        <f>SUM(L5:L8)</f>
        <v>8302779.864763335</v>
      </c>
    </row>
    <row r="11" spans="1:6" ht="14.25">
      <c r="A11" s="5" t="s">
        <v>54</v>
      </c>
      <c r="B11" s="48"/>
      <c r="C11" s="49"/>
      <c r="D11" s="49"/>
      <c r="E11" s="49"/>
      <c r="F11" s="50"/>
    </row>
    <row r="12" spans="1:6" ht="14.25">
      <c r="A12" s="5"/>
      <c r="B12" s="48"/>
      <c r="C12" s="49"/>
      <c r="D12" s="49"/>
      <c r="E12" s="49"/>
      <c r="F12" s="50"/>
    </row>
  </sheetData>
  <sheetProtection/>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sheetPr>
    <tabColor theme="3"/>
  </sheetPr>
  <dimension ref="A1:Q15"/>
  <sheetViews>
    <sheetView zoomScale="85" zoomScaleNormal="85" zoomScalePageLayoutView="0" workbookViewId="0" topLeftCell="A1">
      <selection activeCell="D5" sqref="D5"/>
    </sheetView>
  </sheetViews>
  <sheetFormatPr defaultColWidth="9.140625" defaultRowHeight="15"/>
  <cols>
    <col min="1" max="1" width="14.7109375" style="0" bestFit="1" customWidth="1"/>
    <col min="2" max="2" width="9.8515625" style="0" bestFit="1" customWidth="1"/>
    <col min="3" max="5" width="15.00390625" style="0" customWidth="1"/>
    <col min="6" max="7" width="12.28125" style="0" customWidth="1"/>
    <col min="8" max="8" width="10.57421875" style="0" bestFit="1" customWidth="1"/>
    <col min="9" max="9" width="13.7109375" style="0" bestFit="1" customWidth="1"/>
    <col min="10" max="11" width="9.8515625" style="0" bestFit="1" customWidth="1"/>
    <col min="13" max="13" width="12.140625" style="0" bestFit="1" customWidth="1"/>
    <col min="14" max="17" width="15.00390625" style="0" customWidth="1"/>
  </cols>
  <sheetData>
    <row r="1" spans="1:7" ht="14.25">
      <c r="A1" s="132">
        <v>5.2</v>
      </c>
      <c r="B1" s="132"/>
      <c r="C1" s="132"/>
      <c r="D1" s="132"/>
      <c r="E1" s="132"/>
      <c r="F1" s="132"/>
      <c r="G1" s="133"/>
    </row>
    <row r="2" spans="1:17" ht="42.75">
      <c r="A2" s="136" t="s">
        <v>179</v>
      </c>
      <c r="B2" s="135">
        <v>0.09</v>
      </c>
      <c r="C2" s="30"/>
      <c r="D2" s="30"/>
      <c r="E2" s="30"/>
      <c r="I2" s="30"/>
      <c r="J2" s="30"/>
      <c r="K2" s="30"/>
      <c r="L2" s="30"/>
      <c r="M2" s="30"/>
      <c r="N2" s="30"/>
      <c r="O2" s="30"/>
      <c r="P2" s="30"/>
      <c r="Q2" s="30"/>
    </row>
    <row r="3" spans="1:17" ht="14.25">
      <c r="A3" s="5"/>
      <c r="B3" s="5"/>
      <c r="C3" s="5"/>
      <c r="D3" s="5"/>
      <c r="E3" s="5"/>
      <c r="F3" s="5" t="s">
        <v>184</v>
      </c>
      <c r="G3" s="5"/>
      <c r="H3" s="5" t="s">
        <v>185</v>
      </c>
      <c r="I3" s="5"/>
      <c r="J3" s="5"/>
      <c r="K3" s="5"/>
      <c r="L3" s="5"/>
      <c r="M3" s="5"/>
      <c r="N3" s="5"/>
      <c r="O3" s="5"/>
      <c r="P3" s="5"/>
      <c r="Q3" s="5"/>
    </row>
    <row r="4" spans="1:17" s="2" customFormat="1" ht="28.5">
      <c r="A4" s="4" t="s">
        <v>65</v>
      </c>
      <c r="B4" s="4" t="s">
        <v>66</v>
      </c>
      <c r="C4" s="4" t="s">
        <v>182</v>
      </c>
      <c r="D4" s="136" t="s">
        <v>29</v>
      </c>
      <c r="E4" s="4" t="s">
        <v>182</v>
      </c>
      <c r="F4" s="136" t="s">
        <v>30</v>
      </c>
      <c r="G4" s="136" t="s">
        <v>183</v>
      </c>
      <c r="H4" s="4" t="s">
        <v>123</v>
      </c>
      <c r="I4" s="4" t="s">
        <v>180</v>
      </c>
      <c r="J4" s="4"/>
      <c r="K4" s="4"/>
      <c r="L4" s="4"/>
      <c r="M4" s="4"/>
      <c r="N4" s="4"/>
      <c r="O4" s="4"/>
      <c r="P4" s="4"/>
      <c r="Q4" s="4"/>
    </row>
    <row r="5" spans="1:17" ht="14.25">
      <c r="A5" s="5">
        <v>0</v>
      </c>
      <c r="B5" s="5">
        <v>-1000</v>
      </c>
      <c r="C5" s="137">
        <v>8</v>
      </c>
      <c r="D5" s="46"/>
      <c r="E5" s="137">
        <v>0</v>
      </c>
      <c r="F5" s="46"/>
      <c r="G5" s="46">
        <f aca="true" t="shared" si="0" ref="G5:G13">-B5</f>
        <v>1000</v>
      </c>
      <c r="H5" s="5"/>
      <c r="I5" s="5">
        <v>3</v>
      </c>
      <c r="J5" s="86"/>
      <c r="K5" s="60"/>
      <c r="L5" s="60"/>
      <c r="M5" s="60"/>
      <c r="N5" s="60"/>
      <c r="O5" s="60"/>
      <c r="P5" s="60"/>
      <c r="Q5" s="60"/>
    </row>
    <row r="6" spans="1:17" ht="14.25">
      <c r="A6" s="5">
        <v>1</v>
      </c>
      <c r="B6" s="5"/>
      <c r="C6" s="5">
        <v>7</v>
      </c>
      <c r="D6" s="46"/>
      <c r="E6" s="5">
        <v>1</v>
      </c>
      <c r="F6" s="46"/>
      <c r="G6" s="46">
        <f t="shared" si="0"/>
        <v>0</v>
      </c>
      <c r="H6" s="5"/>
      <c r="I6" s="5"/>
      <c r="J6" s="86"/>
      <c r="K6" s="5"/>
      <c r="L6" s="5"/>
      <c r="M6" s="5"/>
      <c r="N6" s="5"/>
      <c r="O6" s="5"/>
      <c r="P6" s="5"/>
      <c r="Q6" s="5"/>
    </row>
    <row r="7" spans="1:17" ht="14.25">
      <c r="A7" s="5">
        <v>2</v>
      </c>
      <c r="B7" s="5">
        <v>-2000</v>
      </c>
      <c r="C7" s="137">
        <v>6</v>
      </c>
      <c r="D7" s="46"/>
      <c r="E7" s="137">
        <v>2</v>
      </c>
      <c r="F7" s="46"/>
      <c r="G7" s="46">
        <f t="shared" si="0"/>
        <v>2000</v>
      </c>
      <c r="H7" s="5"/>
      <c r="I7" s="5">
        <v>1</v>
      </c>
      <c r="J7" s="86"/>
      <c r="K7" s="134"/>
      <c r="L7" s="60" t="s">
        <v>181</v>
      </c>
      <c r="M7" s="60"/>
      <c r="N7" s="60"/>
      <c r="O7" s="60"/>
      <c r="P7" s="60"/>
      <c r="Q7" s="60"/>
    </row>
    <row r="8" spans="1:17" ht="14.25">
      <c r="A8" s="5">
        <v>3</v>
      </c>
      <c r="B8" s="5">
        <v>3000</v>
      </c>
      <c r="C8" s="5">
        <v>5</v>
      </c>
      <c r="D8" s="46"/>
      <c r="E8" s="5">
        <v>3</v>
      </c>
      <c r="F8" s="46"/>
      <c r="G8" s="46">
        <f t="shared" si="0"/>
        <v>-3000</v>
      </c>
      <c r="H8" s="5"/>
      <c r="I8" s="5">
        <v>2</v>
      </c>
      <c r="J8" s="134">
        <f>FV($B$2,I5,,B5)</f>
        <v>1295.0290000000002</v>
      </c>
      <c r="K8" s="134">
        <f>FV($B$2,I7,,B7)</f>
        <v>2180</v>
      </c>
      <c r="L8" s="60">
        <f>-(J8+K8-B8)</f>
        <v>-475.02900000000045</v>
      </c>
      <c r="M8" s="134"/>
      <c r="N8" s="60"/>
      <c r="O8" s="60"/>
      <c r="P8" s="60"/>
      <c r="Q8" s="60"/>
    </row>
    <row r="9" spans="1:17" ht="14.25">
      <c r="A9" s="5">
        <v>4</v>
      </c>
      <c r="B9" s="5"/>
      <c r="C9" s="137">
        <v>4</v>
      </c>
      <c r="D9" s="46"/>
      <c r="E9" s="137">
        <v>4</v>
      </c>
      <c r="F9" s="46"/>
      <c r="G9" s="46">
        <f t="shared" si="0"/>
        <v>0</v>
      </c>
      <c r="H9" s="5"/>
      <c r="I9" s="5"/>
      <c r="J9" s="5"/>
      <c r="K9" s="5"/>
      <c r="L9" s="5"/>
      <c r="M9" s="86"/>
      <c r="N9" s="60" t="s">
        <v>181</v>
      </c>
      <c r="O9" s="5"/>
      <c r="P9" s="5"/>
      <c r="Q9" s="5"/>
    </row>
    <row r="10" spans="1:17" ht="14.25">
      <c r="A10" s="5">
        <v>5</v>
      </c>
      <c r="B10" s="5">
        <v>-8000</v>
      </c>
      <c r="C10" s="5">
        <v>3</v>
      </c>
      <c r="D10" s="46"/>
      <c r="E10" s="5">
        <v>5</v>
      </c>
      <c r="F10" s="46"/>
      <c r="G10" s="46">
        <f t="shared" si="0"/>
        <v>8000</v>
      </c>
      <c r="H10" s="5"/>
      <c r="I10" s="5">
        <v>2</v>
      </c>
      <c r="J10" s="5"/>
      <c r="K10" s="5"/>
      <c r="L10" s="5"/>
      <c r="M10" s="134">
        <f>FV($B$2,I8,,L8)</f>
        <v>564.3819549000007</v>
      </c>
      <c r="N10" s="60">
        <f>B10-M10</f>
        <v>-8564.3819549</v>
      </c>
      <c r="O10" s="134"/>
      <c r="P10" s="60"/>
      <c r="Q10" s="60"/>
    </row>
    <row r="11" spans="1:17" ht="14.25">
      <c r="A11" s="5">
        <v>6</v>
      </c>
      <c r="B11" s="5"/>
      <c r="C11" s="137">
        <v>2</v>
      </c>
      <c r="D11" s="46"/>
      <c r="E11" s="137">
        <v>6</v>
      </c>
      <c r="F11" s="46"/>
      <c r="G11" s="46">
        <f t="shared" si="0"/>
        <v>0</v>
      </c>
      <c r="H11" s="5"/>
      <c r="I11" s="5"/>
      <c r="J11" s="5"/>
      <c r="K11" s="5"/>
      <c r="L11" s="5"/>
      <c r="M11" s="5"/>
      <c r="N11" s="5"/>
      <c r="O11" s="86"/>
      <c r="P11" s="60" t="s">
        <v>181</v>
      </c>
      <c r="Q11" s="5"/>
    </row>
    <row r="12" spans="1:17" ht="14.25">
      <c r="A12" s="5">
        <v>7</v>
      </c>
      <c r="B12" s="5">
        <v>5000</v>
      </c>
      <c r="C12" s="5">
        <v>1</v>
      </c>
      <c r="D12" s="46"/>
      <c r="E12" s="5">
        <v>7</v>
      </c>
      <c r="F12" s="46"/>
      <c r="G12" s="46">
        <f t="shared" si="0"/>
        <v>-5000</v>
      </c>
      <c r="H12" s="5"/>
      <c r="I12" s="5">
        <v>1</v>
      </c>
      <c r="J12" s="5"/>
      <c r="K12" s="5"/>
      <c r="L12" s="5"/>
      <c r="M12" s="5"/>
      <c r="N12" s="5"/>
      <c r="O12" s="134">
        <f>FV($B$2,I10,,N10)</f>
        <v>10175.342200616691</v>
      </c>
      <c r="P12" s="60">
        <f>-O12+B12</f>
        <v>-5175.342200616691</v>
      </c>
      <c r="Q12" s="86"/>
    </row>
    <row r="13" spans="1:17" ht="15" thickBot="1">
      <c r="A13" s="135">
        <v>8</v>
      </c>
      <c r="B13" s="135"/>
      <c r="C13" s="138">
        <v>0</v>
      </c>
      <c r="D13" s="46"/>
      <c r="E13" s="138">
        <v>8</v>
      </c>
      <c r="F13" s="46"/>
      <c r="G13" s="46">
        <f t="shared" si="0"/>
        <v>0</v>
      </c>
      <c r="H13" s="139"/>
      <c r="I13" s="5"/>
      <c r="J13" s="5"/>
      <c r="K13" s="5"/>
      <c r="L13" s="5"/>
      <c r="M13" s="5"/>
      <c r="N13" s="5"/>
      <c r="O13" s="5"/>
      <c r="P13" s="5"/>
      <c r="Q13" s="134">
        <f>FV(B2,I12,,P12)</f>
        <v>5641.122998672194</v>
      </c>
    </row>
    <row r="14" spans="1:17" ht="15" thickBot="1">
      <c r="A14" s="40" t="s">
        <v>186</v>
      </c>
      <c r="B14" s="40"/>
      <c r="C14" s="40"/>
      <c r="D14" s="74">
        <f>SUM(D5:D13)</f>
        <v>0</v>
      </c>
      <c r="E14" s="40"/>
      <c r="F14" s="74">
        <f>SUM(F5:F13)</f>
        <v>0</v>
      </c>
      <c r="G14" s="74"/>
      <c r="H14" s="46"/>
      <c r="I14" s="5"/>
      <c r="J14" s="5"/>
      <c r="K14" s="5"/>
      <c r="L14" s="5"/>
      <c r="M14" s="5"/>
      <c r="N14" s="5"/>
      <c r="O14" s="5"/>
      <c r="P14" s="5"/>
      <c r="Q14" s="5"/>
    </row>
    <row r="15" ht="15" thickTop="1">
      <c r="H15" s="52"/>
    </row>
  </sheetData>
  <sheetProtection/>
  <printOptions/>
  <pageMargins left="0.7" right="0.7" top="0.75" bottom="0.75" header="0.3" footer="0.3"/>
  <pageSetup orientation="portrait" paperSize="9"/>
</worksheet>
</file>

<file path=xl/worksheets/sheet58.xml><?xml version="1.0" encoding="utf-8"?>
<worksheet xmlns="http://schemas.openxmlformats.org/spreadsheetml/2006/main" xmlns:r="http://schemas.openxmlformats.org/officeDocument/2006/relationships">
  <sheetPr>
    <tabColor theme="3"/>
  </sheetPr>
  <dimension ref="A1:D7"/>
  <sheetViews>
    <sheetView zoomScalePageLayoutView="0" workbookViewId="0" topLeftCell="A1">
      <selection activeCell="B6" sqref="B6"/>
    </sheetView>
  </sheetViews>
  <sheetFormatPr defaultColWidth="9.140625" defaultRowHeight="15"/>
  <cols>
    <col min="1" max="1" width="39.421875" style="2" customWidth="1"/>
    <col min="2" max="2" width="11.57421875" style="0" bestFit="1" customWidth="1"/>
    <col min="3" max="4" width="20.57421875" style="0" customWidth="1"/>
  </cols>
  <sheetData>
    <row r="1" spans="1:2" ht="28.5">
      <c r="A1" s="4" t="s">
        <v>275</v>
      </c>
      <c r="B1" s="87">
        <v>12000</v>
      </c>
    </row>
    <row r="2" spans="1:2" ht="14.25">
      <c r="A2" s="4" t="s">
        <v>195</v>
      </c>
      <c r="B2" s="137">
        <v>0</v>
      </c>
    </row>
    <row r="3" spans="1:2" ht="14.25">
      <c r="A3" s="4" t="s">
        <v>35</v>
      </c>
      <c r="B3" s="5">
        <v>10</v>
      </c>
    </row>
    <row r="4" spans="1:2" ht="14.25">
      <c r="A4" s="4" t="s">
        <v>194</v>
      </c>
      <c r="B4" s="5">
        <v>0.15</v>
      </c>
    </row>
    <row r="5" spans="1:2" ht="14.25">
      <c r="A5" s="4" t="s">
        <v>4</v>
      </c>
      <c r="B5" s="5">
        <v>1</v>
      </c>
    </row>
    <row r="6" spans="1:2" ht="28.5">
      <c r="A6" s="4" t="s">
        <v>196</v>
      </c>
      <c r="B6" s="46"/>
    </row>
    <row r="7" spans="1:4" ht="14.25">
      <c r="A7" s="4" t="s">
        <v>54</v>
      </c>
      <c r="B7" s="8"/>
      <c r="C7" s="49"/>
      <c r="D7" s="50"/>
    </row>
  </sheetData>
  <sheetProtection/>
  <printOptions/>
  <pageMargins left="0.7" right="0.7" top="0.75" bottom="0.75" header="0.3" footer="0.3"/>
  <pageSetup orientation="portrait" paperSize="9"/>
</worksheet>
</file>

<file path=xl/worksheets/sheet59.xml><?xml version="1.0" encoding="utf-8"?>
<worksheet xmlns="http://schemas.openxmlformats.org/spreadsheetml/2006/main" xmlns:r="http://schemas.openxmlformats.org/officeDocument/2006/relationships">
  <sheetPr>
    <tabColor theme="3"/>
  </sheetPr>
  <dimension ref="A1:B4"/>
  <sheetViews>
    <sheetView zoomScale="175" zoomScaleNormal="175" zoomScalePageLayoutView="0" workbookViewId="0" topLeftCell="A1">
      <selection activeCell="B3" sqref="B3"/>
    </sheetView>
  </sheetViews>
  <sheetFormatPr defaultColWidth="9.140625" defaultRowHeight="15"/>
  <sheetData>
    <row r="1" spans="1:2" ht="14.25">
      <c r="A1" s="5" t="s">
        <v>7</v>
      </c>
      <c r="B1" s="5">
        <v>0.09</v>
      </c>
    </row>
    <row r="2" spans="1:2" ht="14.25">
      <c r="A2" s="5" t="s">
        <v>4</v>
      </c>
      <c r="B2" s="5">
        <v>12</v>
      </c>
    </row>
    <row r="3" spans="1:2" ht="14.25">
      <c r="A3" s="5" t="s">
        <v>28</v>
      </c>
      <c r="B3" s="1"/>
    </row>
    <row r="4" spans="1:2" ht="14.25">
      <c r="A4" s="5" t="s">
        <v>28</v>
      </c>
      <c r="B4" s="1"/>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0000"/>
  </sheetPr>
  <dimension ref="A1:G20"/>
  <sheetViews>
    <sheetView zoomScalePageLayoutView="0" workbookViewId="0" topLeftCell="A1">
      <selection activeCell="B15" sqref="B15"/>
    </sheetView>
  </sheetViews>
  <sheetFormatPr defaultColWidth="9.140625" defaultRowHeight="15"/>
  <cols>
    <col min="1" max="1" width="27.28125" style="0" bestFit="1" customWidth="1"/>
    <col min="2" max="2" width="38.57421875" style="0" bestFit="1" customWidth="1"/>
  </cols>
  <sheetData>
    <row r="1" spans="1:7" ht="14.25">
      <c r="A1" s="6" t="s">
        <v>22</v>
      </c>
      <c r="B1" s="6"/>
      <c r="C1" s="6"/>
      <c r="D1" s="6"/>
      <c r="E1" s="6"/>
      <c r="F1" s="6"/>
      <c r="G1" s="6"/>
    </row>
    <row r="2" spans="1:7" ht="14.25">
      <c r="A2" s="6" t="str">
        <f>"Allow you to write a check that has a date "&amp;B4&amp;" days in the future for "&amp;DOLLAR(B5,0)&amp;" and will give you "&amp;DOLLAR(B6,0)&amp;" today (they cash check in "&amp;B4&amp;" days)."</f>
        <v>Allow you to write a check that has a date 25 days in the future for $250 and will give you $200 today (they cash check in 25 days).</v>
      </c>
      <c r="B2" s="6"/>
      <c r="C2" s="6"/>
      <c r="D2" s="6"/>
      <c r="E2" s="6"/>
      <c r="F2" s="6"/>
      <c r="G2" s="6"/>
    </row>
    <row r="3" spans="1:7" ht="14.25">
      <c r="A3" s="19" t="s">
        <v>23</v>
      </c>
      <c r="B3" s="19"/>
      <c r="C3" s="6"/>
      <c r="D3" s="6"/>
      <c r="E3" s="6"/>
      <c r="F3" s="6"/>
      <c r="G3" s="6"/>
    </row>
    <row r="4" spans="1:2" ht="14.25">
      <c r="A4" s="5" t="s">
        <v>24</v>
      </c>
      <c r="B4" s="5">
        <v>25</v>
      </c>
    </row>
    <row r="5" spans="1:4" ht="14.25">
      <c r="A5" s="5" t="s">
        <v>25</v>
      </c>
      <c r="B5" s="5">
        <v>250</v>
      </c>
      <c r="D5" t="s">
        <v>29</v>
      </c>
    </row>
    <row r="6" spans="1:4" ht="14.25">
      <c r="A6" s="5" t="s">
        <v>26</v>
      </c>
      <c r="B6" s="5">
        <v>200</v>
      </c>
      <c r="D6" t="s">
        <v>30</v>
      </c>
    </row>
    <row r="7" spans="1:2" ht="14.25">
      <c r="A7" s="5" t="str">
        <f>B4&amp;" day rate is ="</f>
        <v>25 day rate is =</v>
      </c>
      <c r="B7" s="17">
        <f>(B5-B6)/B6</f>
        <v>0.25</v>
      </c>
    </row>
    <row r="8" spans="1:2" ht="14.25">
      <c r="A8" s="5" t="s">
        <v>27</v>
      </c>
      <c r="B8" s="125">
        <v>365</v>
      </c>
    </row>
    <row r="9" spans="1:2" ht="14.25">
      <c r="A9" s="5" t="str">
        <f>"# of "&amp;B4&amp;" day periods in 1 year ="</f>
        <v># of 25 day periods in 1 year =</v>
      </c>
      <c r="B9" s="17">
        <f>B8/B4</f>
        <v>14.6</v>
      </c>
    </row>
    <row r="10" spans="1:2" ht="14.25">
      <c r="A10" s="5" t="s">
        <v>7</v>
      </c>
      <c r="B10" s="17">
        <f>B9*B7</f>
        <v>3.65</v>
      </c>
    </row>
    <row r="11" spans="1:3" ht="14.25">
      <c r="A11" s="5" t="s">
        <v>28</v>
      </c>
      <c r="B11" s="17">
        <f>(1+B7)^B9-1</f>
        <v>24.994782613868573</v>
      </c>
      <c r="C11" t="s">
        <v>167</v>
      </c>
    </row>
    <row r="12" ht="14.25">
      <c r="B12" s="126"/>
    </row>
    <row r="13" spans="1:3" ht="14.25">
      <c r="A13" s="5" t="s">
        <v>28</v>
      </c>
      <c r="B13" s="17">
        <f>EFFECT(365/B4*(B5/B6-1),365/B4)</f>
        <v>24.62320414090792</v>
      </c>
      <c r="C13" t="s">
        <v>168</v>
      </c>
    </row>
    <row r="15" ht="25.5">
      <c r="A15" s="127" t="s">
        <v>166</v>
      </c>
    </row>
    <row r="16" spans="1:5" ht="17.25">
      <c r="A16" s="121" t="s">
        <v>162</v>
      </c>
      <c r="B16" s="122"/>
      <c r="C16" s="122"/>
      <c r="D16" s="122"/>
      <c r="E16" s="122"/>
    </row>
    <row r="17" ht="17.25">
      <c r="A17" s="120" t="s">
        <v>163</v>
      </c>
    </row>
    <row r="18" spans="1:5" ht="17.25">
      <c r="A18" s="123" t="s">
        <v>164</v>
      </c>
      <c r="B18" s="124"/>
      <c r="C18" s="124"/>
      <c r="D18" s="124"/>
      <c r="E18" s="124"/>
    </row>
    <row r="19" ht="16.5">
      <c r="A19" s="120" t="s">
        <v>165</v>
      </c>
    </row>
    <row r="20" ht="16.5">
      <c r="A20" s="120"/>
    </row>
  </sheetData>
  <sheetProtection/>
  <printOptions/>
  <pageMargins left="0.7" right="0.7" top="0.75" bottom="0.75" header="0.3" footer="0.3"/>
  <pageSetup horizontalDpi="600" verticalDpi="600" orientation="portrait" r:id="rId2"/>
  <drawing r:id="rId1"/>
</worksheet>
</file>

<file path=xl/worksheets/sheet60.xml><?xml version="1.0" encoding="utf-8"?>
<worksheet xmlns="http://schemas.openxmlformats.org/spreadsheetml/2006/main" xmlns:r="http://schemas.openxmlformats.org/officeDocument/2006/relationships">
  <sheetPr>
    <tabColor theme="3"/>
  </sheetPr>
  <dimension ref="A1:E16"/>
  <sheetViews>
    <sheetView zoomScalePageLayoutView="0" workbookViewId="0" topLeftCell="A1">
      <selection activeCell="B7" sqref="B7"/>
    </sheetView>
  </sheetViews>
  <sheetFormatPr defaultColWidth="9.140625" defaultRowHeight="15"/>
  <cols>
    <col min="1" max="1" width="17.421875" style="0" bestFit="1" customWidth="1"/>
    <col min="2" max="2" width="10.8515625" style="0" bestFit="1" customWidth="1"/>
    <col min="3" max="3" width="12.28125" style="0" bestFit="1" customWidth="1"/>
    <col min="4" max="4" width="13.140625" style="0" bestFit="1" customWidth="1"/>
    <col min="5" max="5" width="11.57421875" style="0" bestFit="1" customWidth="1"/>
  </cols>
  <sheetData>
    <row r="1" spans="1:2" ht="14.25">
      <c r="A1" s="141" t="s">
        <v>197</v>
      </c>
      <c r="B1" s="87">
        <v>10000</v>
      </c>
    </row>
    <row r="2" spans="1:2" ht="14.25">
      <c r="A2" s="141" t="s">
        <v>7</v>
      </c>
      <c r="B2" s="5">
        <v>0.14</v>
      </c>
    </row>
    <row r="3" spans="1:2" ht="14.25">
      <c r="A3" s="141" t="s">
        <v>35</v>
      </c>
      <c r="B3" s="5">
        <v>5</v>
      </c>
    </row>
    <row r="4" spans="1:2" ht="14.25">
      <c r="A4" s="141" t="s">
        <v>4</v>
      </c>
      <c r="B4" s="5">
        <v>1</v>
      </c>
    </row>
    <row r="5" spans="1:2" ht="14.25">
      <c r="A5" s="141" t="s">
        <v>70</v>
      </c>
      <c r="B5" s="5">
        <f>B2/B4</f>
        <v>0.14</v>
      </c>
    </row>
    <row r="6" spans="1:2" ht="14.25">
      <c r="A6" s="141" t="s">
        <v>198</v>
      </c>
      <c r="B6" s="5">
        <f>B4*B3</f>
        <v>5</v>
      </c>
    </row>
    <row r="7" spans="1:2" ht="14.25">
      <c r="A7" s="141" t="s">
        <v>32</v>
      </c>
      <c r="B7" s="143"/>
    </row>
    <row r="9" spans="1:5" ht="14.25">
      <c r="A9" s="141" t="s">
        <v>65</v>
      </c>
      <c r="B9" s="141" t="s">
        <v>154</v>
      </c>
      <c r="C9" s="141" t="s">
        <v>132</v>
      </c>
      <c r="D9" s="141" t="s">
        <v>133</v>
      </c>
      <c r="E9" s="141" t="s">
        <v>155</v>
      </c>
    </row>
    <row r="10" spans="1:5" ht="14.25">
      <c r="A10" s="5">
        <v>0</v>
      </c>
      <c r="B10" s="5"/>
      <c r="C10" s="5"/>
      <c r="D10" s="5"/>
      <c r="E10" s="144"/>
    </row>
    <row r="11" spans="1:5" ht="14.25">
      <c r="A11" s="5">
        <v>1</v>
      </c>
      <c r="B11" s="144"/>
      <c r="C11" s="144"/>
      <c r="D11" s="144"/>
      <c r="E11" s="144"/>
    </row>
    <row r="12" spans="1:5" ht="14.25">
      <c r="A12" s="5">
        <v>2</v>
      </c>
      <c r="B12" s="144"/>
      <c r="C12" s="144"/>
      <c r="D12" s="144"/>
      <c r="E12" s="144"/>
    </row>
    <row r="13" spans="1:5" ht="14.25">
      <c r="A13" s="5">
        <v>3</v>
      </c>
      <c r="B13" s="144"/>
      <c r="C13" s="144"/>
      <c r="D13" s="144"/>
      <c r="E13" s="144"/>
    </row>
    <row r="14" spans="1:5" ht="14.25">
      <c r="A14" s="5">
        <v>4</v>
      </c>
      <c r="B14" s="144"/>
      <c r="C14" s="144"/>
      <c r="D14" s="144"/>
      <c r="E14" s="144"/>
    </row>
    <row r="15" spans="1:5" ht="15" thickBot="1">
      <c r="A15" s="135">
        <v>5</v>
      </c>
      <c r="B15" s="145"/>
      <c r="C15" s="145"/>
      <c r="D15" s="145"/>
      <c r="E15" s="145"/>
    </row>
    <row r="16" spans="1:5" ht="15" thickBot="1">
      <c r="A16" s="142" t="s">
        <v>186</v>
      </c>
      <c r="B16" s="146"/>
      <c r="C16" s="146"/>
      <c r="D16" s="147"/>
      <c r="E16" s="142"/>
    </row>
    <row r="17" ht="15" thickTop="1"/>
  </sheetData>
  <sheetProtection/>
  <printOptions/>
  <pageMargins left="0.7" right="0.7" top="0.75" bottom="0.75" header="0.3" footer="0.3"/>
  <pageSetup orientation="portrait" paperSize="9"/>
</worksheet>
</file>

<file path=xl/worksheets/sheet61.xml><?xml version="1.0" encoding="utf-8"?>
<worksheet xmlns="http://schemas.openxmlformats.org/spreadsheetml/2006/main" xmlns:r="http://schemas.openxmlformats.org/officeDocument/2006/relationships">
  <sheetPr>
    <tabColor theme="3"/>
  </sheetPr>
  <dimension ref="A1:B12"/>
  <sheetViews>
    <sheetView zoomScale="130" zoomScaleNormal="130" zoomScalePageLayoutView="0" workbookViewId="0" topLeftCell="A1">
      <selection activeCell="B3" sqref="B3"/>
    </sheetView>
  </sheetViews>
  <sheetFormatPr defaultColWidth="9.140625" defaultRowHeight="15"/>
  <cols>
    <col min="1" max="1" width="21.421875" style="0" bestFit="1" customWidth="1"/>
    <col min="2" max="2" width="13.140625" style="0" bestFit="1" customWidth="1"/>
  </cols>
  <sheetData>
    <row r="1" spans="1:2" ht="14.25">
      <c r="A1" s="5" t="s">
        <v>202</v>
      </c>
      <c r="B1" s="87">
        <v>21000</v>
      </c>
    </row>
    <row r="2" spans="1:2" ht="14.25">
      <c r="A2" s="5" t="s">
        <v>204</v>
      </c>
      <c r="B2" s="87">
        <v>0.1</v>
      </c>
    </row>
    <row r="3" spans="1:2" ht="14.25">
      <c r="A3" s="5" t="s">
        <v>203</v>
      </c>
      <c r="B3" s="148"/>
    </row>
    <row r="4" spans="1:2" ht="14.25">
      <c r="A4" s="5" t="s">
        <v>199</v>
      </c>
      <c r="B4" s="148"/>
    </row>
    <row r="5" spans="1:2" ht="14.25">
      <c r="A5" s="5" t="s">
        <v>15</v>
      </c>
      <c r="B5" s="5">
        <v>0.15</v>
      </c>
    </row>
    <row r="6" spans="1:2" ht="14.25">
      <c r="A6" s="5" t="s">
        <v>92</v>
      </c>
      <c r="B6" s="5">
        <v>12</v>
      </c>
    </row>
    <row r="7" spans="1:2" ht="14.25">
      <c r="A7" s="5" t="s">
        <v>201</v>
      </c>
      <c r="B7" s="1"/>
    </row>
    <row r="8" spans="1:2" ht="14.25">
      <c r="A8" s="5" t="s">
        <v>200</v>
      </c>
      <c r="B8" s="5">
        <v>72</v>
      </c>
    </row>
    <row r="9" spans="1:2" ht="14.25">
      <c r="A9" s="5" t="s">
        <v>70</v>
      </c>
      <c r="B9" s="1"/>
    </row>
    <row r="10" spans="1:2" ht="14.25">
      <c r="A10" s="5" t="s">
        <v>32</v>
      </c>
      <c r="B10" s="46"/>
    </row>
    <row r="11" spans="1:2" ht="14.25">
      <c r="A11" s="5" t="s">
        <v>28</v>
      </c>
      <c r="B11" s="1"/>
    </row>
    <row r="12" spans="1:2" ht="14.25">
      <c r="A12" s="5" t="s">
        <v>28</v>
      </c>
      <c r="B12" s="1"/>
    </row>
  </sheetData>
  <sheetProtection/>
  <printOptions/>
  <pageMargins left="0.7" right="0.7" top="0.75" bottom="0.75" header="0.3" footer="0.3"/>
  <pageSetup orientation="portrait" paperSize="9"/>
</worksheet>
</file>

<file path=xl/worksheets/sheet62.xml><?xml version="1.0" encoding="utf-8"?>
<worksheet xmlns="http://schemas.openxmlformats.org/spreadsheetml/2006/main" xmlns:r="http://schemas.openxmlformats.org/officeDocument/2006/relationships">
  <sheetPr>
    <tabColor theme="3"/>
  </sheetPr>
  <dimension ref="A1:E8"/>
  <sheetViews>
    <sheetView zoomScale="130" zoomScaleNormal="130" zoomScalePageLayoutView="0" workbookViewId="0" topLeftCell="A1">
      <selection activeCell="B5" sqref="B5"/>
    </sheetView>
  </sheetViews>
  <sheetFormatPr defaultColWidth="9.140625" defaultRowHeight="15"/>
  <cols>
    <col min="1" max="1" width="12.8515625" style="0" bestFit="1" customWidth="1"/>
    <col min="2" max="2" width="11.8515625" style="0" bestFit="1" customWidth="1"/>
    <col min="4" max="4" width="12.8515625" style="0" bestFit="1" customWidth="1"/>
    <col min="5" max="5" width="11.8515625" style="0" bestFit="1" customWidth="1"/>
  </cols>
  <sheetData>
    <row r="1" spans="1:5" ht="14.25">
      <c r="A1" s="5" t="s">
        <v>32</v>
      </c>
      <c r="B1" s="5">
        <v>3000</v>
      </c>
      <c r="D1" s="5" t="s">
        <v>32</v>
      </c>
      <c r="E1" s="5">
        <v>3000</v>
      </c>
    </row>
    <row r="2" spans="1:5" ht="14.25">
      <c r="A2" s="5" t="s">
        <v>35</v>
      </c>
      <c r="B2" s="5">
        <v>20</v>
      </c>
      <c r="D2" s="5" t="s">
        <v>35</v>
      </c>
      <c r="E2" s="5">
        <v>40</v>
      </c>
    </row>
    <row r="3" spans="1:5" ht="14.25">
      <c r="A3" s="5" t="s">
        <v>7</v>
      </c>
      <c r="B3" s="9">
        <v>0.085</v>
      </c>
      <c r="D3" s="5" t="s">
        <v>7</v>
      </c>
      <c r="E3" s="9">
        <v>0.085</v>
      </c>
    </row>
    <row r="4" spans="1:5" ht="14.25">
      <c r="A4" s="5" t="s">
        <v>4</v>
      </c>
      <c r="B4" s="137">
        <v>1</v>
      </c>
      <c r="D4" s="5" t="s">
        <v>4</v>
      </c>
      <c r="E4" s="137">
        <v>1</v>
      </c>
    </row>
    <row r="5" spans="1:5" ht="14.25">
      <c r="A5" s="5" t="s">
        <v>34</v>
      </c>
      <c r="B5" s="148"/>
      <c r="D5" s="5" t="s">
        <v>34</v>
      </c>
      <c r="E5" s="148"/>
    </row>
    <row r="7" spans="1:5" ht="14.25">
      <c r="A7" s="5" t="s">
        <v>156</v>
      </c>
      <c r="B7" s="148"/>
      <c r="D7" s="5" t="s">
        <v>156</v>
      </c>
      <c r="E7" s="148"/>
    </row>
    <row r="8" spans="1:5" ht="14.25">
      <c r="A8" s="5" t="s">
        <v>157</v>
      </c>
      <c r="B8" s="148"/>
      <c r="D8" s="5" t="s">
        <v>157</v>
      </c>
      <c r="E8" s="148"/>
    </row>
  </sheetData>
  <sheetProtection/>
  <printOptions/>
  <pageMargins left="0.7" right="0.7" top="0.75" bottom="0.75" header="0.3" footer="0.3"/>
  <pageSetup orientation="portrait" paperSize="9"/>
</worksheet>
</file>

<file path=xl/worksheets/sheet63.xml><?xml version="1.0" encoding="utf-8"?>
<worksheet xmlns="http://schemas.openxmlformats.org/spreadsheetml/2006/main" xmlns:r="http://schemas.openxmlformats.org/officeDocument/2006/relationships">
  <sheetPr>
    <tabColor theme="3"/>
  </sheetPr>
  <dimension ref="A1:D5"/>
  <sheetViews>
    <sheetView zoomScale="205" zoomScaleNormal="205" zoomScalePageLayoutView="0" workbookViewId="0" topLeftCell="A1">
      <selection activeCell="D2" sqref="D2"/>
    </sheetView>
  </sheetViews>
  <sheetFormatPr defaultColWidth="9.140625" defaultRowHeight="15"/>
  <sheetData>
    <row r="1" spans="1:4" ht="14.25">
      <c r="A1" s="44" t="s">
        <v>206</v>
      </c>
      <c r="B1" s="44" t="s">
        <v>207</v>
      </c>
      <c r="C1" s="44" t="s">
        <v>205</v>
      </c>
      <c r="D1" s="44" t="s">
        <v>205</v>
      </c>
    </row>
    <row r="2" spans="1:4" ht="14.25">
      <c r="A2" s="149">
        <v>0.08</v>
      </c>
      <c r="B2" s="5">
        <v>4</v>
      </c>
      <c r="C2" s="150"/>
      <c r="D2" s="150"/>
    </row>
    <row r="3" spans="1:4" ht="14.25">
      <c r="A3" s="149">
        <v>0.1</v>
      </c>
      <c r="B3" s="5">
        <v>12</v>
      </c>
      <c r="C3" s="150"/>
      <c r="D3" s="150"/>
    </row>
    <row r="4" spans="1:4" ht="14.25">
      <c r="A4" s="149">
        <v>0.14</v>
      </c>
      <c r="B4" s="5">
        <v>365</v>
      </c>
      <c r="C4" s="150"/>
      <c r="D4" s="150"/>
    </row>
    <row r="5" spans="1:4" ht="14.25">
      <c r="A5" s="149">
        <v>0.18</v>
      </c>
      <c r="B5" s="5">
        <v>2</v>
      </c>
      <c r="C5" s="150"/>
      <c r="D5" s="150"/>
    </row>
  </sheetData>
  <sheetProtection/>
  <printOptions/>
  <pageMargins left="0.7" right="0.7" top="0.75" bottom="0.75" header="0.3" footer="0.3"/>
  <pageSetup orientation="portrait" paperSize="9"/>
</worksheet>
</file>

<file path=xl/worksheets/sheet64.xml><?xml version="1.0" encoding="utf-8"?>
<worksheet xmlns="http://schemas.openxmlformats.org/spreadsheetml/2006/main" xmlns:r="http://schemas.openxmlformats.org/officeDocument/2006/relationships">
  <sheetPr>
    <tabColor theme="3"/>
  </sheetPr>
  <dimension ref="A1:D5"/>
  <sheetViews>
    <sheetView zoomScale="220" zoomScaleNormal="220" zoomScalePageLayoutView="0" workbookViewId="0" topLeftCell="A1">
      <selection activeCell="B2" sqref="B2"/>
    </sheetView>
  </sheetViews>
  <sheetFormatPr defaultColWidth="9.140625" defaultRowHeight="15"/>
  <cols>
    <col min="1" max="1" width="11.140625" style="0" bestFit="1" customWidth="1"/>
    <col min="2" max="2" width="11.140625" style="0" customWidth="1"/>
  </cols>
  <sheetData>
    <row r="1" spans="1:4" ht="14.25">
      <c r="A1" s="44" t="s">
        <v>206</v>
      </c>
      <c r="B1" s="44" t="s">
        <v>206</v>
      </c>
      <c r="C1" s="44" t="s">
        <v>207</v>
      </c>
      <c r="D1" s="44" t="s">
        <v>205</v>
      </c>
    </row>
    <row r="2" spans="1:4" ht="14.25">
      <c r="A2" s="150"/>
      <c r="B2" s="150"/>
      <c r="C2" s="5">
        <v>2</v>
      </c>
      <c r="D2" s="149">
        <v>0.12</v>
      </c>
    </row>
    <row r="3" spans="1:4" ht="14.25">
      <c r="A3" s="150"/>
      <c r="B3" s="150"/>
      <c r="C3" s="5">
        <v>12</v>
      </c>
      <c r="D3" s="149">
        <v>0.18</v>
      </c>
    </row>
    <row r="4" spans="1:4" ht="14.25">
      <c r="A4" s="150"/>
      <c r="B4" s="150"/>
      <c r="C4" s="5">
        <v>52</v>
      </c>
      <c r="D4" s="149">
        <v>0.07</v>
      </c>
    </row>
    <row r="5" spans="1:4" ht="14.25">
      <c r="A5" s="150"/>
      <c r="B5" s="150"/>
      <c r="C5" s="5">
        <v>365</v>
      </c>
      <c r="D5" s="149">
        <v>0.11</v>
      </c>
    </row>
  </sheetData>
  <sheetProtection/>
  <printOptions/>
  <pageMargins left="0.7" right="0.7" top="0.75" bottom="0.75" header="0.3" footer="0.3"/>
  <pageSetup orientation="portrait" paperSize="9"/>
</worksheet>
</file>

<file path=xl/worksheets/sheet65.xml><?xml version="1.0" encoding="utf-8"?>
<worksheet xmlns="http://schemas.openxmlformats.org/spreadsheetml/2006/main" xmlns:r="http://schemas.openxmlformats.org/officeDocument/2006/relationships">
  <sheetPr>
    <tabColor theme="3"/>
  </sheetPr>
  <dimension ref="A1:C5"/>
  <sheetViews>
    <sheetView zoomScale="175" zoomScaleNormal="175" zoomScalePageLayoutView="0" workbookViewId="0" topLeftCell="A1">
      <selection activeCell="B4" sqref="B4"/>
    </sheetView>
  </sheetViews>
  <sheetFormatPr defaultColWidth="9.140625" defaultRowHeight="15"/>
  <cols>
    <col min="1" max="1" width="15.28125" style="0" bestFit="1" customWidth="1"/>
    <col min="3" max="3" width="11.00390625" style="0" bestFit="1" customWidth="1"/>
  </cols>
  <sheetData>
    <row r="1" spans="1:3" ht="14.25">
      <c r="A1" s="5" t="s">
        <v>274</v>
      </c>
      <c r="B1" s="5">
        <v>0.25</v>
      </c>
      <c r="C1" s="5"/>
    </row>
    <row r="2" spans="1:3" ht="14.25">
      <c r="A2" s="5" t="s">
        <v>4</v>
      </c>
      <c r="B2" s="5">
        <v>12</v>
      </c>
      <c r="C2" s="5"/>
    </row>
    <row r="3" spans="1:3" ht="14.25">
      <c r="A3" s="5" t="s">
        <v>7</v>
      </c>
      <c r="B3" s="5">
        <f>B2*B1</f>
        <v>3</v>
      </c>
      <c r="C3" s="5"/>
    </row>
    <row r="4" spans="1:3" ht="14.25">
      <c r="A4" s="5" t="s">
        <v>28</v>
      </c>
      <c r="B4" s="1"/>
      <c r="C4" s="151">
        <f>B4</f>
        <v>0</v>
      </c>
    </row>
    <row r="5" spans="1:3" ht="14.25">
      <c r="A5" s="5" t="s">
        <v>28</v>
      </c>
      <c r="B5" s="1"/>
      <c r="C5" s="151">
        <f>B5</f>
        <v>0</v>
      </c>
    </row>
  </sheetData>
  <sheetProtection/>
  <printOptions/>
  <pageMargins left="0.7" right="0.7" top="0.75" bottom="0.75" header="0.3" footer="0.3"/>
  <pageSetup orientation="portrait" paperSize="9"/>
</worksheet>
</file>

<file path=xl/worksheets/sheet66.xml><?xml version="1.0" encoding="utf-8"?>
<worksheet xmlns="http://schemas.openxmlformats.org/spreadsheetml/2006/main" xmlns:r="http://schemas.openxmlformats.org/officeDocument/2006/relationships">
  <sheetPr>
    <tabColor theme="3"/>
  </sheetPr>
  <dimension ref="A1:D9"/>
  <sheetViews>
    <sheetView zoomScale="220" zoomScaleNormal="220" zoomScalePageLayoutView="0" workbookViewId="0" topLeftCell="A1">
      <selection activeCell="B8" sqref="B8"/>
    </sheetView>
  </sheetViews>
  <sheetFormatPr defaultColWidth="9.140625" defaultRowHeight="15"/>
  <cols>
    <col min="1" max="1" width="18.28125" style="0" bestFit="1" customWidth="1"/>
    <col min="2" max="2" width="10.421875" style="0" bestFit="1" customWidth="1"/>
  </cols>
  <sheetData>
    <row r="1" spans="1:2" ht="14.25">
      <c r="A1" s="5" t="s">
        <v>209</v>
      </c>
      <c r="B1" s="60">
        <v>62500</v>
      </c>
    </row>
    <row r="2" spans="1:2" ht="14.25">
      <c r="A2" s="5" t="s">
        <v>225</v>
      </c>
      <c r="B2" s="137">
        <v>0</v>
      </c>
    </row>
    <row r="3" spans="1:2" ht="14.25">
      <c r="A3" s="5" t="s">
        <v>210</v>
      </c>
      <c r="B3" s="5">
        <v>0.082</v>
      </c>
    </row>
    <row r="4" spans="1:2" ht="14.25">
      <c r="A4" s="5" t="s">
        <v>4</v>
      </c>
      <c r="B4" s="5">
        <v>12</v>
      </c>
    </row>
    <row r="5" spans="1:2" ht="14.25">
      <c r="A5" s="5" t="s">
        <v>211</v>
      </c>
      <c r="B5" s="5">
        <v>60</v>
      </c>
    </row>
    <row r="6" spans="1:2" ht="14.25">
      <c r="A6" s="5" t="s">
        <v>35</v>
      </c>
      <c r="B6" s="5">
        <f>B5/B4</f>
        <v>5</v>
      </c>
    </row>
    <row r="7" spans="1:4" ht="14.25">
      <c r="A7" s="5" t="s">
        <v>70</v>
      </c>
      <c r="B7" s="5">
        <f>B3/B4</f>
        <v>0.006833333333333334</v>
      </c>
      <c r="D7" s="5" t="s">
        <v>59</v>
      </c>
    </row>
    <row r="8" spans="1:4" ht="14.25">
      <c r="A8" s="5" t="s">
        <v>32</v>
      </c>
      <c r="B8" s="46"/>
      <c r="D8" s="5">
        <f>B1/((1-(1+B7)^-B5)/B7)</f>
        <v>1273.2653993265592</v>
      </c>
    </row>
    <row r="9" spans="1:4" ht="14.25">
      <c r="A9" s="5" t="s">
        <v>28</v>
      </c>
      <c r="B9" s="1"/>
      <c r="D9" s="5">
        <f>(1+B7)^B4-1</f>
        <v>0.08515312182665724</v>
      </c>
    </row>
  </sheetData>
  <sheetProtection/>
  <printOptions/>
  <pageMargins left="0.7" right="0.7" top="0.75" bottom="0.75" header="0.3" footer="0.3"/>
  <pageSetup orientation="portrait" paperSize="9"/>
</worksheet>
</file>

<file path=xl/worksheets/sheet67.xml><?xml version="1.0" encoding="utf-8"?>
<worksheet xmlns="http://schemas.openxmlformats.org/spreadsheetml/2006/main" xmlns:r="http://schemas.openxmlformats.org/officeDocument/2006/relationships">
  <sheetPr>
    <tabColor indexed="12"/>
  </sheetPr>
  <dimension ref="A1:D14"/>
  <sheetViews>
    <sheetView zoomScale="130" zoomScaleNormal="130" zoomScalePageLayoutView="0" workbookViewId="0" topLeftCell="A1">
      <selection activeCell="B7" sqref="B7"/>
    </sheetView>
  </sheetViews>
  <sheetFormatPr defaultColWidth="9.140625" defaultRowHeight="15"/>
  <cols>
    <col min="1" max="1" width="27.00390625" style="0" bestFit="1" customWidth="1"/>
    <col min="2" max="2" width="10.421875" style="0" bestFit="1" customWidth="1"/>
  </cols>
  <sheetData>
    <row r="1" spans="1:2" ht="14.25">
      <c r="A1" s="5" t="s">
        <v>217</v>
      </c>
      <c r="B1" s="5">
        <v>6000</v>
      </c>
    </row>
    <row r="2" spans="1:2" ht="14.25">
      <c r="A2" s="5" t="s">
        <v>212</v>
      </c>
      <c r="B2" s="5">
        <v>0.021</v>
      </c>
    </row>
    <row r="3" spans="1:3" ht="14.25">
      <c r="A3" s="5" t="s">
        <v>213</v>
      </c>
      <c r="B3" s="153">
        <v>6</v>
      </c>
      <c r="C3" s="5" t="s">
        <v>214</v>
      </c>
    </row>
    <row r="4" spans="1:2" ht="14.25">
      <c r="A4" s="5" t="s">
        <v>218</v>
      </c>
      <c r="B4" s="5">
        <v>12</v>
      </c>
    </row>
    <row r="5" spans="1:2" ht="14.25">
      <c r="A5" s="5" t="s">
        <v>219</v>
      </c>
      <c r="B5" s="5">
        <f>B2/B4</f>
        <v>0.00175</v>
      </c>
    </row>
    <row r="6" spans="1:4" ht="14.25">
      <c r="A6" s="5" t="str">
        <f>"Intro Rate x (years) = "&amp;B3&amp;"/"&amp;B4&amp;" ="</f>
        <v>Intro Rate x (years) = 6/12 =</v>
      </c>
      <c r="B6" s="5">
        <f>B3/B4</f>
        <v>0.5</v>
      </c>
      <c r="D6" s="5" t="s">
        <v>59</v>
      </c>
    </row>
    <row r="7" spans="1:4" ht="14.25">
      <c r="A7" s="5" t="str">
        <f>"FV after first "&amp;B3&amp;" "&amp;C3&amp;" ="</f>
        <v>FV after first 6 months =</v>
      </c>
      <c r="B7" s="46"/>
      <c r="D7" s="5">
        <f>IF(B7="","",B1*(1+B5)^B3)</f>
      </c>
    </row>
    <row r="8" spans="1:2" ht="14.25">
      <c r="A8" s="5"/>
      <c r="B8" s="5"/>
    </row>
    <row r="9" spans="1:2" ht="14.25">
      <c r="A9" s="5" t="s">
        <v>215</v>
      </c>
      <c r="B9" s="5">
        <v>0.21</v>
      </c>
    </row>
    <row r="10" spans="1:2" ht="14.25">
      <c r="A10" s="5" t="s">
        <v>216</v>
      </c>
      <c r="B10" s="5">
        <v>12</v>
      </c>
    </row>
    <row r="11" spans="1:2" ht="14.25">
      <c r="A11" s="5" t="s">
        <v>219</v>
      </c>
      <c r="B11" s="5">
        <f>B9/B10</f>
        <v>0.017499999999999998</v>
      </c>
    </row>
    <row r="12" spans="1:4" ht="14.25">
      <c r="A12" s="5" t="str">
        <f>"Regular Rate x (years) = "&amp;B4-B3&amp;"/"&amp;B10&amp;" ="</f>
        <v>Regular Rate x (years) = 6/12 =</v>
      </c>
      <c r="B12" s="5">
        <f>(B4-B3)/B10</f>
        <v>0.5</v>
      </c>
      <c r="D12" s="5" t="s">
        <v>59</v>
      </c>
    </row>
    <row r="13" spans="1:4" ht="14.25">
      <c r="A13" s="5" t="str">
        <f>"FV after second "&amp;B4-B3&amp;" "&amp;C3&amp;" ="</f>
        <v>FV after second 6 months =</v>
      </c>
      <c r="B13" s="46"/>
      <c r="D13" s="5">
        <f>IF(B7="","",-B7*(1+B11)^(B12*B10))</f>
      </c>
    </row>
    <row r="14" spans="1:2" ht="14.25">
      <c r="A14" s="5" t="s">
        <v>220</v>
      </c>
      <c r="B14" s="46"/>
    </row>
  </sheetData>
  <sheetProtection/>
  <printOptions/>
  <pageMargins left="0.75" right="0.75" top="1" bottom="1" header="0.5" footer="0.5"/>
  <pageSetup orientation="portrait" paperSize="9"/>
</worksheet>
</file>

<file path=xl/worksheets/sheet68.xml><?xml version="1.0" encoding="utf-8"?>
<worksheet xmlns="http://schemas.openxmlformats.org/spreadsheetml/2006/main" xmlns:r="http://schemas.openxmlformats.org/officeDocument/2006/relationships">
  <sheetPr>
    <tabColor indexed="12"/>
  </sheetPr>
  <dimension ref="A1:H12"/>
  <sheetViews>
    <sheetView zoomScalePageLayoutView="0" workbookViewId="0" topLeftCell="A1">
      <selection activeCell="B9" sqref="B9"/>
    </sheetView>
  </sheetViews>
  <sheetFormatPr defaultColWidth="9.140625" defaultRowHeight="15"/>
  <cols>
    <col min="1" max="1" width="18.7109375" style="0" bestFit="1" customWidth="1"/>
    <col min="2" max="2" width="12.140625" style="0" bestFit="1" customWidth="1"/>
    <col min="4" max="4" width="18.7109375" style="0" bestFit="1" customWidth="1"/>
    <col min="5" max="5" width="13.7109375" style="0" bestFit="1" customWidth="1"/>
    <col min="6" max="6" width="4.421875" style="0" customWidth="1"/>
    <col min="7" max="7" width="2.140625" style="0" customWidth="1"/>
    <col min="8" max="8" width="15.57421875" style="0" customWidth="1"/>
  </cols>
  <sheetData>
    <row r="1" spans="1:5" ht="14.25">
      <c r="A1" s="6" t="s">
        <v>221</v>
      </c>
      <c r="B1" s="6"/>
      <c r="D1" s="6" t="s">
        <v>222</v>
      </c>
      <c r="E1" s="6"/>
    </row>
    <row r="2" spans="1:5" ht="14.25">
      <c r="A2" s="5" t="s">
        <v>223</v>
      </c>
      <c r="B2" s="5"/>
      <c r="D2" s="5" t="str">
        <f aca="true" t="shared" si="0" ref="D2:D10">A2</f>
        <v>Current Cash Paid =</v>
      </c>
      <c r="E2" s="5">
        <v>30000</v>
      </c>
    </row>
    <row r="3" spans="1:5" ht="14.25">
      <c r="A3" s="5" t="s">
        <v>32</v>
      </c>
      <c r="B3" s="5">
        <v>6200</v>
      </c>
      <c r="D3" s="5" t="str">
        <f t="shared" si="0"/>
        <v>PMT =</v>
      </c>
      <c r="E3" s="5">
        <v>4900</v>
      </c>
    </row>
    <row r="4" spans="1:5" ht="14.25">
      <c r="A4" s="5" t="s">
        <v>35</v>
      </c>
      <c r="B4" s="5">
        <v>2</v>
      </c>
      <c r="D4" s="5" t="str">
        <f t="shared" si="0"/>
        <v>x =</v>
      </c>
      <c r="E4" s="5">
        <f>B4</f>
        <v>2</v>
      </c>
    </row>
    <row r="5" spans="1:5" ht="14.25">
      <c r="A5" s="5" t="s">
        <v>92</v>
      </c>
      <c r="B5" s="5">
        <v>12</v>
      </c>
      <c r="D5" s="5" t="str">
        <f t="shared" si="0"/>
        <v>n = </v>
      </c>
      <c r="E5" s="5">
        <f>B5</f>
        <v>12</v>
      </c>
    </row>
    <row r="6" spans="1:5" ht="14.25">
      <c r="A6" s="5" t="s">
        <v>15</v>
      </c>
      <c r="B6" s="5">
        <v>0.08</v>
      </c>
      <c r="D6" s="5" t="str">
        <f t="shared" si="0"/>
        <v>APR = i =</v>
      </c>
      <c r="E6" s="5">
        <f>B6</f>
        <v>0.08</v>
      </c>
    </row>
    <row r="7" spans="1:5" ht="14.25">
      <c r="A7" s="5" t="s">
        <v>70</v>
      </c>
      <c r="B7" s="5">
        <f>B6/B5</f>
        <v>0.006666666666666667</v>
      </c>
      <c r="D7" s="5" t="str">
        <f t="shared" si="0"/>
        <v>i/n =</v>
      </c>
      <c r="E7" s="5">
        <f>E6/E5</f>
        <v>0.006666666666666667</v>
      </c>
    </row>
    <row r="8" spans="1:8" ht="14.25">
      <c r="A8" s="5" t="s">
        <v>224</v>
      </c>
      <c r="B8" s="5">
        <f>B5*B4</f>
        <v>24</v>
      </c>
      <c r="D8" s="5" t="str">
        <f t="shared" si="0"/>
        <v>n*x =</v>
      </c>
      <c r="E8" s="5">
        <f>E5*E4</f>
        <v>24</v>
      </c>
      <c r="H8" t="s">
        <v>227</v>
      </c>
    </row>
    <row r="9" spans="1:8" ht="14.25">
      <c r="A9" s="5" t="s">
        <v>78</v>
      </c>
      <c r="B9" s="46"/>
      <c r="D9" s="5" t="str">
        <f t="shared" si="0"/>
        <v>PV =</v>
      </c>
      <c r="E9" s="46"/>
      <c r="H9" s="46"/>
    </row>
    <row r="10" spans="1:8" ht="14.25">
      <c r="A10" s="5" t="s">
        <v>34</v>
      </c>
      <c r="B10" s="46"/>
      <c r="D10" s="5" t="str">
        <f t="shared" si="0"/>
        <v>FV =</v>
      </c>
      <c r="E10" s="46"/>
      <c r="H10" s="46"/>
    </row>
    <row r="12" spans="1:5" ht="42.75">
      <c r="A12" s="154" t="s">
        <v>226</v>
      </c>
      <c r="B12" s="154"/>
      <c r="C12" s="154"/>
      <c r="D12" s="154"/>
      <c r="E12" s="154"/>
    </row>
  </sheetData>
  <sheetProtection/>
  <printOptions/>
  <pageMargins left="0.75" right="0.75" top="1" bottom="1" header="0.5" footer="0.5"/>
  <pageSetup orientation="portrait" paperSize="9"/>
</worksheet>
</file>

<file path=xl/worksheets/sheet69.xml><?xml version="1.0" encoding="utf-8"?>
<worksheet xmlns="http://schemas.openxmlformats.org/spreadsheetml/2006/main" xmlns:r="http://schemas.openxmlformats.org/officeDocument/2006/relationships">
  <sheetPr>
    <tabColor indexed="12"/>
  </sheetPr>
  <dimension ref="A1:H8"/>
  <sheetViews>
    <sheetView zoomScale="160" zoomScaleNormal="160" zoomScalePageLayoutView="0" workbookViewId="0" topLeftCell="A1">
      <selection activeCell="B7" sqref="B7"/>
    </sheetView>
  </sheetViews>
  <sheetFormatPr defaultColWidth="9.140625" defaultRowHeight="15"/>
  <cols>
    <col min="1" max="1" width="13.421875" style="0" bestFit="1" customWidth="1"/>
    <col min="3" max="3" width="17.28125" style="0" customWidth="1"/>
    <col min="4" max="4" width="13.8515625" style="0" bestFit="1" customWidth="1"/>
    <col min="5" max="6" width="15.7109375" style="0" customWidth="1"/>
    <col min="7" max="7" width="13.8515625" style="0" bestFit="1" customWidth="1"/>
    <col min="8" max="8" width="16.140625" style="0" bestFit="1" customWidth="1"/>
  </cols>
  <sheetData>
    <row r="1" spans="1:2" ht="14.25">
      <c r="A1" s="5" t="s">
        <v>32</v>
      </c>
      <c r="B1" s="5">
        <v>140</v>
      </c>
    </row>
    <row r="2" spans="1:3" ht="14.25">
      <c r="A2" s="5" t="s">
        <v>229</v>
      </c>
      <c r="B2" s="5">
        <v>1</v>
      </c>
      <c r="C2" s="5" t="str">
        <f>IF(B2=1,"Annuity Due",IF(B2=0,"Ordinary Annuity"))</f>
        <v>Annuity Due</v>
      </c>
    </row>
    <row r="3" spans="1:2" ht="14.25">
      <c r="A3" s="5" t="s">
        <v>91</v>
      </c>
      <c r="B3" s="5">
        <v>0.12</v>
      </c>
    </row>
    <row r="4" spans="1:2" ht="14.25">
      <c r="A4" s="5" t="s">
        <v>4</v>
      </c>
      <c r="B4" s="5">
        <v>12</v>
      </c>
    </row>
    <row r="5" spans="1:4" ht="14.25">
      <c r="A5" s="5" t="s">
        <v>70</v>
      </c>
      <c r="B5" s="5">
        <f>B3/B4</f>
        <v>0.01</v>
      </c>
      <c r="D5" s="5" t="s">
        <v>76</v>
      </c>
    </row>
    <row r="6" spans="1:8" ht="14.25">
      <c r="A6" s="5" t="s">
        <v>34</v>
      </c>
      <c r="B6" s="5">
        <v>35000</v>
      </c>
      <c r="D6" s="60">
        <f>FV(B5,NPER(B5,-B1,,B6,B2),-B1,,B2)</f>
        <v>34999.99999999999</v>
      </c>
      <c r="G6" t="s">
        <v>234</v>
      </c>
      <c r="H6" t="s">
        <v>235</v>
      </c>
    </row>
    <row r="7" spans="1:8" ht="14.25">
      <c r="A7" s="5" t="s">
        <v>231</v>
      </c>
      <c r="B7" s="1"/>
      <c r="C7" t="s">
        <v>214</v>
      </c>
      <c r="G7">
        <f>LN(B6/B1*B3/B4+1)/LN(1+B5)</f>
        <v>125.90163955166376</v>
      </c>
      <c r="H7" s="52">
        <f>FV(B5,G7,-B1,,B2)</f>
        <v>35350</v>
      </c>
    </row>
    <row r="8" spans="1:3" ht="14.25">
      <c r="A8" s="5" t="s">
        <v>232</v>
      </c>
      <c r="B8" s="1"/>
      <c r="C8" s="5" t="s">
        <v>233</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theme="0"/>
  </sheetPr>
  <dimension ref="A1:B5"/>
  <sheetViews>
    <sheetView zoomScalePageLayoutView="0" workbookViewId="0" topLeftCell="A1">
      <selection activeCell="B4" sqref="B4"/>
    </sheetView>
  </sheetViews>
  <sheetFormatPr defaultColWidth="9.140625" defaultRowHeight="15"/>
  <cols>
    <col min="1" max="2" width="18.57421875" style="0" customWidth="1"/>
  </cols>
  <sheetData>
    <row r="1" spans="1:2" ht="42.75">
      <c r="A1" s="6" t="s">
        <v>31</v>
      </c>
      <c r="B1" s="6"/>
    </row>
    <row r="2" spans="1:2" ht="14.25">
      <c r="A2" s="5" t="s">
        <v>28</v>
      </c>
      <c r="B2" s="9">
        <v>0.145</v>
      </c>
    </row>
    <row r="3" spans="1:2" ht="14.25">
      <c r="A3" s="5" t="s">
        <v>4</v>
      </c>
      <c r="B3" s="5">
        <v>2</v>
      </c>
    </row>
    <row r="4" spans="1:2" ht="14.25">
      <c r="A4" s="5" t="s">
        <v>7</v>
      </c>
      <c r="B4" s="20"/>
    </row>
    <row r="5" spans="1:2" ht="14.25">
      <c r="A5" s="5" t="s">
        <v>7</v>
      </c>
      <c r="B5" s="1"/>
    </row>
  </sheetData>
  <sheetProtection/>
  <printOptions/>
  <pageMargins left="0.7" right="0.7" top="0.75" bottom="0.75" header="0.3" footer="0.3"/>
  <pageSetup orientation="portrait" paperSize="9"/>
</worksheet>
</file>

<file path=xl/worksheets/sheet70.xml><?xml version="1.0" encoding="utf-8"?>
<worksheet xmlns="http://schemas.openxmlformats.org/spreadsheetml/2006/main" xmlns:r="http://schemas.openxmlformats.org/officeDocument/2006/relationships">
  <sheetPr>
    <tabColor indexed="12"/>
  </sheetPr>
  <dimension ref="A1:D12"/>
  <sheetViews>
    <sheetView zoomScale="130" zoomScaleNormal="130" zoomScalePageLayoutView="0" workbookViewId="0" topLeftCell="A1">
      <selection activeCell="B4" sqref="B4"/>
    </sheetView>
  </sheetViews>
  <sheetFormatPr defaultColWidth="9.140625" defaultRowHeight="15"/>
  <cols>
    <col min="1" max="1" width="13.421875" style="0" bestFit="1" customWidth="1"/>
    <col min="2" max="2" width="14.57421875" style="0" bestFit="1" customWidth="1"/>
    <col min="4" max="4" width="9.8515625" style="0" bestFit="1" customWidth="1"/>
  </cols>
  <sheetData>
    <row r="1" spans="1:2" ht="14.25">
      <c r="A1" s="5" t="s">
        <v>236</v>
      </c>
      <c r="B1" s="5" t="s">
        <v>237</v>
      </c>
    </row>
    <row r="2" spans="1:2" ht="14.25">
      <c r="A2" s="5" t="s">
        <v>208</v>
      </c>
      <c r="B2" s="87">
        <v>1500000</v>
      </c>
    </row>
    <row r="3" spans="1:2" ht="14.25">
      <c r="A3" s="5" t="s">
        <v>238</v>
      </c>
      <c r="B3" s="9">
        <v>0.8</v>
      </c>
    </row>
    <row r="4" spans="1:2" ht="14.25">
      <c r="A4" s="5" t="s">
        <v>239</v>
      </c>
      <c r="B4" s="1"/>
    </row>
    <row r="5" spans="1:2" ht="14.25">
      <c r="A5" s="5" t="s">
        <v>35</v>
      </c>
      <c r="B5" s="5">
        <v>30</v>
      </c>
    </row>
    <row r="6" spans="1:2" ht="14.25">
      <c r="A6" s="5" t="s">
        <v>225</v>
      </c>
      <c r="B6" s="5">
        <v>0</v>
      </c>
    </row>
    <row r="7" spans="1:2" ht="14.25">
      <c r="A7" s="5" t="s">
        <v>4</v>
      </c>
      <c r="B7" s="5">
        <v>12</v>
      </c>
    </row>
    <row r="8" spans="1:2" ht="14.25">
      <c r="A8" s="5" t="s">
        <v>224</v>
      </c>
      <c r="B8" s="5">
        <f>B7*B5</f>
        <v>360</v>
      </c>
    </row>
    <row r="9" spans="1:4" ht="14.25">
      <c r="A9" s="5" t="s">
        <v>32</v>
      </c>
      <c r="B9" s="5">
        <v>8400</v>
      </c>
      <c r="D9" s="5" t="s">
        <v>59</v>
      </c>
    </row>
    <row r="10" spans="1:4" ht="14.25">
      <c r="A10" s="5" t="s">
        <v>240</v>
      </c>
      <c r="B10" s="58"/>
      <c r="D10" s="5" t="s">
        <v>241</v>
      </c>
    </row>
    <row r="11" spans="1:4" ht="14.25">
      <c r="A11" s="5" t="s">
        <v>7</v>
      </c>
      <c r="B11" s="1"/>
      <c r="D11" s="5" t="s">
        <v>59</v>
      </c>
    </row>
    <row r="12" spans="1:4" ht="14.25">
      <c r="A12" s="5" t="s">
        <v>28</v>
      </c>
      <c r="B12" s="1"/>
      <c r="D12" s="155">
        <f>(1+RATE(B8,-B9,B2*B3,,B6))^B7-1</f>
        <v>0.07775542838770688</v>
      </c>
    </row>
  </sheetData>
  <sheetProtection/>
  <printOptions/>
  <pageMargins left="0.75" right="0.75" top="1" bottom="1" header="0.5" footer="0.5"/>
  <pageSetup orientation="portrait" paperSize="9"/>
</worksheet>
</file>

<file path=xl/worksheets/sheet71.xml><?xml version="1.0" encoding="utf-8"?>
<worksheet xmlns="http://schemas.openxmlformats.org/spreadsheetml/2006/main" xmlns:r="http://schemas.openxmlformats.org/officeDocument/2006/relationships">
  <sheetPr>
    <tabColor indexed="12"/>
  </sheetPr>
  <dimension ref="A1:X34"/>
  <sheetViews>
    <sheetView zoomScale="85" zoomScaleNormal="85" zoomScalePageLayoutView="0" workbookViewId="0" topLeftCell="A1">
      <selection activeCell="B10" sqref="B10"/>
    </sheetView>
  </sheetViews>
  <sheetFormatPr defaultColWidth="9.140625" defaultRowHeight="15"/>
  <cols>
    <col min="1" max="1" width="23.28125" style="0" bestFit="1" customWidth="1"/>
    <col min="2" max="2" width="10.28125" style="0" bestFit="1" customWidth="1"/>
    <col min="3" max="3" width="3.7109375" style="0" customWidth="1"/>
    <col min="4" max="7" width="6.00390625" style="0" customWidth="1"/>
    <col min="8" max="8" width="10.28125" style="0" bestFit="1" customWidth="1"/>
    <col min="9" max="24" width="6.00390625" style="0" customWidth="1"/>
  </cols>
  <sheetData>
    <row r="1" spans="1:14" ht="28.5">
      <c r="A1" s="6" t="str">
        <f>"Since the first payment is received "&amp;B3&amp;" years from today, and the last payment is received "&amp;B4&amp;" years from now, there are "&amp;COUNT(I10:X10)&amp;" payments."</f>
        <v>Since the first payment is received 5 years from today, and the last payment is received 20 years from now, there are 16 payments.</v>
      </c>
      <c r="B1" s="6"/>
      <c r="C1" s="6"/>
      <c r="D1" s="6"/>
      <c r="E1" s="6"/>
      <c r="F1" s="6"/>
      <c r="G1" s="6"/>
      <c r="H1" s="6"/>
      <c r="I1" s="6"/>
      <c r="J1" s="6"/>
      <c r="K1" s="6"/>
      <c r="L1" s="6"/>
      <c r="M1" s="6"/>
      <c r="N1" s="6"/>
    </row>
    <row r="2" spans="1:2" ht="14.25">
      <c r="A2" s="11" t="s">
        <v>242</v>
      </c>
      <c r="B2" s="11">
        <v>0</v>
      </c>
    </row>
    <row r="3" spans="1:2" ht="14.25">
      <c r="A3" s="5" t="s">
        <v>243</v>
      </c>
      <c r="B3" s="5">
        <v>5</v>
      </c>
    </row>
    <row r="4" spans="1:2" ht="14.25">
      <c r="A4" s="5" t="s">
        <v>244</v>
      </c>
      <c r="B4" s="5">
        <v>20</v>
      </c>
    </row>
    <row r="5" spans="1:3" ht="14.25">
      <c r="A5" s="5" t="s">
        <v>245</v>
      </c>
      <c r="B5" s="5">
        <f>COUNT(I10:X10)</f>
        <v>16</v>
      </c>
      <c r="C5" t="s">
        <v>270</v>
      </c>
    </row>
    <row r="6" spans="1:2" ht="14.25">
      <c r="A6" s="5" t="s">
        <v>32</v>
      </c>
      <c r="B6" s="5">
        <v>890</v>
      </c>
    </row>
    <row r="7" spans="1:3" ht="14.25">
      <c r="A7" s="5" t="s">
        <v>195</v>
      </c>
      <c r="B7" s="5">
        <v>0</v>
      </c>
      <c r="C7" t="s">
        <v>268</v>
      </c>
    </row>
    <row r="8" spans="1:2" ht="14.25">
      <c r="A8" s="5" t="s">
        <v>174</v>
      </c>
      <c r="B8" s="5">
        <v>0.09</v>
      </c>
    </row>
    <row r="9" spans="1:24" ht="14.25">
      <c r="A9" s="5" t="s">
        <v>269</v>
      </c>
      <c r="B9" s="5">
        <f>COUNT(I10:X10)</f>
        <v>16</v>
      </c>
      <c r="D9" s="156">
        <v>0</v>
      </c>
      <c r="E9" s="157">
        <v>1</v>
      </c>
      <c r="F9" s="157">
        <v>2</v>
      </c>
      <c r="G9" s="157">
        <v>3</v>
      </c>
      <c r="H9" s="157">
        <v>4</v>
      </c>
      <c r="I9" s="157">
        <v>5</v>
      </c>
      <c r="J9" s="157">
        <v>6</v>
      </c>
      <c r="K9" s="157">
        <v>7</v>
      </c>
      <c r="L9" s="157">
        <v>8</v>
      </c>
      <c r="M9" s="157">
        <v>9</v>
      </c>
      <c r="N9" s="157">
        <v>10</v>
      </c>
      <c r="O9" s="157">
        <v>11</v>
      </c>
      <c r="P9" s="157">
        <v>12</v>
      </c>
      <c r="Q9" s="157">
        <v>13</v>
      </c>
      <c r="R9" s="157">
        <v>14</v>
      </c>
      <c r="S9" s="157">
        <v>15</v>
      </c>
      <c r="T9" s="157">
        <v>16</v>
      </c>
      <c r="U9" s="157">
        <v>17</v>
      </c>
      <c r="V9" s="157">
        <v>18</v>
      </c>
      <c r="W9" s="157">
        <v>19</v>
      </c>
      <c r="X9" s="158">
        <v>20</v>
      </c>
    </row>
    <row r="10" spans="1:24" ht="14.25">
      <c r="A10" s="5" t="str">
        <f>"PV at beginning of Year "&amp;B4-B9&amp;" ="</f>
        <v>PV at beginning of Year 4 =</v>
      </c>
      <c r="B10" s="46"/>
      <c r="D10" s="159"/>
      <c r="E10" s="135"/>
      <c r="F10" s="135"/>
      <c r="G10" s="135"/>
      <c r="H10" s="135"/>
      <c r="I10" s="160">
        <f aca="true" t="shared" si="0" ref="I10:X10">$B$6</f>
        <v>890</v>
      </c>
      <c r="J10" s="160">
        <f t="shared" si="0"/>
        <v>890</v>
      </c>
      <c r="K10" s="160">
        <f t="shared" si="0"/>
        <v>890</v>
      </c>
      <c r="L10" s="160">
        <f t="shared" si="0"/>
        <v>890</v>
      </c>
      <c r="M10" s="160">
        <f t="shared" si="0"/>
        <v>890</v>
      </c>
      <c r="N10" s="160">
        <f t="shared" si="0"/>
        <v>890</v>
      </c>
      <c r="O10" s="160">
        <f t="shared" si="0"/>
        <v>890</v>
      </c>
      <c r="P10" s="160">
        <f t="shared" si="0"/>
        <v>890</v>
      </c>
      <c r="Q10" s="160">
        <f t="shared" si="0"/>
        <v>890</v>
      </c>
      <c r="R10" s="160">
        <f t="shared" si="0"/>
        <v>890</v>
      </c>
      <c r="S10" s="160">
        <f t="shared" si="0"/>
        <v>890</v>
      </c>
      <c r="T10" s="160">
        <f t="shared" si="0"/>
        <v>890</v>
      </c>
      <c r="U10" s="160">
        <f t="shared" si="0"/>
        <v>890</v>
      </c>
      <c r="V10" s="160">
        <f t="shared" si="0"/>
        <v>890</v>
      </c>
      <c r="W10" s="160">
        <f t="shared" si="0"/>
        <v>890</v>
      </c>
      <c r="X10" s="161">
        <f t="shared" si="0"/>
        <v>890</v>
      </c>
    </row>
    <row r="11" ht="14.25">
      <c r="H11" s="52"/>
    </row>
    <row r="13" spans="1:2" ht="14.25">
      <c r="A13" s="5" t="s">
        <v>246</v>
      </c>
      <c r="B13" s="5"/>
    </row>
    <row r="14" spans="1:2" ht="14.25">
      <c r="A14" s="5" t="s">
        <v>247</v>
      </c>
      <c r="B14" s="5"/>
    </row>
    <row r="15" spans="1:2" ht="14.25">
      <c r="A15" s="5" t="s">
        <v>248</v>
      </c>
      <c r="B15" s="5"/>
    </row>
    <row r="16" spans="1:2" ht="14.25">
      <c r="A16" s="5" t="s">
        <v>249</v>
      </c>
      <c r="B16" s="5"/>
    </row>
    <row r="17" spans="1:2" ht="14.25">
      <c r="A17" s="5" t="s">
        <v>250</v>
      </c>
      <c r="B17" s="5"/>
    </row>
    <row r="18" spans="1:2" ht="14.25">
      <c r="A18" s="5" t="s">
        <v>251</v>
      </c>
      <c r="B18" s="5">
        <v>890</v>
      </c>
    </row>
    <row r="19" spans="1:2" ht="14.25">
      <c r="A19" s="5" t="s">
        <v>252</v>
      </c>
      <c r="B19" s="5">
        <v>890</v>
      </c>
    </row>
    <row r="20" spans="1:2" ht="14.25">
      <c r="A20" s="5" t="s">
        <v>253</v>
      </c>
      <c r="B20" s="5">
        <v>890</v>
      </c>
    </row>
    <row r="21" spans="1:2" ht="14.25">
      <c r="A21" s="5" t="s">
        <v>254</v>
      </c>
      <c r="B21" s="5">
        <v>890</v>
      </c>
    </row>
    <row r="22" spans="1:2" ht="14.25">
      <c r="A22" s="5" t="s">
        <v>255</v>
      </c>
      <c r="B22" s="5">
        <v>890</v>
      </c>
    </row>
    <row r="23" spans="1:2" ht="14.25">
      <c r="A23" s="5" t="s">
        <v>256</v>
      </c>
      <c r="B23" s="5">
        <v>890</v>
      </c>
    </row>
    <row r="24" spans="1:2" ht="14.25">
      <c r="A24" s="5" t="s">
        <v>257</v>
      </c>
      <c r="B24" s="5">
        <v>890</v>
      </c>
    </row>
    <row r="25" spans="1:2" ht="14.25">
      <c r="A25" s="5" t="s">
        <v>258</v>
      </c>
      <c r="B25" s="5">
        <v>890</v>
      </c>
    </row>
    <row r="26" spans="1:2" ht="14.25">
      <c r="A26" s="5" t="s">
        <v>259</v>
      </c>
      <c r="B26" s="5">
        <v>890</v>
      </c>
    </row>
    <row r="27" spans="1:2" ht="14.25">
      <c r="A27" s="5" t="s">
        <v>260</v>
      </c>
      <c r="B27" s="5">
        <v>890</v>
      </c>
    </row>
    <row r="28" spans="1:2" ht="14.25">
      <c r="A28" s="5" t="s">
        <v>261</v>
      </c>
      <c r="B28" s="5">
        <v>890</v>
      </c>
    </row>
    <row r="29" spans="1:2" ht="14.25">
      <c r="A29" s="5" t="s">
        <v>262</v>
      </c>
      <c r="B29" s="5">
        <v>890</v>
      </c>
    </row>
    <row r="30" spans="1:2" ht="14.25">
      <c r="A30" s="5" t="s">
        <v>263</v>
      </c>
      <c r="B30" s="5">
        <v>890</v>
      </c>
    </row>
    <row r="31" spans="1:2" ht="14.25">
      <c r="A31" s="5" t="s">
        <v>264</v>
      </c>
      <c r="B31" s="5">
        <v>890</v>
      </c>
    </row>
    <row r="32" spans="1:2" ht="14.25">
      <c r="A32" s="5" t="s">
        <v>265</v>
      </c>
      <c r="B32" s="5">
        <v>890</v>
      </c>
    </row>
    <row r="33" spans="1:2" ht="14.25">
      <c r="A33" s="5" t="s">
        <v>266</v>
      </c>
      <c r="B33" s="5">
        <v>890</v>
      </c>
    </row>
    <row r="34" spans="1:2" ht="14.25">
      <c r="A34" s="5" t="s">
        <v>267</v>
      </c>
      <c r="B34" s="46"/>
    </row>
  </sheetData>
  <sheetProtection/>
  <printOptions/>
  <pageMargins left="0.75" right="0.75" top="1" bottom="1" header="0.5" footer="0.5"/>
  <pageSetup orientation="portrait" paperSize="9"/>
</worksheet>
</file>

<file path=xl/worksheets/sheet72.xml><?xml version="1.0" encoding="utf-8"?>
<worksheet xmlns="http://schemas.openxmlformats.org/spreadsheetml/2006/main" xmlns:r="http://schemas.openxmlformats.org/officeDocument/2006/relationships">
  <sheetPr>
    <tabColor indexed="12"/>
  </sheetPr>
  <dimension ref="A1:E16"/>
  <sheetViews>
    <sheetView zoomScalePageLayoutView="0" workbookViewId="0" topLeftCell="A1">
      <selection activeCell="B6" sqref="B6"/>
    </sheetView>
  </sheetViews>
  <sheetFormatPr defaultColWidth="9.140625" defaultRowHeight="15"/>
  <cols>
    <col min="1" max="1" width="23.7109375" style="0" bestFit="1" customWidth="1"/>
    <col min="2" max="2" width="11.140625" style="0" bestFit="1" customWidth="1"/>
    <col min="3" max="3" width="14.421875" style="0" bestFit="1" customWidth="1"/>
    <col min="4" max="5" width="10.421875" style="0" bestFit="1" customWidth="1"/>
  </cols>
  <sheetData>
    <row r="1" spans="1:2" ht="14.25">
      <c r="A1" s="5" t="s">
        <v>78</v>
      </c>
      <c r="B1" s="165">
        <v>45000</v>
      </c>
    </row>
    <row r="2" spans="1:2" ht="14.25">
      <c r="A2" s="5" t="s">
        <v>35</v>
      </c>
      <c r="B2" s="5">
        <v>3</v>
      </c>
    </row>
    <row r="3" spans="1:2" ht="14.25">
      <c r="A3" s="5" t="s">
        <v>230</v>
      </c>
      <c r="B3" s="5">
        <v>0.11</v>
      </c>
    </row>
    <row r="4" spans="1:2" ht="14.25">
      <c r="A4" s="5" t="s">
        <v>4</v>
      </c>
      <c r="B4" s="5">
        <v>1</v>
      </c>
    </row>
    <row r="5" spans="1:3" ht="14.25">
      <c r="A5" s="5" t="s">
        <v>225</v>
      </c>
      <c r="B5" s="5">
        <v>0</v>
      </c>
      <c r="C5" s="162" t="str">
        <f>IF(B5=1,"Annuity Due",IF(B5=0,"Ordinary Annuity"))</f>
        <v>Ordinary Annuity</v>
      </c>
    </row>
    <row r="6" spans="1:2" ht="14.25">
      <c r="A6" s="5" t="s">
        <v>32</v>
      </c>
      <c r="B6" s="166"/>
    </row>
    <row r="8" spans="1:5" ht="14.25">
      <c r="A8" s="163" t="s">
        <v>65</v>
      </c>
      <c r="B8" s="163" t="s">
        <v>154</v>
      </c>
      <c r="C8" s="163" t="s">
        <v>132</v>
      </c>
      <c r="D8" s="163" t="s">
        <v>273</v>
      </c>
      <c r="E8" s="163" t="s">
        <v>155</v>
      </c>
    </row>
    <row r="9" spans="1:5" ht="14.25">
      <c r="A9" s="5">
        <v>0</v>
      </c>
      <c r="B9" s="165"/>
      <c r="C9" s="165"/>
      <c r="D9" s="165"/>
      <c r="E9" s="166"/>
    </row>
    <row r="10" spans="1:5" ht="14.25">
      <c r="A10" s="5">
        <v>1</v>
      </c>
      <c r="B10" s="166"/>
      <c r="C10" s="166"/>
      <c r="D10" s="166"/>
      <c r="E10" s="166"/>
    </row>
    <row r="11" spans="1:5" ht="14.25">
      <c r="A11" s="5">
        <v>2</v>
      </c>
      <c r="B11" s="166"/>
      <c r="C11" s="166"/>
      <c r="D11" s="166"/>
      <c r="E11" s="166"/>
    </row>
    <row r="12" spans="1:5" ht="15" thickBot="1">
      <c r="A12" s="135">
        <v>3</v>
      </c>
      <c r="B12" s="167"/>
      <c r="C12" s="167"/>
      <c r="D12" s="167"/>
      <c r="E12" s="167"/>
    </row>
    <row r="13" spans="1:5" ht="15" thickBot="1">
      <c r="A13" s="164" t="s">
        <v>186</v>
      </c>
      <c r="B13" s="168">
        <f>SUM(B10:B12)</f>
        <v>0</v>
      </c>
      <c r="C13" s="168">
        <f>SUM(C10:C12)</f>
        <v>0</v>
      </c>
      <c r="D13" s="168">
        <f>SUM(D10:D12)</f>
        <v>0</v>
      </c>
      <c r="E13" s="168"/>
    </row>
    <row r="14" ht="15" thickTop="1"/>
    <row r="15" spans="1:2" ht="14.25">
      <c r="A15" s="163" t="s">
        <v>271</v>
      </c>
      <c r="B15" s="17"/>
    </row>
    <row r="16" spans="1:2" ht="14.25">
      <c r="A16" s="163" t="s">
        <v>272</v>
      </c>
      <c r="B16" s="17"/>
    </row>
  </sheetData>
  <sheetProtection/>
  <printOptions/>
  <pageMargins left="0.75" right="0.75" top="1" bottom="1" header="0.5" footer="0.5"/>
  <pageSetup horizontalDpi="600" verticalDpi="600" orientation="portrait" r:id="rId1"/>
</worksheet>
</file>

<file path=xl/worksheets/sheet73.xml><?xml version="1.0" encoding="utf-8"?>
<worksheet xmlns="http://schemas.openxmlformats.org/spreadsheetml/2006/main" xmlns:r="http://schemas.openxmlformats.org/officeDocument/2006/relationships">
  <sheetPr>
    <tabColor theme="3"/>
  </sheetPr>
  <dimension ref="A1:A1"/>
  <sheetViews>
    <sheetView zoomScalePageLayoutView="0" workbookViewId="0" topLeftCell="A1">
      <selection activeCell="B15" sqref="B15"/>
    </sheetView>
  </sheetViews>
  <sheetFormatPr defaultColWidth="9.140625" defaultRowHeight="15"/>
  <sheetData/>
  <sheetProtection/>
  <printOptions/>
  <pageMargins left="0.7" right="0.7" top="0.75" bottom="0.75" header="0.3" footer="0.3"/>
  <pageSetup orientation="portrait" paperSize="9"/>
</worksheet>
</file>

<file path=xl/worksheets/sheet74.xml><?xml version="1.0" encoding="utf-8"?>
<worksheet xmlns="http://schemas.openxmlformats.org/spreadsheetml/2006/main" xmlns:r="http://schemas.openxmlformats.org/officeDocument/2006/relationships">
  <sheetPr>
    <tabColor indexed="8"/>
  </sheetPr>
  <dimension ref="A1:A1"/>
  <sheetViews>
    <sheetView zoomScalePageLayoutView="0" workbookViewId="0" topLeftCell="A1">
      <selection activeCell="A1" sqref="A1"/>
    </sheetView>
  </sheetViews>
  <sheetFormatPr defaultColWidth="9.140625" defaultRowHeight="15"/>
  <sheetData/>
  <sheetProtection/>
  <printOptions/>
  <pageMargins left="0.75" right="0.75" top="1" bottom="1" header="0.5" footer="0.5"/>
  <pageSetup orientation="portrait" paperSize="9"/>
</worksheet>
</file>

<file path=xl/worksheets/sheet75.xml><?xml version="1.0" encoding="utf-8"?>
<worksheet xmlns="http://schemas.openxmlformats.org/spreadsheetml/2006/main" xmlns:r="http://schemas.openxmlformats.org/officeDocument/2006/relationships">
  <sheetPr>
    <tabColor theme="2"/>
  </sheetPr>
  <dimension ref="A1:L12"/>
  <sheetViews>
    <sheetView zoomScalePageLayoutView="0" workbookViewId="0" topLeftCell="A1">
      <selection activeCell="B15" sqref="B15"/>
    </sheetView>
  </sheetViews>
  <sheetFormatPr defaultColWidth="9.140625" defaultRowHeight="15"/>
  <cols>
    <col min="1" max="1" width="22.8515625" style="0" bestFit="1" customWidth="1"/>
    <col min="2" max="2" width="12.7109375" style="0" bestFit="1" customWidth="1"/>
    <col min="3" max="3" width="5.421875" style="0" bestFit="1" customWidth="1"/>
    <col min="4" max="4" width="18.140625" style="0" bestFit="1" customWidth="1"/>
    <col min="5" max="5" width="13.57421875" style="0" bestFit="1" customWidth="1"/>
    <col min="12" max="12" width="11.7109375" style="0" bestFit="1" customWidth="1"/>
  </cols>
  <sheetData>
    <row r="1" spans="1:5" ht="14.25">
      <c r="A1" s="132">
        <v>5.1</v>
      </c>
      <c r="B1" s="132"/>
      <c r="C1" s="132"/>
      <c r="D1" s="132"/>
      <c r="E1" s="132"/>
    </row>
    <row r="2" spans="1:2" ht="14.25">
      <c r="A2" s="11" t="s">
        <v>174</v>
      </c>
      <c r="B2" s="11">
        <v>0.1</v>
      </c>
    </row>
    <row r="3" spans="1:2" ht="14.25">
      <c r="A3" s="5" t="s">
        <v>169</v>
      </c>
      <c r="B3" s="87">
        <f>SUM(B5:B8)</f>
        <v>10000000</v>
      </c>
    </row>
    <row r="4" spans="2:12" ht="14.25">
      <c r="B4" s="128"/>
      <c r="C4" s="86" t="s">
        <v>65</v>
      </c>
      <c r="D4" s="86" t="s">
        <v>175</v>
      </c>
      <c r="E4" s="86" t="s">
        <v>176</v>
      </c>
      <c r="L4" s="5" t="s">
        <v>59</v>
      </c>
    </row>
    <row r="5" spans="1:12" ht="14.25">
      <c r="A5" s="5" t="s">
        <v>170</v>
      </c>
      <c r="B5" s="87">
        <v>1000000</v>
      </c>
      <c r="C5" s="5">
        <v>0</v>
      </c>
      <c r="D5" s="46">
        <f>-PV($B$2,C5,,B5)</f>
        <v>1000000</v>
      </c>
      <c r="E5" s="5"/>
      <c r="L5" s="87">
        <f>B5/((1+$B$2)^C5)</f>
        <v>1000000</v>
      </c>
    </row>
    <row r="6" spans="1:12" ht="14.25">
      <c r="A6" s="5" t="s">
        <v>171</v>
      </c>
      <c r="B6" s="87">
        <v>2000000</v>
      </c>
      <c r="C6" s="5">
        <v>1</v>
      </c>
      <c r="D6" s="46">
        <f>-PV($B$2,C6,,B6)</f>
        <v>1818181.8181818181</v>
      </c>
      <c r="E6" s="5"/>
      <c r="L6" s="87">
        <f>B6/((1+$B$2)^C6)</f>
        <v>1818181.8181818181</v>
      </c>
    </row>
    <row r="7" spans="1:12" ht="14.25">
      <c r="A7" s="5" t="s">
        <v>172</v>
      </c>
      <c r="B7" s="87">
        <v>3000000</v>
      </c>
      <c r="C7" s="5">
        <v>2</v>
      </c>
      <c r="D7" s="46">
        <f>-PV($B$2,C7,,B7)</f>
        <v>2479338.842975206</v>
      </c>
      <c r="E7" s="5"/>
      <c r="L7" s="87">
        <f>B7/((1+$B$2)^C7)</f>
        <v>2479338.842975206</v>
      </c>
    </row>
    <row r="8" spans="1:12" ht="14.25">
      <c r="A8" s="5" t="s">
        <v>173</v>
      </c>
      <c r="B8" s="87">
        <v>4000000</v>
      </c>
      <c r="C8" s="5">
        <v>3</v>
      </c>
      <c r="D8" s="46">
        <f>-PV($B$2,C8,,B8)</f>
        <v>3005259.2036063103</v>
      </c>
      <c r="E8" s="5"/>
      <c r="L8" s="87">
        <f>B8/((1+$B$2)^C8)</f>
        <v>3005259.2036063103</v>
      </c>
    </row>
    <row r="9" spans="1:12" ht="42.75">
      <c r="A9" s="5"/>
      <c r="B9" s="5"/>
      <c r="C9" s="5"/>
      <c r="D9" s="46">
        <f>SUM(D5:D8)</f>
        <v>8302779.864763335</v>
      </c>
      <c r="E9" s="46">
        <f>NPV(B2,B6:B8)+B5</f>
        <v>8302779.864763334</v>
      </c>
      <c r="F9" s="131" t="s">
        <v>178</v>
      </c>
      <c r="G9" s="129"/>
      <c r="H9" s="129"/>
      <c r="I9" s="129"/>
      <c r="J9" s="129"/>
      <c r="L9" s="87">
        <f>SUM(L5:L8)</f>
        <v>8302779.864763335</v>
      </c>
    </row>
    <row r="11" spans="1:6" ht="71.25">
      <c r="A11" s="5" t="s">
        <v>54</v>
      </c>
      <c r="B11" s="48" t="s">
        <v>276</v>
      </c>
      <c r="C11" s="49"/>
      <c r="D11" s="49"/>
      <c r="E11" s="49"/>
      <c r="F11" s="50"/>
    </row>
    <row r="12" spans="1:6" ht="28.5">
      <c r="A12" s="5"/>
      <c r="B12" s="48" t="str">
        <f>IF(E9="","","If we calculate the Present Value then we can say that the contact is worth "&amp;DOLLAR(E9)&amp;" today.")</f>
        <v>If we calculate the Present Value then we can say that the contact is worth $8,302,779.86 today.</v>
      </c>
      <c r="C12" s="49"/>
      <c r="D12" s="49"/>
      <c r="E12" s="49"/>
      <c r="F12" s="50"/>
    </row>
  </sheetData>
  <sheetProtection/>
  <printOptions/>
  <pageMargins left="0.7" right="0.7" top="0.75" bottom="0.75" header="0.3" footer="0.3"/>
  <pageSetup orientation="portrait" paperSize="9"/>
</worksheet>
</file>

<file path=xl/worksheets/sheet76.xml><?xml version="1.0" encoding="utf-8"?>
<worksheet xmlns="http://schemas.openxmlformats.org/spreadsheetml/2006/main" xmlns:r="http://schemas.openxmlformats.org/officeDocument/2006/relationships">
  <sheetPr>
    <tabColor theme="2"/>
  </sheetPr>
  <dimension ref="A1:Q15"/>
  <sheetViews>
    <sheetView zoomScale="85" zoomScaleNormal="85" zoomScalePageLayoutView="0" workbookViewId="0" topLeftCell="A1">
      <selection activeCell="B15" sqref="B15"/>
    </sheetView>
  </sheetViews>
  <sheetFormatPr defaultColWidth="9.140625" defaultRowHeight="15"/>
  <cols>
    <col min="1" max="1" width="14.7109375" style="0" bestFit="1" customWidth="1"/>
    <col min="2" max="2" width="9.8515625" style="0" bestFit="1" customWidth="1"/>
    <col min="3" max="5" width="15.00390625" style="0" customWidth="1"/>
    <col min="6" max="7" width="12.28125" style="0" customWidth="1"/>
    <col min="8" max="8" width="10.57421875" style="0" bestFit="1" customWidth="1"/>
    <col min="9" max="9" width="13.7109375" style="0" bestFit="1" customWidth="1"/>
    <col min="10" max="11" width="9.8515625" style="0" bestFit="1" customWidth="1"/>
    <col min="13" max="13" width="12.140625" style="0" bestFit="1" customWidth="1"/>
    <col min="14" max="17" width="15.00390625" style="0" customWidth="1"/>
  </cols>
  <sheetData>
    <row r="1" spans="1:7" ht="14.25">
      <c r="A1" s="132">
        <v>5.2</v>
      </c>
      <c r="B1" s="132"/>
      <c r="C1" s="132"/>
      <c r="D1" s="132"/>
      <c r="E1" s="132"/>
      <c r="F1" s="132"/>
      <c r="G1" s="133"/>
    </row>
    <row r="2" spans="1:5" ht="42.75">
      <c r="A2" s="136" t="s">
        <v>179</v>
      </c>
      <c r="B2" s="135">
        <v>0.09</v>
      </c>
      <c r="C2" s="30"/>
      <c r="D2" s="30"/>
      <c r="E2" s="30"/>
    </row>
    <row r="3" spans="1:17" ht="14.25">
      <c r="A3" s="5"/>
      <c r="B3" s="5"/>
      <c r="C3" s="5"/>
      <c r="D3" s="5"/>
      <c r="E3" s="5"/>
      <c r="F3" s="5" t="s">
        <v>184</v>
      </c>
      <c r="G3" s="5"/>
      <c r="H3" s="5" t="s">
        <v>185</v>
      </c>
      <c r="I3" s="5"/>
      <c r="J3" s="5"/>
      <c r="K3" s="5"/>
      <c r="L3" s="5"/>
      <c r="M3" s="5"/>
      <c r="N3" s="5"/>
      <c r="O3" s="5"/>
      <c r="P3" s="5"/>
      <c r="Q3" s="5"/>
    </row>
    <row r="4" spans="1:17" s="2" customFormat="1" ht="28.5">
      <c r="A4" s="4" t="s">
        <v>65</v>
      </c>
      <c r="B4" s="4" t="s">
        <v>66</v>
      </c>
      <c r="C4" s="4" t="s">
        <v>182</v>
      </c>
      <c r="D4" s="136" t="s">
        <v>29</v>
      </c>
      <c r="E4" s="4" t="s">
        <v>182</v>
      </c>
      <c r="F4" s="136" t="s">
        <v>30</v>
      </c>
      <c r="G4" s="136" t="s">
        <v>183</v>
      </c>
      <c r="H4" s="4" t="s">
        <v>123</v>
      </c>
      <c r="I4" s="4" t="s">
        <v>180</v>
      </c>
      <c r="J4" s="4"/>
      <c r="K4" s="4"/>
      <c r="L4" s="4"/>
      <c r="M4" s="4"/>
      <c r="N4" s="4"/>
      <c r="O4" s="4"/>
      <c r="P4" s="4"/>
      <c r="Q4" s="4"/>
    </row>
    <row r="5" spans="1:17" ht="14.25">
      <c r="A5" s="5">
        <v>0</v>
      </c>
      <c r="B5" s="5">
        <v>-1000</v>
      </c>
      <c r="C5" s="137">
        <v>8</v>
      </c>
      <c r="D5" s="46">
        <f aca="true" t="shared" si="0" ref="D5:D13">FV($B$2,C5,,B5)</f>
        <v>1992.562641690193</v>
      </c>
      <c r="E5" s="137">
        <v>0</v>
      </c>
      <c r="F5" s="46">
        <f aca="true" t="shared" si="1" ref="F5:F13">PV($B$2,E5,,B5)</f>
        <v>1000</v>
      </c>
      <c r="G5" s="46">
        <f aca="true" t="shared" si="2" ref="G5:G13">-B5</f>
        <v>1000</v>
      </c>
      <c r="H5" s="5"/>
      <c r="I5" s="5">
        <v>3</v>
      </c>
      <c r="J5" s="86"/>
      <c r="K5" s="60"/>
      <c r="L5" s="60"/>
      <c r="M5" s="60"/>
      <c r="N5" s="60"/>
      <c r="O5" s="60"/>
      <c r="P5" s="60"/>
      <c r="Q5" s="60"/>
    </row>
    <row r="6" spans="1:17" ht="14.25">
      <c r="A6" s="5">
        <v>1</v>
      </c>
      <c r="B6" s="5"/>
      <c r="C6" s="5">
        <v>7</v>
      </c>
      <c r="D6" s="46">
        <f t="shared" si="0"/>
        <v>0</v>
      </c>
      <c r="E6" s="5">
        <v>1</v>
      </c>
      <c r="F6" s="46">
        <f t="shared" si="1"/>
        <v>0</v>
      </c>
      <c r="G6" s="46">
        <f t="shared" si="2"/>
        <v>0</v>
      </c>
      <c r="H6" s="5"/>
      <c r="I6" s="5"/>
      <c r="J6" s="86"/>
      <c r="K6" s="5"/>
      <c r="L6" s="5"/>
      <c r="M6" s="5"/>
      <c r="N6" s="5"/>
      <c r="O6" s="5"/>
      <c r="P6" s="5"/>
      <c r="Q6" s="5"/>
    </row>
    <row r="7" spans="1:17" ht="14.25">
      <c r="A7" s="5">
        <v>2</v>
      </c>
      <c r="B7" s="5">
        <v>-2000</v>
      </c>
      <c r="C7" s="137">
        <v>6</v>
      </c>
      <c r="D7" s="46">
        <f t="shared" si="0"/>
        <v>3354.2002216820015</v>
      </c>
      <c r="E7" s="137">
        <v>2</v>
      </c>
      <c r="F7" s="46">
        <f t="shared" si="1"/>
        <v>1683.3599865331198</v>
      </c>
      <c r="G7" s="46">
        <f t="shared" si="2"/>
        <v>2000</v>
      </c>
      <c r="H7" s="5"/>
      <c r="I7" s="5">
        <v>1</v>
      </c>
      <c r="J7" s="86"/>
      <c r="K7" s="134"/>
      <c r="L7" s="60" t="s">
        <v>181</v>
      </c>
      <c r="M7" s="60"/>
      <c r="N7" s="60"/>
      <c r="O7" s="60"/>
      <c r="P7" s="60"/>
      <c r="Q7" s="60"/>
    </row>
    <row r="8" spans="1:17" ht="14.25">
      <c r="A8" s="5">
        <v>3</v>
      </c>
      <c r="B8" s="5">
        <v>3000</v>
      </c>
      <c r="C8" s="5">
        <v>5</v>
      </c>
      <c r="D8" s="46">
        <f t="shared" si="0"/>
        <v>-4615.871864700001</v>
      </c>
      <c r="E8" s="5">
        <v>3</v>
      </c>
      <c r="F8" s="46">
        <f t="shared" si="1"/>
        <v>-2316.550440183192</v>
      </c>
      <c r="G8" s="46">
        <f t="shared" si="2"/>
        <v>-3000</v>
      </c>
      <c r="H8" s="5"/>
      <c r="I8" s="5">
        <v>2</v>
      </c>
      <c r="J8" s="134">
        <f>FV($B$2,I5,,B5)</f>
        <v>1295.0290000000002</v>
      </c>
      <c r="K8" s="134">
        <f>FV($B$2,I7,,B7)</f>
        <v>2180</v>
      </c>
      <c r="L8" s="60">
        <f>-(J8+K8-B8)</f>
        <v>-475.02900000000045</v>
      </c>
      <c r="M8" s="134"/>
      <c r="N8" s="60"/>
      <c r="O8" s="60"/>
      <c r="P8" s="60"/>
      <c r="Q8" s="60"/>
    </row>
    <row r="9" spans="1:17" ht="14.25">
      <c r="A9" s="5">
        <v>4</v>
      </c>
      <c r="B9" s="5"/>
      <c r="C9" s="137">
        <v>4</v>
      </c>
      <c r="D9" s="46">
        <f t="shared" si="0"/>
        <v>0</v>
      </c>
      <c r="E9" s="137">
        <v>4</v>
      </c>
      <c r="F9" s="46">
        <f t="shared" si="1"/>
        <v>0</v>
      </c>
      <c r="G9" s="46">
        <f t="shared" si="2"/>
        <v>0</v>
      </c>
      <c r="H9" s="5"/>
      <c r="I9" s="5"/>
      <c r="J9" s="5"/>
      <c r="K9" s="5"/>
      <c r="L9" s="5"/>
      <c r="M9" s="86"/>
      <c r="N9" s="60" t="s">
        <v>181</v>
      </c>
      <c r="O9" s="5"/>
      <c r="P9" s="5"/>
      <c r="Q9" s="5"/>
    </row>
    <row r="10" spans="1:17" ht="14.25">
      <c r="A10" s="5">
        <v>5</v>
      </c>
      <c r="B10" s="5">
        <v>-8000</v>
      </c>
      <c r="C10" s="5">
        <v>3</v>
      </c>
      <c r="D10" s="46">
        <f t="shared" si="0"/>
        <v>10360.232000000002</v>
      </c>
      <c r="E10" s="5">
        <v>5</v>
      </c>
      <c r="F10" s="46">
        <f t="shared" si="1"/>
        <v>5199.451090386762</v>
      </c>
      <c r="G10" s="46">
        <f t="shared" si="2"/>
        <v>8000</v>
      </c>
      <c r="H10" s="5"/>
      <c r="I10" s="5">
        <v>2</v>
      </c>
      <c r="J10" s="5"/>
      <c r="K10" s="5"/>
      <c r="L10" s="5"/>
      <c r="M10" s="134">
        <f>FV($B$2,I8,,L8)</f>
        <v>564.3819549000007</v>
      </c>
      <c r="N10" s="60">
        <f>B10-M10</f>
        <v>-8564.3819549</v>
      </c>
      <c r="O10" s="134"/>
      <c r="P10" s="60"/>
      <c r="Q10" s="60"/>
    </row>
    <row r="11" spans="1:17" ht="14.25">
      <c r="A11" s="5">
        <v>6</v>
      </c>
      <c r="B11" s="5"/>
      <c r="C11" s="137">
        <v>2</v>
      </c>
      <c r="D11" s="46">
        <f t="shared" si="0"/>
        <v>0</v>
      </c>
      <c r="E11" s="137">
        <v>6</v>
      </c>
      <c r="F11" s="46">
        <f t="shared" si="1"/>
        <v>0</v>
      </c>
      <c r="G11" s="46">
        <f t="shared" si="2"/>
        <v>0</v>
      </c>
      <c r="H11" s="5"/>
      <c r="I11" s="5"/>
      <c r="J11" s="5"/>
      <c r="K11" s="5"/>
      <c r="L11" s="5"/>
      <c r="M11" s="5"/>
      <c r="N11" s="5"/>
      <c r="O11" s="86"/>
      <c r="P11" s="60" t="s">
        <v>181</v>
      </c>
      <c r="Q11" s="5"/>
    </row>
    <row r="12" spans="1:17" ht="14.25">
      <c r="A12" s="5">
        <v>7</v>
      </c>
      <c r="B12" s="5">
        <v>5000</v>
      </c>
      <c r="C12" s="5">
        <v>1</v>
      </c>
      <c r="D12" s="46">
        <f t="shared" si="0"/>
        <v>-5450</v>
      </c>
      <c r="E12" s="5">
        <v>7</v>
      </c>
      <c r="F12" s="46">
        <f t="shared" si="1"/>
        <v>-2735.1712242165863</v>
      </c>
      <c r="G12" s="46">
        <f t="shared" si="2"/>
        <v>-5000</v>
      </c>
      <c r="H12" s="5"/>
      <c r="I12" s="5">
        <v>1</v>
      </c>
      <c r="J12" s="5"/>
      <c r="K12" s="5"/>
      <c r="L12" s="5"/>
      <c r="M12" s="5"/>
      <c r="N12" s="5"/>
      <c r="O12" s="134">
        <f>FV($B$2,I10,,N10)</f>
        <v>10175.342200616691</v>
      </c>
      <c r="P12" s="60">
        <f>-O12+B12</f>
        <v>-5175.342200616691</v>
      </c>
      <c r="Q12" s="86"/>
    </row>
    <row r="13" spans="1:17" ht="15" thickBot="1">
      <c r="A13" s="135">
        <v>8</v>
      </c>
      <c r="B13" s="135"/>
      <c r="C13" s="138">
        <v>0</v>
      </c>
      <c r="D13" s="46">
        <f t="shared" si="0"/>
        <v>0</v>
      </c>
      <c r="E13" s="138">
        <v>8</v>
      </c>
      <c r="F13" s="46">
        <f t="shared" si="1"/>
        <v>0</v>
      </c>
      <c r="G13" s="46">
        <f t="shared" si="2"/>
        <v>0</v>
      </c>
      <c r="H13" s="139"/>
      <c r="I13" s="5"/>
      <c r="J13" s="5"/>
      <c r="K13" s="5"/>
      <c r="L13" s="5"/>
      <c r="M13" s="5"/>
      <c r="N13" s="5"/>
      <c r="O13" s="5"/>
      <c r="P13" s="5"/>
      <c r="Q13" s="134">
        <f>FV(B2,I12,,P12)</f>
        <v>5641.122998672194</v>
      </c>
    </row>
    <row r="14" spans="1:17" ht="15" thickBot="1">
      <c r="A14" s="40" t="s">
        <v>186</v>
      </c>
      <c r="B14" s="40"/>
      <c r="C14" s="40"/>
      <c r="D14" s="74">
        <f>SUM(D5:D13)</f>
        <v>5641.1229986721955</v>
      </c>
      <c r="E14" s="40"/>
      <c r="F14" s="74">
        <f>SUM(F5:F13)</f>
        <v>2831.0894125201035</v>
      </c>
      <c r="G14" s="74"/>
      <c r="H14" s="46">
        <f>NPV(B2,G6:G14)+G5</f>
        <v>2831.089412520104</v>
      </c>
      <c r="I14" s="5"/>
      <c r="J14" s="5"/>
      <c r="K14" s="5"/>
      <c r="L14" s="5"/>
      <c r="M14" s="5"/>
      <c r="N14" s="5"/>
      <c r="O14" s="5"/>
      <c r="P14" s="5"/>
      <c r="Q14" s="5"/>
    </row>
    <row r="15" ht="15" thickTop="1">
      <c r="H15" s="52"/>
    </row>
  </sheetData>
  <sheetProtection/>
  <printOptions/>
  <pageMargins left="0.7" right="0.7" top="0.75" bottom="0.75" header="0.3" footer="0.3"/>
  <pageSetup orientation="portrait" paperSize="9"/>
</worksheet>
</file>

<file path=xl/worksheets/sheet77.xml><?xml version="1.0" encoding="utf-8"?>
<worksheet xmlns="http://schemas.openxmlformats.org/spreadsheetml/2006/main" xmlns:r="http://schemas.openxmlformats.org/officeDocument/2006/relationships">
  <sheetPr>
    <tabColor theme="2"/>
  </sheetPr>
  <dimension ref="A1:D7"/>
  <sheetViews>
    <sheetView zoomScalePageLayoutView="0" workbookViewId="0" topLeftCell="A1">
      <selection activeCell="B15" sqref="B15"/>
    </sheetView>
  </sheetViews>
  <sheetFormatPr defaultColWidth="9.140625" defaultRowHeight="15"/>
  <cols>
    <col min="1" max="1" width="39.421875" style="2" customWidth="1"/>
    <col min="2" max="2" width="11.57421875" style="0" bestFit="1" customWidth="1"/>
    <col min="3" max="4" width="20.57421875" style="0" customWidth="1"/>
  </cols>
  <sheetData>
    <row r="1" spans="1:2" ht="28.5">
      <c r="A1" s="4" t="s">
        <v>275</v>
      </c>
      <c r="B1" s="87">
        <v>12000</v>
      </c>
    </row>
    <row r="2" spans="1:2" ht="14.25">
      <c r="A2" s="4" t="s">
        <v>195</v>
      </c>
      <c r="B2" s="137">
        <v>0</v>
      </c>
    </row>
    <row r="3" spans="1:2" ht="14.25">
      <c r="A3" s="4" t="s">
        <v>35</v>
      </c>
      <c r="B3" s="5">
        <v>10</v>
      </c>
    </row>
    <row r="4" spans="1:2" ht="14.25">
      <c r="A4" s="4" t="s">
        <v>194</v>
      </c>
      <c r="B4" s="5">
        <v>0.15</v>
      </c>
    </row>
    <row r="5" spans="1:2" ht="14.25">
      <c r="A5" s="4" t="s">
        <v>4</v>
      </c>
      <c r="B5" s="5">
        <v>1</v>
      </c>
    </row>
    <row r="6" spans="1:2" ht="28.5">
      <c r="A6" s="4" t="s">
        <v>196</v>
      </c>
      <c r="B6" s="46">
        <f>-PV(B4/B5,B5*B3,B1,,B2)</f>
        <v>60225.22351025074</v>
      </c>
    </row>
    <row r="7" spans="1:4" ht="28.5">
      <c r="A7" s="4" t="s">
        <v>54</v>
      </c>
      <c r="B7" s="8" t="str">
        <f>"The max that we will pay for this investment, given our required rate of return ("&amp;TEXT(B4,"0,00%")&amp;"), is "&amp;DOLLAR(B6)&amp;"."</f>
        <v>The max that we will pay for this investment, given our required rate of return (015%), is $60,225.22.</v>
      </c>
      <c r="C7" s="49"/>
      <c r="D7" s="50"/>
    </row>
  </sheetData>
  <sheetProtection/>
  <printOptions/>
  <pageMargins left="0.7" right="0.7" top="0.75" bottom="0.75" header="0.3" footer="0.3"/>
  <pageSetup orientation="portrait" paperSize="9"/>
</worksheet>
</file>

<file path=xl/worksheets/sheet78.xml><?xml version="1.0" encoding="utf-8"?>
<worksheet xmlns="http://schemas.openxmlformats.org/spreadsheetml/2006/main" xmlns:r="http://schemas.openxmlformats.org/officeDocument/2006/relationships">
  <sheetPr>
    <tabColor theme="2"/>
  </sheetPr>
  <dimension ref="A1:B4"/>
  <sheetViews>
    <sheetView zoomScale="175" zoomScaleNormal="175" zoomScalePageLayoutView="0" workbookViewId="0" topLeftCell="A1">
      <selection activeCell="B15" sqref="B15"/>
    </sheetView>
  </sheetViews>
  <sheetFormatPr defaultColWidth="9.140625" defaultRowHeight="15"/>
  <sheetData>
    <row r="1" spans="1:2" ht="14.25">
      <c r="A1" s="5" t="s">
        <v>7</v>
      </c>
      <c r="B1" s="5">
        <v>0.09</v>
      </c>
    </row>
    <row r="2" spans="1:2" ht="14.25">
      <c r="A2" s="5" t="s">
        <v>4</v>
      </c>
      <c r="B2" s="5">
        <v>12</v>
      </c>
    </row>
    <row r="3" spans="1:2" ht="14.25">
      <c r="A3" s="5" t="s">
        <v>28</v>
      </c>
      <c r="B3" s="1">
        <f>(1+B1/B2)^B2-1</f>
        <v>0.09380689767098427</v>
      </c>
    </row>
    <row r="4" spans="1:2" ht="14.25">
      <c r="A4" s="5" t="s">
        <v>28</v>
      </c>
      <c r="B4" s="1">
        <f>EFFECT(B1,B2)</f>
        <v>0.09380689767098427</v>
      </c>
    </row>
  </sheetData>
  <sheetProtection/>
  <printOptions/>
  <pageMargins left="0.7" right="0.7" top="0.75" bottom="0.75" header="0.3" footer="0.3"/>
  <pageSetup orientation="portrait" paperSize="9"/>
</worksheet>
</file>

<file path=xl/worksheets/sheet79.xml><?xml version="1.0" encoding="utf-8"?>
<worksheet xmlns="http://schemas.openxmlformats.org/spreadsheetml/2006/main" xmlns:r="http://schemas.openxmlformats.org/officeDocument/2006/relationships">
  <sheetPr>
    <tabColor theme="2"/>
  </sheetPr>
  <dimension ref="A1:E16"/>
  <sheetViews>
    <sheetView zoomScalePageLayoutView="0" workbookViewId="0" topLeftCell="A1">
      <selection activeCell="B15" sqref="B15"/>
    </sheetView>
  </sheetViews>
  <sheetFormatPr defaultColWidth="9.140625" defaultRowHeight="15"/>
  <cols>
    <col min="1" max="1" width="17.421875" style="0" bestFit="1" customWidth="1"/>
    <col min="2" max="2" width="10.8515625" style="0" bestFit="1" customWidth="1"/>
    <col min="3" max="3" width="12.28125" style="0" bestFit="1" customWidth="1"/>
    <col min="4" max="4" width="13.140625" style="0" bestFit="1" customWidth="1"/>
    <col min="5" max="5" width="11.57421875" style="0" bestFit="1" customWidth="1"/>
  </cols>
  <sheetData>
    <row r="1" spans="1:2" ht="14.25">
      <c r="A1" s="141" t="s">
        <v>197</v>
      </c>
      <c r="B1" s="87">
        <v>10000</v>
      </c>
    </row>
    <row r="2" spans="1:2" ht="14.25">
      <c r="A2" s="141" t="s">
        <v>7</v>
      </c>
      <c r="B2" s="5">
        <v>0.14</v>
      </c>
    </row>
    <row r="3" spans="1:2" ht="14.25">
      <c r="A3" s="141" t="s">
        <v>35</v>
      </c>
      <c r="B3" s="5">
        <v>5</v>
      </c>
    </row>
    <row r="4" spans="1:2" ht="14.25">
      <c r="A4" s="141" t="s">
        <v>4</v>
      </c>
      <c r="B4" s="5">
        <v>1</v>
      </c>
    </row>
    <row r="5" spans="1:2" ht="14.25">
      <c r="A5" s="141" t="s">
        <v>70</v>
      </c>
      <c r="B5" s="5">
        <f>B2/B4</f>
        <v>0.14</v>
      </c>
    </row>
    <row r="6" spans="1:2" ht="14.25">
      <c r="A6" s="141" t="s">
        <v>198</v>
      </c>
      <c r="B6" s="5">
        <f>B4*B3</f>
        <v>5</v>
      </c>
    </row>
    <row r="7" spans="1:2" ht="14.25">
      <c r="A7" s="141" t="s">
        <v>32</v>
      </c>
      <c r="B7" s="143">
        <f>PMT(B5,B6,B1,,0)</f>
        <v>-2912.8354649104335</v>
      </c>
    </row>
    <row r="9" spans="1:5" ht="14.25">
      <c r="A9" s="141" t="s">
        <v>65</v>
      </c>
      <c r="B9" s="141" t="s">
        <v>154</v>
      </c>
      <c r="C9" s="141" t="s">
        <v>132</v>
      </c>
      <c r="D9" s="141" t="s">
        <v>133</v>
      </c>
      <c r="E9" s="141" t="s">
        <v>155</v>
      </c>
    </row>
    <row r="10" spans="1:5" ht="14.25">
      <c r="A10" s="5">
        <v>0</v>
      </c>
      <c r="B10" s="5"/>
      <c r="C10" s="5"/>
      <c r="D10" s="5"/>
      <c r="E10" s="144">
        <f>B1</f>
        <v>10000</v>
      </c>
    </row>
    <row r="11" spans="1:5" ht="14.25">
      <c r="A11" s="5">
        <v>1</v>
      </c>
      <c r="B11" s="144">
        <f>-$B$7</f>
        <v>2912.8354649104335</v>
      </c>
      <c r="C11" s="144">
        <f>E10*$B$5</f>
        <v>1400.0000000000002</v>
      </c>
      <c r="D11" s="144">
        <f>B11-C11</f>
        <v>1512.8354649104333</v>
      </c>
      <c r="E11" s="144">
        <f>E10-D11</f>
        <v>8487.164535089567</v>
      </c>
    </row>
    <row r="12" spans="1:5" ht="14.25">
      <c r="A12" s="5">
        <v>2</v>
      </c>
      <c r="B12" s="144">
        <f>-$B$7</f>
        <v>2912.8354649104335</v>
      </c>
      <c r="C12" s="144">
        <f>E11*$B$5</f>
        <v>1188.2030349125396</v>
      </c>
      <c r="D12" s="144">
        <f>B12-C12</f>
        <v>1724.632429997894</v>
      </c>
      <c r="E12" s="144">
        <f>E11-D12</f>
        <v>6762.532105091673</v>
      </c>
    </row>
    <row r="13" spans="1:5" ht="14.25">
      <c r="A13" s="5">
        <v>3</v>
      </c>
      <c r="B13" s="144">
        <f>-$B$7</f>
        <v>2912.8354649104335</v>
      </c>
      <c r="C13" s="144">
        <f>E12*$B$5</f>
        <v>946.7544947128342</v>
      </c>
      <c r="D13" s="144">
        <f>B13-C13</f>
        <v>1966.0809701975993</v>
      </c>
      <c r="E13" s="144">
        <f>E12-D13</f>
        <v>4796.451134894073</v>
      </c>
    </row>
    <row r="14" spans="1:5" ht="14.25">
      <c r="A14" s="5">
        <v>4</v>
      </c>
      <c r="B14" s="144">
        <f>-$B$7</f>
        <v>2912.8354649104335</v>
      </c>
      <c r="C14" s="144">
        <f>E13*$B$5</f>
        <v>671.5031588851704</v>
      </c>
      <c r="D14" s="144">
        <f>B14-C14</f>
        <v>2241.3323060252633</v>
      </c>
      <c r="E14" s="144">
        <f>E13-D14</f>
        <v>2555.11882886881</v>
      </c>
    </row>
    <row r="15" spans="1:5" ht="15" thickBot="1">
      <c r="A15" s="135">
        <v>5</v>
      </c>
      <c r="B15" s="145">
        <f>-$B$7</f>
        <v>2912.8354649104335</v>
      </c>
      <c r="C15" s="145">
        <f>E14*$B$5</f>
        <v>357.7166360416334</v>
      </c>
      <c r="D15" s="145">
        <f>B15-C15</f>
        <v>2555.1188288688</v>
      </c>
      <c r="E15" s="145">
        <f>E14-D15</f>
        <v>1.000444171950221E-11</v>
      </c>
    </row>
    <row r="16" spans="1:5" ht="15" thickBot="1">
      <c r="A16" s="142" t="s">
        <v>186</v>
      </c>
      <c r="B16" s="146">
        <f>SUM(B11:B15)</f>
        <v>14564.177324552167</v>
      </c>
      <c r="C16" s="146">
        <f>SUM(C11:C15)</f>
        <v>4564.177324552178</v>
      </c>
      <c r="D16" s="147">
        <f>SUM(D11:D15)</f>
        <v>9999.999999999989</v>
      </c>
      <c r="E16" s="142"/>
    </row>
    <row r="17" ht="15" thickTop="1"/>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0000"/>
  </sheetPr>
  <dimension ref="A1:B5"/>
  <sheetViews>
    <sheetView zoomScalePageLayoutView="0" workbookViewId="0" topLeftCell="A1">
      <selection activeCell="B15" sqref="B15"/>
    </sheetView>
  </sheetViews>
  <sheetFormatPr defaultColWidth="9.140625" defaultRowHeight="15"/>
  <cols>
    <col min="1" max="2" width="18.57421875" style="0" customWidth="1"/>
  </cols>
  <sheetData>
    <row r="1" spans="1:2" ht="42.75">
      <c r="A1" s="6" t="s">
        <v>31</v>
      </c>
      <c r="B1" s="6"/>
    </row>
    <row r="2" spans="1:2" ht="14.25">
      <c r="A2" s="5" t="s">
        <v>28</v>
      </c>
      <c r="B2" s="9">
        <v>0.145</v>
      </c>
    </row>
    <row r="3" spans="1:2" ht="14.25">
      <c r="A3" s="5" t="s">
        <v>4</v>
      </c>
      <c r="B3" s="5">
        <v>2</v>
      </c>
    </row>
    <row r="4" spans="1:2" ht="14.25">
      <c r="A4" s="5" t="s">
        <v>7</v>
      </c>
      <c r="B4" s="20">
        <f>((B2+1)^(1/B3)-1)*B3</f>
        <v>0.1400934559032696</v>
      </c>
    </row>
    <row r="5" spans="1:2" ht="14.25">
      <c r="A5" s="5" t="s">
        <v>7</v>
      </c>
      <c r="B5" s="1">
        <f>NOMINAL(B2,B3)</f>
        <v>0.1400934559032696</v>
      </c>
    </row>
  </sheetData>
  <sheetProtection/>
  <printOptions/>
  <pageMargins left="0.7" right="0.7" top="0.75" bottom="0.75" header="0.3" footer="0.3"/>
  <pageSetup orientation="portrait" paperSize="9"/>
</worksheet>
</file>

<file path=xl/worksheets/sheet80.xml><?xml version="1.0" encoding="utf-8"?>
<worksheet xmlns="http://schemas.openxmlformats.org/spreadsheetml/2006/main" xmlns:r="http://schemas.openxmlformats.org/officeDocument/2006/relationships">
  <sheetPr>
    <tabColor theme="2"/>
  </sheetPr>
  <dimension ref="A1:B12"/>
  <sheetViews>
    <sheetView zoomScale="130" zoomScaleNormal="130" zoomScalePageLayoutView="0" workbookViewId="0" topLeftCell="A1">
      <selection activeCell="B15" sqref="B15"/>
    </sheetView>
  </sheetViews>
  <sheetFormatPr defaultColWidth="9.140625" defaultRowHeight="15"/>
  <cols>
    <col min="1" max="1" width="21.421875" style="0" bestFit="1" customWidth="1"/>
    <col min="2" max="2" width="13.140625" style="0" bestFit="1" customWidth="1"/>
  </cols>
  <sheetData>
    <row r="1" spans="1:2" ht="14.25">
      <c r="A1" s="5" t="s">
        <v>202</v>
      </c>
      <c r="B1" s="87">
        <v>21000</v>
      </c>
    </row>
    <row r="2" spans="1:2" ht="14.25">
      <c r="A2" s="5" t="s">
        <v>204</v>
      </c>
      <c r="B2" s="87">
        <v>0.1</v>
      </c>
    </row>
    <row r="3" spans="1:2" ht="14.25">
      <c r="A3" s="5" t="s">
        <v>203</v>
      </c>
      <c r="B3" s="148">
        <f>B1*B2</f>
        <v>2100</v>
      </c>
    </row>
    <row r="4" spans="1:2" ht="14.25">
      <c r="A4" s="5" t="s">
        <v>199</v>
      </c>
      <c r="B4" s="148">
        <f>B1-B3</f>
        <v>18900</v>
      </c>
    </row>
    <row r="5" spans="1:2" ht="14.25">
      <c r="A5" s="5" t="s">
        <v>15</v>
      </c>
      <c r="B5" s="5">
        <v>0.15</v>
      </c>
    </row>
    <row r="6" spans="1:2" ht="14.25">
      <c r="A6" s="5" t="s">
        <v>92</v>
      </c>
      <c r="B6" s="5">
        <v>12</v>
      </c>
    </row>
    <row r="7" spans="1:2" ht="14.25">
      <c r="A7" s="5" t="s">
        <v>201</v>
      </c>
      <c r="B7" s="1">
        <f>B8/B6</f>
        <v>6</v>
      </c>
    </row>
    <row r="8" spans="1:2" ht="14.25">
      <c r="A8" s="5" t="s">
        <v>200</v>
      </c>
      <c r="B8" s="5">
        <v>72</v>
      </c>
    </row>
    <row r="9" spans="1:2" ht="14.25">
      <c r="A9" s="5" t="s">
        <v>70</v>
      </c>
      <c r="B9" s="1">
        <f>B5/B6</f>
        <v>0.012499999999999999</v>
      </c>
    </row>
    <row r="10" spans="1:2" ht="14.25">
      <c r="A10" s="5" t="s">
        <v>32</v>
      </c>
      <c r="B10" s="46">
        <f>PMT(B9,B8,B4,,0)</f>
        <v>-399.6407520396524</v>
      </c>
    </row>
    <row r="11" spans="1:2" ht="14.25">
      <c r="A11" s="5" t="s">
        <v>28</v>
      </c>
      <c r="B11" s="1">
        <f>(1+B9)^B6-1</f>
        <v>0.16075451772299854</v>
      </c>
    </row>
    <row r="12" spans="1:2" ht="14.25">
      <c r="A12" s="5" t="s">
        <v>28</v>
      </c>
      <c r="B12" s="1">
        <f>EFFECT(B5,B6)</f>
        <v>0.16075451772299854</v>
      </c>
    </row>
  </sheetData>
  <sheetProtection/>
  <printOptions/>
  <pageMargins left="0.7" right="0.7" top="0.75" bottom="0.75" header="0.3" footer="0.3"/>
  <pageSetup orientation="portrait" paperSize="9"/>
</worksheet>
</file>

<file path=xl/worksheets/sheet81.xml><?xml version="1.0" encoding="utf-8"?>
<worksheet xmlns="http://schemas.openxmlformats.org/spreadsheetml/2006/main" xmlns:r="http://schemas.openxmlformats.org/officeDocument/2006/relationships">
  <sheetPr>
    <tabColor theme="2"/>
  </sheetPr>
  <dimension ref="A1:E8"/>
  <sheetViews>
    <sheetView zoomScale="130" zoomScaleNormal="130" zoomScalePageLayoutView="0" workbookViewId="0" topLeftCell="A1">
      <selection activeCell="B15" sqref="B15"/>
    </sheetView>
  </sheetViews>
  <sheetFormatPr defaultColWidth="9.140625" defaultRowHeight="15"/>
  <cols>
    <col min="1" max="1" width="12.8515625" style="0" bestFit="1" customWidth="1"/>
    <col min="2" max="2" width="11.8515625" style="0" bestFit="1" customWidth="1"/>
    <col min="4" max="4" width="12.8515625" style="0" bestFit="1" customWidth="1"/>
    <col min="5" max="5" width="11.8515625" style="0" bestFit="1" customWidth="1"/>
  </cols>
  <sheetData>
    <row r="1" spans="1:5" ht="14.25">
      <c r="A1" s="5" t="s">
        <v>32</v>
      </c>
      <c r="B1" s="5">
        <v>3000</v>
      </c>
      <c r="D1" s="5" t="s">
        <v>32</v>
      </c>
      <c r="E1" s="5">
        <v>3000</v>
      </c>
    </row>
    <row r="2" spans="1:5" ht="14.25">
      <c r="A2" s="5" t="s">
        <v>35</v>
      </c>
      <c r="B2" s="5">
        <v>20</v>
      </c>
      <c r="D2" s="5" t="s">
        <v>35</v>
      </c>
      <c r="E2" s="5">
        <v>40</v>
      </c>
    </row>
    <row r="3" spans="1:5" ht="14.25">
      <c r="A3" s="5" t="s">
        <v>7</v>
      </c>
      <c r="B3" s="9">
        <v>0.085</v>
      </c>
      <c r="D3" s="5" t="s">
        <v>7</v>
      </c>
      <c r="E3" s="9">
        <v>0.085</v>
      </c>
    </row>
    <row r="4" spans="1:5" ht="14.25">
      <c r="A4" s="5" t="s">
        <v>4</v>
      </c>
      <c r="B4" s="137">
        <v>1</v>
      </c>
      <c r="D4" s="5" t="s">
        <v>4</v>
      </c>
      <c r="E4" s="137">
        <v>1</v>
      </c>
    </row>
    <row r="5" spans="1:5" ht="14.25">
      <c r="A5" s="5" t="s">
        <v>34</v>
      </c>
      <c r="B5" s="148">
        <f>FV(B3/B4,B4*B2,-B1,,0)</f>
        <v>145131.03969264007</v>
      </c>
      <c r="D5" s="5" t="s">
        <v>34</v>
      </c>
      <c r="E5" s="148">
        <f>FV(E3/E4,E4*E2,-E1,,0)</f>
        <v>887047.6087161691</v>
      </c>
    </row>
    <row r="7" spans="1:5" ht="14.25">
      <c r="A7" s="5" t="s">
        <v>156</v>
      </c>
      <c r="B7" s="148">
        <f>B2*B1</f>
        <v>60000</v>
      </c>
      <c r="D7" s="5" t="s">
        <v>156</v>
      </c>
      <c r="E7" s="148">
        <f>E2*E1</f>
        <v>120000</v>
      </c>
    </row>
    <row r="8" spans="1:5" ht="14.25">
      <c r="A8" s="5" t="s">
        <v>157</v>
      </c>
      <c r="B8" s="148">
        <f>B5-B7</f>
        <v>85131.03969264007</v>
      </c>
      <c r="D8" s="5" t="s">
        <v>157</v>
      </c>
      <c r="E8" s="148">
        <f>E5-E7</f>
        <v>767047.6087161691</v>
      </c>
    </row>
  </sheetData>
  <sheetProtection/>
  <printOptions/>
  <pageMargins left="0.7" right="0.7" top="0.75" bottom="0.75" header="0.3" footer="0.3"/>
  <pageSetup orientation="portrait" paperSize="9"/>
</worksheet>
</file>

<file path=xl/worksheets/sheet82.xml><?xml version="1.0" encoding="utf-8"?>
<worksheet xmlns="http://schemas.openxmlformats.org/spreadsheetml/2006/main" xmlns:r="http://schemas.openxmlformats.org/officeDocument/2006/relationships">
  <sheetPr>
    <tabColor theme="2"/>
  </sheetPr>
  <dimension ref="A1:D5"/>
  <sheetViews>
    <sheetView zoomScale="205" zoomScaleNormal="205" zoomScalePageLayoutView="0" workbookViewId="0" topLeftCell="A1">
      <selection activeCell="B15" sqref="B15"/>
    </sheetView>
  </sheetViews>
  <sheetFormatPr defaultColWidth="9.140625" defaultRowHeight="15"/>
  <sheetData>
    <row r="1" spans="1:4" ht="14.25">
      <c r="A1" s="44" t="s">
        <v>206</v>
      </c>
      <c r="B1" s="44" t="s">
        <v>207</v>
      </c>
      <c r="C1" s="44" t="s">
        <v>205</v>
      </c>
      <c r="D1" s="44" t="s">
        <v>205</v>
      </c>
    </row>
    <row r="2" spans="1:4" ht="14.25">
      <c r="A2" s="149">
        <v>0.08</v>
      </c>
      <c r="B2" s="5">
        <v>4</v>
      </c>
      <c r="C2" s="150">
        <f>(1+A2/B2)^B2-1</f>
        <v>0.08243215999999998</v>
      </c>
      <c r="D2" s="150">
        <f>EFFECT(A2,B2)</f>
        <v>0.08243215999999998</v>
      </c>
    </row>
    <row r="3" spans="1:4" ht="14.25">
      <c r="A3" s="149">
        <v>0.1</v>
      </c>
      <c r="B3" s="5">
        <v>12</v>
      </c>
      <c r="C3" s="150">
        <f>(1+A3/B3)^B3-1</f>
        <v>0.10471306744129683</v>
      </c>
      <c r="D3" s="150">
        <f>EFFECT(A3,B3)</f>
        <v>0.10471306744129683</v>
      </c>
    </row>
    <row r="4" spans="1:4" ht="14.25">
      <c r="A4" s="149">
        <v>0.14</v>
      </c>
      <c r="B4" s="5">
        <v>365</v>
      </c>
      <c r="C4" s="150">
        <f>(1+A4/B4)^B4-1</f>
        <v>0.15024292310302934</v>
      </c>
      <c r="D4" s="150">
        <f>EFFECT(A4,B4)</f>
        <v>0.15024292310302934</v>
      </c>
    </row>
    <row r="5" spans="1:4" ht="14.25">
      <c r="A5" s="149">
        <v>0.18</v>
      </c>
      <c r="B5" s="5">
        <v>2</v>
      </c>
      <c r="C5" s="150">
        <f>(1+A5/B5)^B5-1</f>
        <v>0.18810000000000016</v>
      </c>
      <c r="D5" s="150">
        <f>EFFECT(A5,B5)</f>
        <v>0.18810000000000016</v>
      </c>
    </row>
  </sheetData>
  <sheetProtection/>
  <printOptions/>
  <pageMargins left="0.7" right="0.7" top="0.75" bottom="0.75" header="0.3" footer="0.3"/>
  <pageSetup orientation="portrait" paperSize="9"/>
</worksheet>
</file>

<file path=xl/worksheets/sheet83.xml><?xml version="1.0" encoding="utf-8"?>
<worksheet xmlns="http://schemas.openxmlformats.org/spreadsheetml/2006/main" xmlns:r="http://schemas.openxmlformats.org/officeDocument/2006/relationships">
  <sheetPr>
    <tabColor theme="2"/>
  </sheetPr>
  <dimension ref="A1:D5"/>
  <sheetViews>
    <sheetView zoomScale="205" zoomScaleNormal="205" zoomScalePageLayoutView="0" workbookViewId="0" topLeftCell="A1">
      <selection activeCell="B15" sqref="B15"/>
    </sheetView>
  </sheetViews>
  <sheetFormatPr defaultColWidth="9.140625" defaultRowHeight="15"/>
  <cols>
    <col min="1" max="1" width="11.140625" style="0" bestFit="1" customWidth="1"/>
    <col min="2" max="2" width="11.140625" style="0" customWidth="1"/>
  </cols>
  <sheetData>
    <row r="1" spans="1:4" ht="14.25">
      <c r="A1" s="44" t="s">
        <v>206</v>
      </c>
      <c r="B1" s="44" t="s">
        <v>206</v>
      </c>
      <c r="C1" s="44" t="s">
        <v>207</v>
      </c>
      <c r="D1" s="44" t="s">
        <v>205</v>
      </c>
    </row>
    <row r="2" spans="1:4" ht="14.25">
      <c r="A2" s="150">
        <f>NOMINAL(D2,C2)</f>
        <v>0.11660104885167266</v>
      </c>
      <c r="B2" s="150">
        <f>((D2+1)^(1/C2)-1)*C2</f>
        <v>0.11660104885167266</v>
      </c>
      <c r="C2" s="5">
        <v>2</v>
      </c>
      <c r="D2" s="149">
        <v>0.12</v>
      </c>
    </row>
    <row r="3" spans="1:4" ht="14.25">
      <c r="A3" s="150">
        <f>NOMINAL(D3,C3)</f>
        <v>0.16666116418091903</v>
      </c>
      <c r="B3" s="150">
        <f>((D3+1)^(1/C3)-1)*C3</f>
        <v>0.16666116418091903</v>
      </c>
      <c r="C3" s="5">
        <v>12</v>
      </c>
      <c r="D3" s="149">
        <v>0.18</v>
      </c>
    </row>
    <row r="4" spans="1:4" ht="14.25">
      <c r="A4" s="150">
        <f>NOMINAL(D4,C4)</f>
        <v>0.06770268384637923</v>
      </c>
      <c r="B4" s="150">
        <f>((D4+1)^(1/C4)-1)*C4</f>
        <v>0.06770268384637923</v>
      </c>
      <c r="C4" s="5">
        <v>52</v>
      </c>
      <c r="D4" s="149">
        <v>0.07</v>
      </c>
    </row>
    <row r="5" spans="1:4" ht="14.25">
      <c r="A5" s="150">
        <f>NOMINAL(D5,C5)</f>
        <v>0.10437493594181224</v>
      </c>
      <c r="B5" s="150">
        <f>((D5+1)^(1/C5)-1)*C5</f>
        <v>0.10437493594181224</v>
      </c>
      <c r="C5" s="5">
        <v>365</v>
      </c>
      <c r="D5" s="149">
        <v>0.11</v>
      </c>
    </row>
  </sheetData>
  <sheetProtection/>
  <printOptions/>
  <pageMargins left="0.7" right="0.7" top="0.75" bottom="0.75" header="0.3" footer="0.3"/>
  <pageSetup orientation="portrait" paperSize="9"/>
</worksheet>
</file>

<file path=xl/worksheets/sheet84.xml><?xml version="1.0" encoding="utf-8"?>
<worksheet xmlns="http://schemas.openxmlformats.org/spreadsheetml/2006/main" xmlns:r="http://schemas.openxmlformats.org/officeDocument/2006/relationships">
  <sheetPr>
    <tabColor indexed="10"/>
  </sheetPr>
  <dimension ref="A1:C5"/>
  <sheetViews>
    <sheetView zoomScale="205" zoomScaleNormal="205" zoomScalePageLayoutView="0" workbookViewId="0" topLeftCell="A1">
      <selection activeCell="B15" sqref="B15"/>
    </sheetView>
  </sheetViews>
  <sheetFormatPr defaultColWidth="9.140625" defaultRowHeight="15"/>
  <cols>
    <col min="1" max="1" width="15.28125" style="0" bestFit="1" customWidth="1"/>
    <col min="3" max="3" width="11.28125" style="0" bestFit="1" customWidth="1"/>
  </cols>
  <sheetData>
    <row r="1" spans="1:3" ht="14.25">
      <c r="A1" s="5" t="s">
        <v>274</v>
      </c>
      <c r="B1" s="5">
        <v>0.25</v>
      </c>
      <c r="C1" s="5"/>
    </row>
    <row r="2" spans="1:3" ht="14.25">
      <c r="A2" s="5" t="s">
        <v>4</v>
      </c>
      <c r="B2" s="5">
        <v>12</v>
      </c>
      <c r="C2" s="5"/>
    </row>
    <row r="3" spans="1:3" ht="14.25">
      <c r="A3" s="5" t="s">
        <v>7</v>
      </c>
      <c r="B3" s="5">
        <f>B2*B1</f>
        <v>3</v>
      </c>
      <c r="C3" s="5"/>
    </row>
    <row r="4" spans="1:3" ht="14.25">
      <c r="A4" s="5" t="s">
        <v>28</v>
      </c>
      <c r="B4" s="1">
        <f>(1+B1)^B2-1</f>
        <v>13.551915228366852</v>
      </c>
      <c r="C4" s="152">
        <f>B4</f>
        <v>13.551915228366852</v>
      </c>
    </row>
    <row r="5" spans="1:3" ht="14.25">
      <c r="A5" s="5" t="s">
        <v>28</v>
      </c>
      <c r="B5" s="1">
        <f>EFFECT(B3,B2)</f>
        <v>13.551915228366852</v>
      </c>
      <c r="C5" s="152">
        <f>B5</f>
        <v>13.551915228366852</v>
      </c>
    </row>
  </sheetData>
  <sheetProtection/>
  <printOptions/>
  <pageMargins left="0.7" right="0.7" top="0.75" bottom="0.75" header="0.3" footer="0.3"/>
  <pageSetup orientation="portrait" paperSize="9"/>
</worksheet>
</file>

<file path=xl/worksheets/sheet85.xml><?xml version="1.0" encoding="utf-8"?>
<worksheet xmlns="http://schemas.openxmlformats.org/spreadsheetml/2006/main" xmlns:r="http://schemas.openxmlformats.org/officeDocument/2006/relationships">
  <sheetPr>
    <tabColor indexed="10"/>
  </sheetPr>
  <dimension ref="A1:D9"/>
  <sheetViews>
    <sheetView zoomScale="220" zoomScaleNormal="220" zoomScalePageLayoutView="0" workbookViewId="0" topLeftCell="A1">
      <selection activeCell="B15" sqref="B15"/>
    </sheetView>
  </sheetViews>
  <sheetFormatPr defaultColWidth="9.140625" defaultRowHeight="15"/>
  <cols>
    <col min="1" max="1" width="18.28125" style="0" bestFit="1" customWidth="1"/>
    <col min="2" max="2" width="10.421875" style="0" bestFit="1" customWidth="1"/>
  </cols>
  <sheetData>
    <row r="1" spans="1:2" ht="14.25">
      <c r="A1" s="5" t="s">
        <v>209</v>
      </c>
      <c r="B1" s="60">
        <v>62500</v>
      </c>
    </row>
    <row r="2" spans="1:2" ht="14.25">
      <c r="A2" s="5" t="s">
        <v>225</v>
      </c>
      <c r="B2" s="137">
        <v>0</v>
      </c>
    </row>
    <row r="3" spans="1:2" ht="14.25">
      <c r="A3" s="5" t="s">
        <v>210</v>
      </c>
      <c r="B3" s="5">
        <v>0.082</v>
      </c>
    </row>
    <row r="4" spans="1:2" ht="14.25">
      <c r="A4" s="5" t="s">
        <v>4</v>
      </c>
      <c r="B4" s="5">
        <v>12</v>
      </c>
    </row>
    <row r="5" spans="1:2" ht="14.25">
      <c r="A5" s="5" t="s">
        <v>211</v>
      </c>
      <c r="B5" s="5">
        <v>60</v>
      </c>
    </row>
    <row r="6" spans="1:2" ht="14.25">
      <c r="A6" s="5" t="s">
        <v>35</v>
      </c>
      <c r="B6" s="5">
        <f>B5/B4</f>
        <v>5</v>
      </c>
    </row>
    <row r="7" spans="1:4" ht="14.25">
      <c r="A7" s="5" t="s">
        <v>70</v>
      </c>
      <c r="B7" s="5">
        <f>B3/B4</f>
        <v>0.006833333333333334</v>
      </c>
      <c r="D7" s="5" t="s">
        <v>59</v>
      </c>
    </row>
    <row r="8" spans="1:4" ht="14.25">
      <c r="A8" s="5" t="s">
        <v>32</v>
      </c>
      <c r="B8" s="46">
        <f>PMT(B7,B5,B1,,B2)</f>
        <v>-1273.265399326559</v>
      </c>
      <c r="D8" s="5">
        <f>B1/((1-(1+B7)^-B5)/B7)</f>
        <v>1273.2653993265592</v>
      </c>
    </row>
    <row r="9" spans="1:4" ht="14.25">
      <c r="A9" s="5" t="s">
        <v>28</v>
      </c>
      <c r="B9" s="1">
        <f>EFFECT(B3,B4)</f>
        <v>0.08515312182665724</v>
      </c>
      <c r="D9" s="5">
        <f>(1+B7)^B4-1</f>
        <v>0.08515312182665724</v>
      </c>
    </row>
  </sheetData>
  <sheetProtection/>
  <printOptions/>
  <pageMargins left="0.7" right="0.7" top="0.75" bottom="0.75" header="0.3" footer="0.3"/>
  <pageSetup orientation="portrait" paperSize="9"/>
</worksheet>
</file>

<file path=xl/worksheets/sheet86.xml><?xml version="1.0" encoding="utf-8"?>
<worksheet xmlns="http://schemas.openxmlformats.org/spreadsheetml/2006/main" xmlns:r="http://schemas.openxmlformats.org/officeDocument/2006/relationships">
  <sheetPr>
    <tabColor indexed="10"/>
  </sheetPr>
  <dimension ref="A1:D14"/>
  <sheetViews>
    <sheetView zoomScale="130" zoomScaleNormal="130" zoomScalePageLayoutView="0" workbookViewId="0" topLeftCell="A1">
      <selection activeCell="B15" sqref="B15"/>
    </sheetView>
  </sheetViews>
  <sheetFormatPr defaultColWidth="9.140625" defaultRowHeight="15"/>
  <cols>
    <col min="1" max="1" width="27.00390625" style="0" bestFit="1" customWidth="1"/>
    <col min="2" max="2" width="10.421875" style="0" bestFit="1" customWidth="1"/>
  </cols>
  <sheetData>
    <row r="1" spans="1:2" ht="14.25">
      <c r="A1" s="5" t="s">
        <v>217</v>
      </c>
      <c r="B1" s="5">
        <v>6000</v>
      </c>
    </row>
    <row r="2" spans="1:2" ht="14.25">
      <c r="A2" s="5" t="s">
        <v>212</v>
      </c>
      <c r="B2" s="5">
        <v>0.021</v>
      </c>
    </row>
    <row r="3" spans="1:3" ht="14.25">
      <c r="A3" s="5" t="s">
        <v>213</v>
      </c>
      <c r="B3" s="153">
        <v>6</v>
      </c>
      <c r="C3" s="5" t="s">
        <v>214</v>
      </c>
    </row>
    <row r="4" spans="1:2" ht="14.25">
      <c r="A4" s="5" t="s">
        <v>218</v>
      </c>
      <c r="B4" s="5">
        <v>12</v>
      </c>
    </row>
    <row r="5" spans="1:2" ht="14.25">
      <c r="A5" s="5" t="s">
        <v>219</v>
      </c>
      <c r="B5" s="5">
        <f>B2/B4</f>
        <v>0.00175</v>
      </c>
    </row>
    <row r="6" spans="1:4" ht="14.25">
      <c r="A6" s="5" t="str">
        <f>"Intro Rate x (years) = "&amp;B3&amp;"/"&amp;B4&amp;" ="</f>
        <v>Intro Rate x (years) = 6/12 =</v>
      </c>
      <c r="B6" s="5">
        <f>B3/B4</f>
        <v>0.5</v>
      </c>
      <c r="D6" s="5" t="s">
        <v>59</v>
      </c>
    </row>
    <row r="7" spans="1:4" ht="14.25">
      <c r="A7" s="5" t="str">
        <f>"FV after first "&amp;B3&amp;" "&amp;C3&amp;" ="</f>
        <v>FV after first 6 months =</v>
      </c>
      <c r="B7" s="46">
        <f>FV(B2/B4,B3,,B1)</f>
        <v>-6063.27626896969</v>
      </c>
      <c r="D7" s="5">
        <f>B1*(1+B5)^B3</f>
        <v>6063.27626896969</v>
      </c>
    </row>
    <row r="8" spans="1:2" ht="14.25">
      <c r="A8" s="5"/>
      <c r="B8" s="5"/>
    </row>
    <row r="9" spans="1:2" ht="14.25">
      <c r="A9" s="5" t="s">
        <v>215</v>
      </c>
      <c r="B9" s="5">
        <v>0.21</v>
      </c>
    </row>
    <row r="10" spans="1:2" ht="14.25">
      <c r="A10" s="5" t="s">
        <v>216</v>
      </c>
      <c r="B10" s="5">
        <v>12</v>
      </c>
    </row>
    <row r="11" spans="1:2" ht="14.25">
      <c r="A11" s="5" t="s">
        <v>219</v>
      </c>
      <c r="B11" s="5">
        <f>B9/B10</f>
        <v>0.017499999999999998</v>
      </c>
    </row>
    <row r="12" spans="1:4" ht="14.25">
      <c r="A12" s="5" t="str">
        <f>"Regular Rate x (years) = "&amp;B4-B3&amp;"/"&amp;B10&amp;" ="</f>
        <v>Regular Rate x (years) = 6/12 =</v>
      </c>
      <c r="B12" s="5">
        <f>(B4-B3)/B10</f>
        <v>0.5</v>
      </c>
      <c r="D12" s="5" t="s">
        <v>59</v>
      </c>
    </row>
    <row r="13" spans="1:4" ht="14.25">
      <c r="A13" s="5" t="str">
        <f>"FV after second "&amp;B4-B3&amp;" "&amp;C3&amp;" ="</f>
        <v>FV after second 6 months =</v>
      </c>
      <c r="B13" s="46">
        <f>FV(B11,B4-B3,,-B7)</f>
        <v>-6728.431949916524</v>
      </c>
      <c r="D13" s="5">
        <f>-B7*(1+B11)^(B12*B10)</f>
        <v>6728.431949916524</v>
      </c>
    </row>
    <row r="14" spans="1:2" ht="14.25">
      <c r="A14" s="5" t="s">
        <v>220</v>
      </c>
      <c r="B14" s="46">
        <f>-B13-B1</f>
        <v>728.431949916524</v>
      </c>
    </row>
  </sheetData>
  <sheetProtection/>
  <printOptions/>
  <pageMargins left="0.75" right="0.75" top="1" bottom="1" header="0.5" footer="0.5"/>
  <pageSetup orientation="portrait" paperSize="9"/>
</worksheet>
</file>

<file path=xl/worksheets/sheet87.xml><?xml version="1.0" encoding="utf-8"?>
<worksheet xmlns="http://schemas.openxmlformats.org/spreadsheetml/2006/main" xmlns:r="http://schemas.openxmlformats.org/officeDocument/2006/relationships">
  <sheetPr>
    <tabColor indexed="10"/>
  </sheetPr>
  <dimension ref="A1:H12"/>
  <sheetViews>
    <sheetView zoomScalePageLayoutView="0" workbookViewId="0" topLeftCell="A1">
      <selection activeCell="B15" sqref="B15"/>
    </sheetView>
  </sheetViews>
  <sheetFormatPr defaultColWidth="9.140625" defaultRowHeight="15"/>
  <cols>
    <col min="1" max="1" width="18.7109375" style="0" bestFit="1" customWidth="1"/>
    <col min="2" max="2" width="12.140625" style="0" bestFit="1" customWidth="1"/>
    <col min="4" max="4" width="18.7109375" style="0" bestFit="1" customWidth="1"/>
    <col min="5" max="5" width="13.7109375" style="0" bestFit="1" customWidth="1"/>
    <col min="6" max="6" width="25.8515625" style="0" bestFit="1" customWidth="1"/>
    <col min="7" max="7" width="2.140625" style="0" customWidth="1"/>
    <col min="8" max="8" width="11.140625" style="0" bestFit="1" customWidth="1"/>
  </cols>
  <sheetData>
    <row r="1" spans="1:5" ht="14.25">
      <c r="A1" s="6" t="s">
        <v>221</v>
      </c>
      <c r="B1" s="6"/>
      <c r="D1" s="6" t="s">
        <v>222</v>
      </c>
      <c r="E1" s="6"/>
    </row>
    <row r="2" spans="1:5" ht="14.25">
      <c r="A2" s="5" t="s">
        <v>223</v>
      </c>
      <c r="B2" s="5"/>
      <c r="D2" s="5" t="str">
        <f aca="true" t="shared" si="0" ref="D2:D10">A2</f>
        <v>Current Cash Paid =</v>
      </c>
      <c r="E2" s="5">
        <v>30000</v>
      </c>
    </row>
    <row r="3" spans="1:5" ht="14.25">
      <c r="A3" s="5" t="s">
        <v>32</v>
      </c>
      <c r="B3" s="5">
        <v>6200</v>
      </c>
      <c r="D3" s="5" t="str">
        <f t="shared" si="0"/>
        <v>PMT =</v>
      </c>
      <c r="E3" s="5">
        <v>4900</v>
      </c>
    </row>
    <row r="4" spans="1:5" ht="14.25">
      <c r="A4" s="5" t="s">
        <v>35</v>
      </c>
      <c r="B4" s="5">
        <v>2</v>
      </c>
      <c r="D4" s="5" t="str">
        <f t="shared" si="0"/>
        <v>x =</v>
      </c>
      <c r="E4" s="5">
        <f>B4</f>
        <v>2</v>
      </c>
    </row>
    <row r="5" spans="1:5" ht="14.25">
      <c r="A5" s="5" t="s">
        <v>92</v>
      </c>
      <c r="B5" s="5">
        <v>12</v>
      </c>
      <c r="D5" s="5" t="str">
        <f t="shared" si="0"/>
        <v>n = </v>
      </c>
      <c r="E5" s="5">
        <f>B5</f>
        <v>12</v>
      </c>
    </row>
    <row r="6" spans="1:5" ht="14.25">
      <c r="A6" s="5" t="s">
        <v>15</v>
      </c>
      <c r="B6" s="5">
        <v>0.08</v>
      </c>
      <c r="D6" s="5" t="str">
        <f t="shared" si="0"/>
        <v>APR = i =</v>
      </c>
      <c r="E6" s="5">
        <f>B6</f>
        <v>0.08</v>
      </c>
    </row>
    <row r="7" spans="1:5" ht="14.25">
      <c r="A7" s="5" t="s">
        <v>70</v>
      </c>
      <c r="B7" s="5">
        <f>B6/B5</f>
        <v>0.006666666666666667</v>
      </c>
      <c r="D7" s="5" t="str">
        <f t="shared" si="0"/>
        <v>i/n =</v>
      </c>
      <c r="E7" s="5">
        <f>E6/E5</f>
        <v>0.006666666666666667</v>
      </c>
    </row>
    <row r="8" spans="1:8" ht="14.25">
      <c r="A8" s="5" t="s">
        <v>224</v>
      </c>
      <c r="B8" s="5">
        <f>B5*B4</f>
        <v>24</v>
      </c>
      <c r="D8" s="5" t="str">
        <f t="shared" si="0"/>
        <v>n*x =</v>
      </c>
      <c r="E8" s="5">
        <f>E5*E4</f>
        <v>24</v>
      </c>
      <c r="F8" s="86" t="s">
        <v>228</v>
      </c>
      <c r="H8" t="s">
        <v>227</v>
      </c>
    </row>
    <row r="9" spans="1:8" ht="14.25">
      <c r="A9" s="5" t="s">
        <v>78</v>
      </c>
      <c r="B9" s="46">
        <f>-PV(B7,B8,B3,,0)</f>
        <v>137085.37036772288</v>
      </c>
      <c r="D9" s="5" t="str">
        <f t="shared" si="0"/>
        <v>PV =</v>
      </c>
      <c r="E9" s="46">
        <f>-(PV(E7,E8,E3,,0)-E2)</f>
        <v>138341.66367771648</v>
      </c>
      <c r="F9" s="1" t="str">
        <f>IF(E9&gt;B9,"Choose "&amp;$D$1,"Choose "&amp;$A$1)</f>
        <v>Choose Salary Arrangement 2</v>
      </c>
      <c r="H9" s="46">
        <f>E9-B9</f>
        <v>1256.2933099936054</v>
      </c>
    </row>
    <row r="10" spans="1:8" ht="14.25">
      <c r="A10" s="5" t="s">
        <v>34</v>
      </c>
      <c r="B10" s="46">
        <f>-FV(B7,B8,B3,B2,0)</f>
        <v>160785.7765231383</v>
      </c>
      <c r="D10" s="5" t="str">
        <f t="shared" si="0"/>
        <v>FV =</v>
      </c>
      <c r="E10" s="46">
        <f>-FV(E7,E8,E3,E2,0)</f>
        <v>162259.26778516217</v>
      </c>
      <c r="F10" s="1" t="str">
        <f>IF(E10&gt;B10,"Choose "&amp;$D$1,"Choose "&amp;$A$1)</f>
        <v>Choose Salary Arrangement 2</v>
      </c>
      <c r="H10" s="46">
        <f>E10-B10</f>
        <v>1473.491262023861</v>
      </c>
    </row>
    <row r="12" spans="1:5" ht="42.75">
      <c r="A12" s="154" t="s">
        <v>226</v>
      </c>
      <c r="B12" s="154"/>
      <c r="C12" s="154"/>
      <c r="D12" s="154"/>
      <c r="E12" s="154"/>
    </row>
  </sheetData>
  <sheetProtection/>
  <printOptions/>
  <pageMargins left="0.75" right="0.75" top="1" bottom="1" header="0.5" footer="0.5"/>
  <pageSetup orientation="portrait" paperSize="9"/>
</worksheet>
</file>

<file path=xl/worksheets/sheet88.xml><?xml version="1.0" encoding="utf-8"?>
<worksheet xmlns="http://schemas.openxmlformats.org/spreadsheetml/2006/main" xmlns:r="http://schemas.openxmlformats.org/officeDocument/2006/relationships">
  <sheetPr>
    <tabColor indexed="10"/>
  </sheetPr>
  <dimension ref="A1:H8"/>
  <sheetViews>
    <sheetView zoomScale="160" zoomScaleNormal="160" zoomScalePageLayoutView="0" workbookViewId="0" topLeftCell="A1">
      <selection activeCell="B15" sqref="B15"/>
    </sheetView>
  </sheetViews>
  <sheetFormatPr defaultColWidth="9.140625" defaultRowHeight="15"/>
  <cols>
    <col min="1" max="1" width="13.421875" style="0" bestFit="1" customWidth="1"/>
    <col min="3" max="3" width="17.28125" style="0" customWidth="1"/>
    <col min="4" max="4" width="13.8515625" style="0" bestFit="1" customWidth="1"/>
    <col min="5" max="6" width="15.7109375" style="0" customWidth="1"/>
    <col min="7" max="7" width="13.8515625" style="0" bestFit="1" customWidth="1"/>
    <col min="8" max="8" width="16.140625" style="0" bestFit="1" customWidth="1"/>
  </cols>
  <sheetData>
    <row r="1" spans="1:2" ht="14.25">
      <c r="A1" s="5" t="s">
        <v>32</v>
      </c>
      <c r="B1" s="5">
        <v>140</v>
      </c>
    </row>
    <row r="2" spans="1:3" ht="14.25">
      <c r="A2" s="5" t="s">
        <v>229</v>
      </c>
      <c r="B2" s="5">
        <v>1</v>
      </c>
      <c r="C2" s="5" t="str">
        <f>IF(B2=1,"Annuity Due",IF(B2=0,"Ordinary Annuity"))</f>
        <v>Annuity Due</v>
      </c>
    </row>
    <row r="3" spans="1:2" ht="14.25">
      <c r="A3" s="5" t="s">
        <v>91</v>
      </c>
      <c r="B3" s="5">
        <v>0.12</v>
      </c>
    </row>
    <row r="4" spans="1:2" ht="14.25">
      <c r="A4" s="5" t="s">
        <v>4</v>
      </c>
      <c r="B4" s="5">
        <v>12</v>
      </c>
    </row>
    <row r="5" spans="1:4" ht="14.25">
      <c r="A5" s="5" t="s">
        <v>70</v>
      </c>
      <c r="B5" s="5">
        <f>B3/B4</f>
        <v>0.01</v>
      </c>
      <c r="D5" s="5" t="s">
        <v>76</v>
      </c>
    </row>
    <row r="6" spans="1:8" ht="14.25">
      <c r="A6" s="5" t="s">
        <v>34</v>
      </c>
      <c r="B6" s="5">
        <v>35000</v>
      </c>
      <c r="D6" s="60">
        <f>FV(B5,NPER(B5,-B1,,B6,B2),-B1,,B2)</f>
        <v>34999.99999999999</v>
      </c>
      <c r="G6" t="s">
        <v>234</v>
      </c>
      <c r="H6" t="s">
        <v>235</v>
      </c>
    </row>
    <row r="7" spans="1:8" ht="14.25">
      <c r="A7" s="5" t="s">
        <v>231</v>
      </c>
      <c r="B7" s="1">
        <f>NPER(B5,-B1,,B6,B2)</f>
        <v>125.18837061865113</v>
      </c>
      <c r="G7">
        <f>LN(B6/B1*B3/B4+1)/LN(1+B5)</f>
        <v>125.90163955166376</v>
      </c>
      <c r="H7" s="52">
        <f>FV(B5,G7,-B1,,B2)</f>
        <v>35350</v>
      </c>
    </row>
    <row r="8" spans="1:3" ht="14.25">
      <c r="A8" s="5" t="s">
        <v>232</v>
      </c>
      <c r="B8" s="5">
        <f>B7/B4</f>
        <v>10.432364218220927</v>
      </c>
      <c r="C8" s="5" t="s">
        <v>233</v>
      </c>
    </row>
  </sheetData>
  <sheetProtection/>
  <printOptions/>
  <pageMargins left="0.75" right="0.75" top="1" bottom="1" header="0.5" footer="0.5"/>
  <pageSetup orientation="portrait" paperSize="9"/>
</worksheet>
</file>

<file path=xl/worksheets/sheet89.xml><?xml version="1.0" encoding="utf-8"?>
<worksheet xmlns="http://schemas.openxmlformats.org/spreadsheetml/2006/main" xmlns:r="http://schemas.openxmlformats.org/officeDocument/2006/relationships">
  <sheetPr>
    <tabColor indexed="10"/>
  </sheetPr>
  <dimension ref="A1:E12"/>
  <sheetViews>
    <sheetView zoomScale="130" zoomScaleNormal="130" zoomScalePageLayoutView="0" workbookViewId="0" topLeftCell="A1">
      <selection activeCell="B15" sqref="B15"/>
    </sheetView>
  </sheetViews>
  <sheetFormatPr defaultColWidth="9.140625" defaultRowHeight="15"/>
  <cols>
    <col min="1" max="1" width="13.421875" style="0" bestFit="1" customWidth="1"/>
    <col min="2" max="2" width="14.57421875" style="0" bestFit="1" customWidth="1"/>
  </cols>
  <sheetData>
    <row r="1" spans="1:2" ht="14.25">
      <c r="A1" s="5" t="s">
        <v>236</v>
      </c>
      <c r="B1" s="5" t="s">
        <v>237</v>
      </c>
    </row>
    <row r="2" spans="1:2" ht="14.25">
      <c r="A2" s="5" t="s">
        <v>208</v>
      </c>
      <c r="B2" s="87">
        <v>1500000</v>
      </c>
    </row>
    <row r="3" spans="1:2" ht="14.25">
      <c r="A3" s="5" t="s">
        <v>238</v>
      </c>
      <c r="B3" s="9">
        <v>0.8</v>
      </c>
    </row>
    <row r="4" spans="1:2" ht="14.25">
      <c r="A4" s="5" t="s">
        <v>239</v>
      </c>
      <c r="B4" s="1">
        <f>B3*B2</f>
        <v>1200000</v>
      </c>
    </row>
    <row r="5" spans="1:2" ht="14.25">
      <c r="A5" s="5" t="s">
        <v>35</v>
      </c>
      <c r="B5" s="5">
        <v>30</v>
      </c>
    </row>
    <row r="6" spans="1:2" ht="14.25">
      <c r="A6" s="5" t="s">
        <v>225</v>
      </c>
      <c r="B6" s="5">
        <v>0</v>
      </c>
    </row>
    <row r="7" spans="1:2" ht="14.25">
      <c r="A7" s="5" t="s">
        <v>4</v>
      </c>
      <c r="B7" s="5">
        <v>12</v>
      </c>
    </row>
    <row r="8" spans="1:2" ht="14.25">
      <c r="A8" s="5" t="s">
        <v>224</v>
      </c>
      <c r="B8" s="5">
        <f>B7*B5</f>
        <v>360</v>
      </c>
    </row>
    <row r="9" spans="1:4" ht="14.25">
      <c r="A9" s="5" t="s">
        <v>32</v>
      </c>
      <c r="B9" s="5">
        <v>8400</v>
      </c>
      <c r="D9" s="5" t="s">
        <v>59</v>
      </c>
    </row>
    <row r="10" spans="1:4" ht="14.25">
      <c r="A10" s="5" t="s">
        <v>240</v>
      </c>
      <c r="B10" s="58">
        <f>RATE(B8,-B9,B4,,B6)</f>
        <v>0.0062595572739709</v>
      </c>
      <c r="D10" s="5" t="s">
        <v>241</v>
      </c>
    </row>
    <row r="11" spans="1:4" ht="14.25">
      <c r="A11" s="5" t="s">
        <v>7</v>
      </c>
      <c r="B11" s="1">
        <f>B10*B7</f>
        <v>0.07511468728765079</v>
      </c>
      <c r="D11" s="5" t="s">
        <v>59</v>
      </c>
    </row>
    <row r="12" spans="1:5" ht="14.25">
      <c r="A12" s="5" t="s">
        <v>28</v>
      </c>
      <c r="B12" s="1">
        <f>EFFECT(B11,B7)</f>
        <v>0.07775542838770688</v>
      </c>
      <c r="D12" s="1">
        <f>(1+B10)^B7-1</f>
        <v>0.07775542838770688</v>
      </c>
      <c r="E12" s="1">
        <f>(1+RATE(B8,-B9,B2*B3,,B6))^B7-1</f>
        <v>0.07775542838770688</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theme="0"/>
  </sheetPr>
  <dimension ref="A1:O33"/>
  <sheetViews>
    <sheetView zoomScale="70" zoomScaleNormal="70" zoomScalePageLayoutView="0" workbookViewId="0" topLeftCell="A1">
      <selection activeCell="B15" sqref="B15"/>
    </sheetView>
  </sheetViews>
  <sheetFormatPr defaultColWidth="9.140625" defaultRowHeight="15"/>
  <cols>
    <col min="1" max="1" width="2.140625" style="21" bestFit="1" customWidth="1"/>
    <col min="2" max="2" width="26.8515625" style="21" customWidth="1"/>
    <col min="3" max="3" width="15.00390625" style="21" bestFit="1" customWidth="1"/>
    <col min="4" max="4" width="3.8515625" style="21" bestFit="1" customWidth="1"/>
    <col min="5" max="5" width="8.57421875" style="21" customWidth="1"/>
    <col min="6" max="6" width="24.00390625" style="21" bestFit="1" customWidth="1"/>
    <col min="7" max="7" width="11.140625" style="21" bestFit="1" customWidth="1"/>
    <col min="8" max="12" width="11.140625" style="21" customWidth="1"/>
    <col min="13" max="14" width="9.140625" style="21" customWidth="1"/>
    <col min="15" max="15" width="15.140625" style="21" bestFit="1" customWidth="1"/>
    <col min="16" max="16384" width="9.140625" style="21" customWidth="1"/>
  </cols>
  <sheetData>
    <row r="1" spans="1:15" ht="20.25">
      <c r="A1" s="36" t="s">
        <v>37</v>
      </c>
      <c r="B1" s="36"/>
      <c r="C1" s="36"/>
      <c r="D1" s="36"/>
      <c r="E1" s="36"/>
      <c r="F1" s="36"/>
      <c r="G1" s="36"/>
      <c r="H1" s="36"/>
      <c r="I1" s="24"/>
      <c r="J1" s="24"/>
      <c r="O1"/>
    </row>
    <row r="2" spans="1:15" ht="25.5">
      <c r="A2" s="34">
        <v>1</v>
      </c>
      <c r="B2" s="35" t="s">
        <v>38</v>
      </c>
      <c r="C2" s="35"/>
      <c r="D2" s="35"/>
      <c r="E2" s="35"/>
      <c r="F2" s="24"/>
      <c r="G2" s="24"/>
      <c r="H2" s="24"/>
      <c r="I2" s="24"/>
      <c r="J2" s="24"/>
      <c r="O2"/>
    </row>
    <row r="3" ht="14.25"/>
    <row r="4" spans="1:15" ht="14.25">
      <c r="A4" s="24"/>
      <c r="B4" s="28" t="s">
        <v>32</v>
      </c>
      <c r="C4" s="23">
        <v>-400</v>
      </c>
      <c r="D4" s="24"/>
      <c r="E4" s="24"/>
      <c r="F4" s="24"/>
      <c r="G4" s="24"/>
      <c r="H4" s="24"/>
      <c r="I4" s="24"/>
      <c r="J4" s="24"/>
      <c r="O4"/>
    </row>
    <row r="5" spans="1:10" ht="12.75">
      <c r="A5" s="24"/>
      <c r="B5" s="28" t="s">
        <v>7</v>
      </c>
      <c r="C5" s="22">
        <v>0.1</v>
      </c>
      <c r="D5" s="24"/>
      <c r="E5" s="24"/>
      <c r="F5" s="24"/>
      <c r="G5" s="24"/>
      <c r="H5" s="24"/>
      <c r="I5" s="24"/>
      <c r="J5" s="24"/>
    </row>
    <row r="6" spans="1:10" ht="12.75">
      <c r="A6" s="24"/>
      <c r="B6" s="28" t="s">
        <v>35</v>
      </c>
      <c r="C6" s="23">
        <v>5</v>
      </c>
      <c r="D6" s="24"/>
      <c r="E6" s="24"/>
      <c r="F6" s="24"/>
      <c r="G6" s="24"/>
      <c r="H6" s="24"/>
      <c r="I6" s="24"/>
      <c r="J6" s="24"/>
    </row>
    <row r="7" spans="1:10" ht="12.75">
      <c r="A7" s="24"/>
      <c r="B7" s="28" t="s">
        <v>36</v>
      </c>
      <c r="C7" s="23">
        <f>C6-1</f>
        <v>4</v>
      </c>
      <c r="D7" s="24"/>
      <c r="E7" s="24"/>
      <c r="F7" s="24"/>
      <c r="G7" s="24"/>
      <c r="H7" s="24"/>
      <c r="I7" s="24"/>
      <c r="J7" s="24"/>
    </row>
    <row r="8" spans="1:10" ht="12.75">
      <c r="A8" s="24"/>
      <c r="B8" s="28" t="s">
        <v>4</v>
      </c>
      <c r="C8" s="23">
        <v>1</v>
      </c>
      <c r="D8" s="24"/>
      <c r="E8" s="24"/>
      <c r="F8" s="24"/>
      <c r="G8" s="24"/>
      <c r="H8" s="24"/>
      <c r="I8" s="24"/>
      <c r="J8" s="24"/>
    </row>
    <row r="9" spans="1:10" ht="12.75">
      <c r="A9" s="24"/>
      <c r="B9" s="28" t="s">
        <v>33</v>
      </c>
      <c r="C9" s="23">
        <v>1</v>
      </c>
      <c r="D9" s="24"/>
      <c r="E9" s="24"/>
      <c r="F9" s="24"/>
      <c r="G9" s="24"/>
      <c r="H9" s="24"/>
      <c r="I9" s="24"/>
      <c r="J9" s="24"/>
    </row>
    <row r="10" spans="1:10" ht="14.25">
      <c r="A10" s="24"/>
      <c r="B10" s="28" t="s">
        <v>34</v>
      </c>
      <c r="C10" s="25">
        <f>FV(C5/C8,C8*C7,C4,,C9)-C4</f>
        <v>2442.040000000002</v>
      </c>
      <c r="D10" s="24"/>
      <c r="E10" s="30" t="s">
        <v>41</v>
      </c>
      <c r="F10" s="30"/>
      <c r="G10" s="30"/>
      <c r="H10" s="30"/>
      <c r="I10" s="30"/>
      <c r="J10" s="24"/>
    </row>
    <row r="11" spans="1:10" ht="14.25">
      <c r="A11" s="24"/>
      <c r="B11" s="32"/>
      <c r="C11" s="33"/>
      <c r="D11" s="24"/>
      <c r="E11" s="30"/>
      <c r="F11" s="30"/>
      <c r="G11" s="30"/>
      <c r="H11" s="30"/>
      <c r="I11" s="30"/>
      <c r="J11" s="24"/>
    </row>
    <row r="12" spans="1:10" ht="14.25">
      <c r="A12" s="24"/>
      <c r="B12" s="28" t="str">
        <f aca="true" t="shared" si="0" ref="B12:C14">B4</f>
        <v>PMT =</v>
      </c>
      <c r="C12" s="23">
        <f t="shared" si="0"/>
        <v>-400</v>
      </c>
      <c r="D12" s="24"/>
      <c r="E12" s="30"/>
      <c r="F12" s="30"/>
      <c r="G12" s="30"/>
      <c r="H12" s="30"/>
      <c r="I12" s="30"/>
      <c r="J12" s="24"/>
    </row>
    <row r="13" spans="1:10" ht="14.25">
      <c r="A13" s="30"/>
      <c r="B13" s="28" t="str">
        <f t="shared" si="0"/>
        <v>APR =</v>
      </c>
      <c r="C13" s="22">
        <f t="shared" si="0"/>
        <v>0.1</v>
      </c>
      <c r="D13" s="30"/>
      <c r="E13" s="30"/>
      <c r="F13" s="30"/>
      <c r="G13" s="30"/>
      <c r="H13" s="30"/>
      <c r="I13" s="30"/>
      <c r="J13" s="24"/>
    </row>
    <row r="14" spans="1:10" ht="14.25">
      <c r="A14" s="30"/>
      <c r="B14" s="28" t="str">
        <f t="shared" si="0"/>
        <v>x =</v>
      </c>
      <c r="C14" s="28">
        <f t="shared" si="0"/>
        <v>5</v>
      </c>
      <c r="D14" s="30"/>
      <c r="E14" s="30"/>
      <c r="F14" s="30"/>
      <c r="G14" s="30"/>
      <c r="H14" s="30"/>
      <c r="I14" s="30"/>
      <c r="J14" s="24"/>
    </row>
    <row r="15" spans="1:10" s="26" customFormat="1" ht="14.25">
      <c r="A15" s="30"/>
      <c r="B15" s="28"/>
      <c r="C15" s="28"/>
      <c r="D15" s="30"/>
      <c r="E15" s="30"/>
      <c r="F15" s="30"/>
      <c r="G15" s="30"/>
      <c r="H15" s="30"/>
      <c r="I15" s="30"/>
      <c r="J15" s="31"/>
    </row>
    <row r="16" spans="1:10" ht="14.25">
      <c r="A16" s="30"/>
      <c r="B16" s="28" t="str">
        <f>B8</f>
        <v>n =</v>
      </c>
      <c r="C16" s="23">
        <f>C8</f>
        <v>1</v>
      </c>
      <c r="D16" s="30"/>
      <c r="E16" s="30"/>
      <c r="F16" s="30"/>
      <c r="G16" s="30"/>
      <c r="H16" s="30"/>
      <c r="I16" s="30"/>
      <c r="J16" s="24"/>
    </row>
    <row r="17" spans="1:10" ht="12.75">
      <c r="A17" s="24"/>
      <c r="B17" s="28" t="str">
        <f>B9</f>
        <v>Due = 1, Ordinary = 0</v>
      </c>
      <c r="C17" s="23">
        <v>0</v>
      </c>
      <c r="D17" s="24"/>
      <c r="E17" s="24"/>
      <c r="F17" s="24"/>
      <c r="G17" s="24"/>
      <c r="H17" s="24"/>
      <c r="I17" s="24"/>
      <c r="J17" s="24"/>
    </row>
    <row r="18" spans="1:10" ht="12.75">
      <c r="A18" s="24"/>
      <c r="B18" s="28" t="str">
        <f>B10</f>
        <v>FV =</v>
      </c>
      <c r="C18" s="25">
        <f>FV(C13/C16,C16*C14,C12,,C17)</f>
        <v>2442.0400000000022</v>
      </c>
      <c r="D18" s="24"/>
      <c r="E18" s="24" t="s">
        <v>42</v>
      </c>
      <c r="F18" s="24"/>
      <c r="G18" s="24"/>
      <c r="H18" s="24"/>
      <c r="I18" s="24"/>
      <c r="J18" s="24"/>
    </row>
    <row r="19" spans="1:10" ht="12.75">
      <c r="A19" s="24"/>
      <c r="B19" s="24"/>
      <c r="C19" s="24"/>
      <c r="D19" s="24"/>
      <c r="E19" s="24"/>
      <c r="F19" s="24"/>
      <c r="G19" s="24"/>
      <c r="H19" s="24"/>
      <c r="I19" s="24"/>
      <c r="J19" s="24"/>
    </row>
    <row r="20" spans="1:10" ht="12.75">
      <c r="A20" s="24"/>
      <c r="B20" s="24"/>
      <c r="C20" s="24"/>
      <c r="D20" s="24"/>
      <c r="E20" s="24"/>
      <c r="F20" s="24"/>
      <c r="G20" s="24"/>
      <c r="H20" s="24"/>
      <c r="I20" s="24"/>
      <c r="J20" s="24"/>
    </row>
    <row r="21" spans="1:10" ht="12.75">
      <c r="A21" s="24"/>
      <c r="B21" s="24"/>
      <c r="C21" s="24"/>
      <c r="D21" s="24"/>
      <c r="E21" s="24"/>
      <c r="F21" s="24"/>
      <c r="G21" s="24"/>
      <c r="H21" s="24"/>
      <c r="I21" s="24"/>
      <c r="J21" s="24"/>
    </row>
    <row r="22" spans="1:10" ht="12.75">
      <c r="A22" s="34">
        <v>2</v>
      </c>
      <c r="B22" s="35" t="s">
        <v>39</v>
      </c>
      <c r="C22" s="35"/>
      <c r="D22" s="35"/>
      <c r="E22" s="35"/>
      <c r="F22" s="24"/>
      <c r="G22" s="24"/>
      <c r="H22" s="24"/>
      <c r="I22" s="24"/>
      <c r="J22" s="24"/>
    </row>
    <row r="23" spans="1:10" ht="12.75">
      <c r="A23" s="24"/>
      <c r="B23" s="24"/>
      <c r="C23" s="24"/>
      <c r="D23" s="24"/>
      <c r="E23" s="24"/>
      <c r="F23" s="24"/>
      <c r="G23" s="24"/>
      <c r="H23" s="24"/>
      <c r="I23" s="24"/>
      <c r="J23" s="24"/>
    </row>
    <row r="24" spans="1:10" ht="14.25">
      <c r="A24" s="24"/>
      <c r="B24" s="5" t="s">
        <v>32</v>
      </c>
      <c r="C24" s="5">
        <v>-400</v>
      </c>
      <c r="D24" s="24"/>
      <c r="E24" s="24"/>
      <c r="F24" s="24"/>
      <c r="G24" s="24"/>
      <c r="H24" s="24"/>
      <c r="I24" s="24"/>
      <c r="J24" s="24"/>
    </row>
    <row r="25" spans="1:10" ht="12.75">
      <c r="A25" s="24"/>
      <c r="B25" s="23" t="s">
        <v>7</v>
      </c>
      <c r="C25" s="23">
        <v>0.1</v>
      </c>
      <c r="D25" s="24"/>
      <c r="E25" s="24"/>
      <c r="F25" s="24"/>
      <c r="G25" s="24"/>
      <c r="H25" s="24"/>
      <c r="I25" s="24"/>
      <c r="J25" s="24"/>
    </row>
    <row r="26" spans="1:10" ht="14.25">
      <c r="A26" s="30"/>
      <c r="B26" s="23" t="s">
        <v>35</v>
      </c>
      <c r="C26" s="23">
        <v>4</v>
      </c>
      <c r="D26" s="30"/>
      <c r="E26" s="24"/>
      <c r="F26" s="24"/>
      <c r="G26" s="24"/>
      <c r="H26" s="24"/>
      <c r="I26" s="24"/>
      <c r="J26" s="24"/>
    </row>
    <row r="27" spans="1:12" ht="12.75">
      <c r="A27" s="24"/>
      <c r="B27" s="23" t="s">
        <v>4</v>
      </c>
      <c r="C27" s="23">
        <v>1</v>
      </c>
      <c r="D27" s="24"/>
      <c r="E27" s="24"/>
      <c r="F27" s="24"/>
      <c r="G27" s="39" t="s">
        <v>44</v>
      </c>
      <c r="H27" s="29"/>
      <c r="I27" s="29"/>
      <c r="J27" s="29"/>
      <c r="K27" s="29"/>
      <c r="L27" s="29"/>
    </row>
    <row r="28" spans="1:12" ht="12.75">
      <c r="A28" s="24"/>
      <c r="B28" s="23" t="s">
        <v>33</v>
      </c>
      <c r="C28" s="23">
        <v>1</v>
      </c>
      <c r="D28" s="24"/>
      <c r="E28" s="24"/>
      <c r="F28" s="24"/>
      <c r="H28" s="38">
        <v>0</v>
      </c>
      <c r="I28" s="38">
        <v>1</v>
      </c>
      <c r="J28" s="38">
        <v>2</v>
      </c>
      <c r="K28" s="38">
        <v>3</v>
      </c>
      <c r="L28" s="38">
        <v>4</v>
      </c>
    </row>
    <row r="29" spans="1:12" ht="12.75">
      <c r="A29" s="24"/>
      <c r="B29" s="23" t="s">
        <v>34</v>
      </c>
      <c r="C29" s="25">
        <f>FV(C25/C27,C27*C26,C24,,C28)</f>
        <v>2042.0400000000018</v>
      </c>
      <c r="D29" s="24"/>
      <c r="E29" s="32" t="s">
        <v>43</v>
      </c>
      <c r="F29" s="24"/>
      <c r="G29" s="24"/>
      <c r="H29" s="37">
        <f>$C$24</f>
        <v>-400</v>
      </c>
      <c r="I29" s="37">
        <f>$C$24</f>
        <v>-400</v>
      </c>
      <c r="J29" s="37">
        <f>$C$24</f>
        <v>-400</v>
      </c>
      <c r="K29" s="37">
        <f>$C$24</f>
        <v>-400</v>
      </c>
      <c r="L29" s="37"/>
    </row>
    <row r="30" spans="7:12" ht="25.5">
      <c r="G30" s="39" t="s">
        <v>45</v>
      </c>
      <c r="H30" s="29"/>
      <c r="I30" s="29"/>
      <c r="J30" s="29"/>
      <c r="K30" s="29"/>
      <c r="L30" s="29"/>
    </row>
    <row r="31" spans="2:12" ht="12.75">
      <c r="B31" s="23" t="s">
        <v>33</v>
      </c>
      <c r="C31" s="23">
        <v>0</v>
      </c>
      <c r="H31" s="37">
        <v>0</v>
      </c>
      <c r="I31" s="37">
        <v>1</v>
      </c>
      <c r="J31" s="37">
        <v>2</v>
      </c>
      <c r="K31" s="37">
        <v>3</v>
      </c>
      <c r="L31" s="37">
        <v>4</v>
      </c>
    </row>
    <row r="32" spans="2:12" ht="12.75">
      <c r="B32" s="23" t="s">
        <v>34</v>
      </c>
      <c r="C32" s="25">
        <f>FV(C25/C27,C27*C26,C24,,C31)*(1+C25/C27)</f>
        <v>2042.0400000000018</v>
      </c>
      <c r="E32" s="24" t="s">
        <v>40</v>
      </c>
      <c r="H32" s="27">
        <f>$C$24</f>
        <v>-400</v>
      </c>
      <c r="I32" s="27">
        <f>$C$24</f>
        <v>-400</v>
      </c>
      <c r="J32" s="27">
        <f>$C$24</f>
        <v>-400</v>
      </c>
      <c r="K32" s="27">
        <f>$C$24</f>
        <v>-400</v>
      </c>
      <c r="L32" s="27"/>
    </row>
    <row r="33" ht="14.25">
      <c r="C33" s="30"/>
    </row>
  </sheetData>
  <sheetProtection/>
  <printOptions/>
  <pageMargins left="0.75" right="0.75" top="1" bottom="1" header="0.5" footer="0.5"/>
  <pageSetup horizontalDpi="600" verticalDpi="600" orientation="portrait" r:id="rId1"/>
</worksheet>
</file>

<file path=xl/worksheets/sheet90.xml><?xml version="1.0" encoding="utf-8"?>
<worksheet xmlns="http://schemas.openxmlformats.org/spreadsheetml/2006/main" xmlns:r="http://schemas.openxmlformats.org/officeDocument/2006/relationships">
  <sheetPr>
    <tabColor indexed="10"/>
  </sheetPr>
  <dimension ref="A1:X34"/>
  <sheetViews>
    <sheetView zoomScale="85" zoomScaleNormal="85" zoomScalePageLayoutView="0" workbookViewId="0" topLeftCell="A1">
      <selection activeCell="B15" sqref="B15"/>
    </sheetView>
  </sheetViews>
  <sheetFormatPr defaultColWidth="9.140625" defaultRowHeight="15"/>
  <cols>
    <col min="1" max="1" width="23.28125" style="0" bestFit="1" customWidth="1"/>
    <col min="2" max="2" width="10.28125" style="0" bestFit="1" customWidth="1"/>
    <col min="3" max="3" width="3.7109375" style="0" customWidth="1"/>
    <col min="4" max="7" width="6.00390625" style="0" customWidth="1"/>
    <col min="8" max="8" width="10.28125" style="0" bestFit="1" customWidth="1"/>
    <col min="9" max="24" width="6.00390625" style="0" customWidth="1"/>
  </cols>
  <sheetData>
    <row r="1" spans="1:14" ht="28.5">
      <c r="A1" s="6" t="str">
        <f>"Since the first payment is received "&amp;B3&amp;" years from today, and the last payment is received "&amp;B4&amp;" years from now, there are "&amp;COUNT(I10:X10)&amp;" payments."</f>
        <v>Since the first payment is received 5 years from today, and the last payment is received 20 years from now, there are 16 payments.</v>
      </c>
      <c r="B1" s="6"/>
      <c r="C1" s="6"/>
      <c r="D1" s="6"/>
      <c r="E1" s="6"/>
      <c r="F1" s="6"/>
      <c r="G1" s="6"/>
      <c r="H1" s="6"/>
      <c r="I1" s="6"/>
      <c r="J1" s="6"/>
      <c r="K1" s="6"/>
      <c r="L1" s="6"/>
      <c r="M1" s="6"/>
      <c r="N1" s="6"/>
    </row>
    <row r="2" spans="1:2" ht="14.25">
      <c r="A2" s="11" t="s">
        <v>242</v>
      </c>
      <c r="B2" s="11">
        <v>0</v>
      </c>
    </row>
    <row r="3" spans="1:2" ht="14.25">
      <c r="A3" s="5" t="s">
        <v>243</v>
      </c>
      <c r="B3" s="5">
        <v>5</v>
      </c>
    </row>
    <row r="4" spans="1:2" ht="14.25">
      <c r="A4" s="5" t="s">
        <v>244</v>
      </c>
      <c r="B4" s="5">
        <v>20</v>
      </c>
    </row>
    <row r="5" spans="1:3" ht="14.25">
      <c r="A5" s="5" t="s">
        <v>245</v>
      </c>
      <c r="B5" s="5">
        <f>COUNT(I10:X10)</f>
        <v>16</v>
      </c>
      <c r="C5" t="s">
        <v>270</v>
      </c>
    </row>
    <row r="6" spans="1:2" ht="14.25">
      <c r="A6" s="5" t="s">
        <v>32</v>
      </c>
      <c r="B6" s="5">
        <v>890</v>
      </c>
    </row>
    <row r="7" spans="1:3" ht="14.25">
      <c r="A7" s="5" t="s">
        <v>195</v>
      </c>
      <c r="B7" s="5">
        <v>0</v>
      </c>
      <c r="C7" t="s">
        <v>268</v>
      </c>
    </row>
    <row r="8" spans="1:2" ht="14.25">
      <c r="A8" s="5" t="s">
        <v>174</v>
      </c>
      <c r="B8" s="5">
        <v>0.09</v>
      </c>
    </row>
    <row r="9" spans="1:24" ht="14.25">
      <c r="A9" s="5" t="s">
        <v>269</v>
      </c>
      <c r="B9" s="5">
        <f>COUNT(I10:X10)</f>
        <v>16</v>
      </c>
      <c r="D9" s="156">
        <v>0</v>
      </c>
      <c r="E9" s="157">
        <v>1</v>
      </c>
      <c r="F9" s="157">
        <v>2</v>
      </c>
      <c r="G9" s="157">
        <v>3</v>
      </c>
      <c r="H9" s="157">
        <v>4</v>
      </c>
      <c r="I9" s="157">
        <v>5</v>
      </c>
      <c r="J9" s="157">
        <v>6</v>
      </c>
      <c r="K9" s="157">
        <v>7</v>
      </c>
      <c r="L9" s="157">
        <v>8</v>
      </c>
      <c r="M9" s="157">
        <v>9</v>
      </c>
      <c r="N9" s="157">
        <v>10</v>
      </c>
      <c r="O9" s="157">
        <v>11</v>
      </c>
      <c r="P9" s="157">
        <v>12</v>
      </c>
      <c r="Q9" s="157">
        <v>13</v>
      </c>
      <c r="R9" s="157">
        <v>14</v>
      </c>
      <c r="S9" s="157">
        <v>15</v>
      </c>
      <c r="T9" s="157">
        <v>16</v>
      </c>
      <c r="U9" s="157">
        <v>17</v>
      </c>
      <c r="V9" s="157">
        <v>18</v>
      </c>
      <c r="W9" s="157">
        <v>19</v>
      </c>
      <c r="X9" s="158">
        <v>20</v>
      </c>
    </row>
    <row r="10" spans="1:24" ht="14.25">
      <c r="A10" s="5" t="str">
        <f>"PV at beginning of Year "&amp;B4-B9&amp;" ="</f>
        <v>PV at beginning of Year 4 =</v>
      </c>
      <c r="B10" s="46">
        <f>PV(B8,B9,B6,,B7)</f>
        <v>-7398.176791348881</v>
      </c>
      <c r="D10" s="159"/>
      <c r="E10" s="135"/>
      <c r="F10" s="135"/>
      <c r="G10" s="135"/>
      <c r="H10" s="135"/>
      <c r="I10" s="160">
        <f aca="true" t="shared" si="0" ref="I10:X10">$B$6</f>
        <v>890</v>
      </c>
      <c r="J10" s="160">
        <f t="shared" si="0"/>
        <v>890</v>
      </c>
      <c r="K10" s="160">
        <f t="shared" si="0"/>
        <v>890</v>
      </c>
      <c r="L10" s="160">
        <f t="shared" si="0"/>
        <v>890</v>
      </c>
      <c r="M10" s="160">
        <f t="shared" si="0"/>
        <v>890</v>
      </c>
      <c r="N10" s="160">
        <f t="shared" si="0"/>
        <v>890</v>
      </c>
      <c r="O10" s="160">
        <f t="shared" si="0"/>
        <v>890</v>
      </c>
      <c r="P10" s="160">
        <f t="shared" si="0"/>
        <v>890</v>
      </c>
      <c r="Q10" s="160">
        <f t="shared" si="0"/>
        <v>890</v>
      </c>
      <c r="R10" s="160">
        <f t="shared" si="0"/>
        <v>890</v>
      </c>
      <c r="S10" s="160">
        <f t="shared" si="0"/>
        <v>890</v>
      </c>
      <c r="T10" s="160">
        <f t="shared" si="0"/>
        <v>890</v>
      </c>
      <c r="U10" s="160">
        <f t="shared" si="0"/>
        <v>890</v>
      </c>
      <c r="V10" s="160">
        <f t="shared" si="0"/>
        <v>890</v>
      </c>
      <c r="W10" s="160">
        <f t="shared" si="0"/>
        <v>890</v>
      </c>
      <c r="X10" s="161">
        <f t="shared" si="0"/>
        <v>890</v>
      </c>
    </row>
    <row r="11" ht="14.25">
      <c r="H11" s="52">
        <f>B10</f>
        <v>-7398.176791348881</v>
      </c>
    </row>
    <row r="13" spans="1:2" ht="14.25">
      <c r="A13" s="5" t="s">
        <v>246</v>
      </c>
      <c r="B13" s="5"/>
    </row>
    <row r="14" spans="1:2" ht="14.25">
      <c r="A14" s="5" t="s">
        <v>247</v>
      </c>
      <c r="B14" s="5"/>
    </row>
    <row r="15" spans="1:2" ht="14.25">
      <c r="A15" s="5" t="s">
        <v>248</v>
      </c>
      <c r="B15" s="5"/>
    </row>
    <row r="16" spans="1:2" ht="14.25">
      <c r="A16" s="5" t="s">
        <v>249</v>
      </c>
      <c r="B16" s="5"/>
    </row>
    <row r="17" spans="1:2" ht="14.25">
      <c r="A17" s="5" t="s">
        <v>250</v>
      </c>
      <c r="B17" s="5"/>
    </row>
    <row r="18" spans="1:2" ht="14.25">
      <c r="A18" s="5" t="s">
        <v>251</v>
      </c>
      <c r="B18" s="5">
        <v>890</v>
      </c>
    </row>
    <row r="19" spans="1:2" ht="14.25">
      <c r="A19" s="5" t="s">
        <v>252</v>
      </c>
      <c r="B19" s="5">
        <v>890</v>
      </c>
    </row>
    <row r="20" spans="1:2" ht="14.25">
      <c r="A20" s="5" t="s">
        <v>253</v>
      </c>
      <c r="B20" s="5">
        <v>890</v>
      </c>
    </row>
    <row r="21" spans="1:2" ht="14.25">
      <c r="A21" s="5" t="s">
        <v>254</v>
      </c>
      <c r="B21" s="5">
        <v>890</v>
      </c>
    </row>
    <row r="22" spans="1:2" ht="14.25">
      <c r="A22" s="5" t="s">
        <v>255</v>
      </c>
      <c r="B22" s="5">
        <v>890</v>
      </c>
    </row>
    <row r="23" spans="1:2" ht="14.25">
      <c r="A23" s="5" t="s">
        <v>256</v>
      </c>
      <c r="B23" s="5">
        <v>890</v>
      </c>
    </row>
    <row r="24" spans="1:2" ht="14.25">
      <c r="A24" s="5" t="s">
        <v>257</v>
      </c>
      <c r="B24" s="5">
        <v>890</v>
      </c>
    </row>
    <row r="25" spans="1:2" ht="14.25">
      <c r="A25" s="5" t="s">
        <v>258</v>
      </c>
      <c r="B25" s="5">
        <v>890</v>
      </c>
    </row>
    <row r="26" spans="1:2" ht="14.25">
      <c r="A26" s="5" t="s">
        <v>259</v>
      </c>
      <c r="B26" s="5">
        <v>890</v>
      </c>
    </row>
    <row r="27" spans="1:2" ht="14.25">
      <c r="A27" s="5" t="s">
        <v>260</v>
      </c>
      <c r="B27" s="5">
        <v>890</v>
      </c>
    </row>
    <row r="28" spans="1:2" ht="14.25">
      <c r="A28" s="5" t="s">
        <v>261</v>
      </c>
      <c r="B28" s="5">
        <v>890</v>
      </c>
    </row>
    <row r="29" spans="1:2" ht="14.25">
      <c r="A29" s="5" t="s">
        <v>262</v>
      </c>
      <c r="B29" s="5">
        <v>890</v>
      </c>
    </row>
    <row r="30" spans="1:2" ht="14.25">
      <c r="A30" s="5" t="s">
        <v>263</v>
      </c>
      <c r="B30" s="5">
        <v>890</v>
      </c>
    </row>
    <row r="31" spans="1:2" ht="14.25">
      <c r="A31" s="5" t="s">
        <v>264</v>
      </c>
      <c r="B31" s="5">
        <v>890</v>
      </c>
    </row>
    <row r="32" spans="1:2" ht="14.25">
      <c r="A32" s="5" t="s">
        <v>265</v>
      </c>
      <c r="B32" s="5">
        <v>890</v>
      </c>
    </row>
    <row r="33" spans="1:2" ht="14.25">
      <c r="A33" s="5" t="s">
        <v>266</v>
      </c>
      <c r="B33" s="5">
        <v>890</v>
      </c>
    </row>
    <row r="34" spans="1:2" ht="14.25">
      <c r="A34" s="5" t="s">
        <v>267</v>
      </c>
      <c r="B34" s="46">
        <f>NPV(B8,B14:B33)</f>
        <v>7398.1767913488775</v>
      </c>
    </row>
  </sheetData>
  <sheetProtection/>
  <printOptions/>
  <pageMargins left="0.75" right="0.75" top="1" bottom="1" header="0.5" footer="0.5"/>
  <pageSetup orientation="portrait" paperSize="9"/>
</worksheet>
</file>

<file path=xl/worksheets/sheet91.xml><?xml version="1.0" encoding="utf-8"?>
<worksheet xmlns="http://schemas.openxmlformats.org/spreadsheetml/2006/main" xmlns:r="http://schemas.openxmlformats.org/officeDocument/2006/relationships">
  <sheetPr>
    <tabColor indexed="10"/>
  </sheetPr>
  <dimension ref="A1:E16"/>
  <sheetViews>
    <sheetView zoomScalePageLayoutView="0" workbookViewId="0" topLeftCell="A1">
      <selection activeCell="B15" sqref="B15"/>
    </sheetView>
  </sheetViews>
  <sheetFormatPr defaultColWidth="9.140625" defaultRowHeight="15"/>
  <cols>
    <col min="1" max="1" width="23.7109375" style="0" bestFit="1" customWidth="1"/>
    <col min="2" max="2" width="11.140625" style="0" bestFit="1" customWidth="1"/>
    <col min="3" max="3" width="14.421875" style="0" bestFit="1" customWidth="1"/>
    <col min="4" max="5" width="10.421875" style="0" bestFit="1" customWidth="1"/>
  </cols>
  <sheetData>
    <row r="1" spans="1:2" ht="14.25">
      <c r="A1" s="5" t="s">
        <v>78</v>
      </c>
      <c r="B1" s="169">
        <v>45000</v>
      </c>
    </row>
    <row r="2" spans="1:2" ht="14.25">
      <c r="A2" s="5" t="s">
        <v>35</v>
      </c>
      <c r="B2" s="5">
        <v>3</v>
      </c>
    </row>
    <row r="3" spans="1:2" ht="14.25">
      <c r="A3" s="5" t="s">
        <v>230</v>
      </c>
      <c r="B3" s="5">
        <v>0.11</v>
      </c>
    </row>
    <row r="4" spans="1:2" ht="14.25">
      <c r="A4" s="5" t="s">
        <v>4</v>
      </c>
      <c r="B4" s="5">
        <v>1</v>
      </c>
    </row>
    <row r="5" spans="1:3" ht="14.25">
      <c r="A5" s="5" t="s">
        <v>225</v>
      </c>
      <c r="B5" s="5">
        <v>0</v>
      </c>
      <c r="C5" s="162" t="str">
        <f>IF(B5=1,"Annuity Due",IF(B5=0,"Ordinary Annuity"))</f>
        <v>Ordinary Annuity</v>
      </c>
    </row>
    <row r="6" spans="1:2" ht="14.25">
      <c r="A6" s="5" t="s">
        <v>32</v>
      </c>
      <c r="B6" s="170">
        <f>PMT(B3/B4,B4*B2,B1,,B5)</f>
        <v>-18414.588133209647</v>
      </c>
    </row>
    <row r="8" spans="1:5" ht="14.25">
      <c r="A8" s="163" t="s">
        <v>65</v>
      </c>
      <c r="B8" s="163" t="s">
        <v>154</v>
      </c>
      <c r="C8" s="163" t="s">
        <v>132</v>
      </c>
      <c r="D8" s="163" t="s">
        <v>273</v>
      </c>
      <c r="E8" s="163" t="s">
        <v>155</v>
      </c>
    </row>
    <row r="9" spans="1:5" ht="14.25">
      <c r="A9" s="5">
        <v>0</v>
      </c>
      <c r="B9" s="169"/>
      <c r="C9" s="169"/>
      <c r="D9" s="169"/>
      <c r="E9" s="170">
        <f>B1</f>
        <v>45000</v>
      </c>
    </row>
    <row r="10" spans="1:5" ht="14.25">
      <c r="A10" s="5">
        <v>1</v>
      </c>
      <c r="B10" s="170">
        <f>-$B$6</f>
        <v>18414.588133209647</v>
      </c>
      <c r="C10" s="170">
        <f>E9*$B$3</f>
        <v>4950</v>
      </c>
      <c r="D10" s="170">
        <f>B10-C10</f>
        <v>13464.588133209647</v>
      </c>
      <c r="E10" s="170">
        <f>E9-D10</f>
        <v>31535.411866790353</v>
      </c>
    </row>
    <row r="11" spans="1:5" ht="14.25">
      <c r="A11" s="5">
        <v>2</v>
      </c>
      <c r="B11" s="170">
        <f>-$B$6</f>
        <v>18414.588133209647</v>
      </c>
      <c r="C11" s="170">
        <f>E10*$B$3</f>
        <v>3468.895305346939</v>
      </c>
      <c r="D11" s="170">
        <f>B11-C11</f>
        <v>14945.692827862707</v>
      </c>
      <c r="E11" s="170">
        <f>E10-D11</f>
        <v>16589.719038927644</v>
      </c>
    </row>
    <row r="12" spans="1:5" ht="15" thickBot="1">
      <c r="A12" s="135">
        <v>3</v>
      </c>
      <c r="B12" s="171">
        <f>-$B$6</f>
        <v>18414.588133209647</v>
      </c>
      <c r="C12" s="171">
        <f>E11*$B$3</f>
        <v>1824.8690942820408</v>
      </c>
      <c r="D12" s="171">
        <f>B12-C12</f>
        <v>16589.719038927607</v>
      </c>
      <c r="E12" s="171">
        <f>E11-D12</f>
        <v>3.637978807091713E-11</v>
      </c>
    </row>
    <row r="13" spans="1:5" ht="15" thickBot="1">
      <c r="A13" s="164" t="s">
        <v>186</v>
      </c>
      <c r="B13" s="172">
        <f>SUM(B10:B12)</f>
        <v>55243.76439962894</v>
      </c>
      <c r="C13" s="172">
        <f>SUM(C10:C12)</f>
        <v>10243.76439962898</v>
      </c>
      <c r="D13" s="172">
        <f>SUM(D10:D12)</f>
        <v>44999.99999999996</v>
      </c>
      <c r="E13" s="172"/>
    </row>
    <row r="14" ht="15" thickTop="1"/>
    <row r="15" spans="1:2" ht="14.25">
      <c r="A15" s="163" t="s">
        <v>271</v>
      </c>
      <c r="B15" s="17">
        <f>C13</f>
        <v>10243.76439962898</v>
      </c>
    </row>
    <row r="16" spans="1:2" ht="14.25">
      <c r="A16" s="163" t="s">
        <v>272</v>
      </c>
      <c r="B16" s="17">
        <f>C12</f>
        <v>1824.8690942820408</v>
      </c>
    </row>
  </sheetData>
  <sheetProtection/>
  <printOptions/>
  <pageMargins left="0.75" right="0.75" top="1" bottom="1" header="0.5" footer="0.5"/>
  <pageSetup horizontalDpi="600" verticalDpi="600" orientation="portrait" r:id="rId1"/>
</worksheet>
</file>

<file path=xl/worksheets/sheet92.xml><?xml version="1.0" encoding="utf-8"?>
<worksheet xmlns="http://schemas.openxmlformats.org/spreadsheetml/2006/main" xmlns:r="http://schemas.openxmlformats.org/officeDocument/2006/relationships">
  <dimension ref="A1:A1"/>
  <sheetViews>
    <sheetView zoomScalePageLayoutView="0" workbookViewId="0" topLeftCell="A1">
      <selection activeCell="B15" sqref="B15"/>
    </sheetView>
  </sheetViews>
  <sheetFormatPr defaultColWidth="9.140625" defaultRowHeight="15"/>
  <sheetData>
    <row r="1" ht="14.25">
      <c r="A1" s="119" t="s">
        <v>161</v>
      </c>
    </row>
  </sheetData>
  <sheetProtection/>
  <hyperlinks>
    <hyperlink ref="A1" r:id="rId1" display="http://www2.odn.ne.jp/excel/functioninenglish.html"/>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Highline 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mgirvin</dc:creator>
  <cp:keywords/>
  <dc:description/>
  <cp:lastModifiedBy>MIDSIMG</cp:lastModifiedBy>
  <dcterms:created xsi:type="dcterms:W3CDTF">2007-11-03T17:28:27Z</dcterms:created>
  <dcterms:modified xsi:type="dcterms:W3CDTF">2007-11-07T22:17:57Z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